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宁\2.综合\2.司法\2025\2025-1-0597珠海别墅项目\1219测算过程\"/>
    </mc:Choice>
  </mc:AlternateContent>
  <xr:revisionPtr revIDLastSave="0" documentId="13_ncr:1_{7170388A-BE6D-43B1-A62A-D37D9C3C668B}" xr6:coauthVersionLast="47" xr6:coauthVersionMax="47" xr10:uidLastSave="{00000000-0000-0000-0000-000000000000}"/>
  <bookViews>
    <workbookView xWindow="-120" yWindow="-120" windowWidth="38640" windowHeight="21240" tabRatio="899" firstSheet="13" activeTab="5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53">最终结果表!$A$1:$S$17</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49" i="82" l="1"/>
  <c r="P49" i="82"/>
  <c r="G23" i="82"/>
  <c r="D15" i="82"/>
  <c r="D14" i="82"/>
  <c r="AC26" i="90"/>
  <c r="AC30" i="90"/>
  <c r="U65" i="90"/>
  <c r="U66" i="90"/>
  <c r="K2" i="90"/>
  <c r="K3" i="90"/>
  <c r="K8" i="90"/>
  <c r="K11" i="90" l="1"/>
  <c r="K48" i="90"/>
  <c r="K47" i="90"/>
  <c r="K45" i="90"/>
  <c r="K44" i="90"/>
  <c r="K42" i="90"/>
  <c r="K41" i="90"/>
  <c r="K39" i="90"/>
  <c r="K38" i="90"/>
  <c r="K36" i="90"/>
  <c r="K35" i="90"/>
  <c r="K33" i="90"/>
  <c r="K32" i="90"/>
  <c r="K30" i="90"/>
  <c r="K29" i="90"/>
  <c r="K27" i="90"/>
  <c r="K26" i="90"/>
  <c r="K24" i="90"/>
  <c r="K23" i="90"/>
  <c r="K21" i="90"/>
  <c r="K20" i="90"/>
  <c r="K18" i="90"/>
  <c r="K17" i="90"/>
  <c r="K15" i="90"/>
  <c r="K14" i="90"/>
  <c r="K12" i="90"/>
  <c r="D14" i="74"/>
  <c r="B14" i="7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9" i="90"/>
  <c r="K6" i="90"/>
  <c r="K5"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12" i="94"/>
  <c r="M11" i="94"/>
  <c r="Q11" i="94" s="1"/>
  <c r="M10" i="94"/>
  <c r="P10" i="94" s="1"/>
  <c r="M9" i="94"/>
  <c r="Q9" i="94" s="1"/>
  <c r="M15" i="94"/>
  <c r="P15" i="94" s="1"/>
  <c r="M5" i="94"/>
  <c r="P5" i="94" s="1"/>
  <c r="M16" i="94"/>
  <c r="Q16" i="94" s="1"/>
  <c r="M13" i="94"/>
  <c r="P13" i="94" s="1"/>
  <c r="M3" i="94"/>
  <c r="P3" i="94" s="1"/>
  <c r="M17" i="94"/>
  <c r="P17" i="94" s="1"/>
  <c r="M2" i="94"/>
  <c r="P2" i="94" s="1"/>
  <c r="M4" i="94"/>
  <c r="Q4" i="94" s="1"/>
  <c r="M14" i="94"/>
  <c r="P14" i="94" s="1"/>
  <c r="M6" i="94"/>
  <c r="M7" i="94"/>
  <c r="Q7" i="94" s="1"/>
  <c r="M8" i="94"/>
  <c r="P8" i="94" s="1"/>
  <c r="Q38" i="82"/>
  <c r="R46" i="82"/>
  <c r="Q46" i="82"/>
  <c r="P46" i="82"/>
  <c r="O46" i="82"/>
  <c r="F38" i="95"/>
  <c r="E37" i="95"/>
  <c r="F36" i="95"/>
  <c r="F35" i="95"/>
  <c r="F21" i="95"/>
  <c r="C40" i="95" s="1"/>
  <c r="F20" i="95"/>
  <c r="F39" i="95" s="1"/>
  <c r="C19" i="95"/>
  <c r="E10" i="95"/>
  <c r="E9" i="95"/>
  <c r="F7" i="95"/>
  <c r="H1" i="95"/>
  <c r="N35" i="85"/>
  <c r="O74" i="90"/>
  <c r="O71" i="90"/>
  <c r="K6" i="94"/>
  <c r="AG6" i="94" s="1"/>
  <c r="K7" i="94"/>
  <c r="AG7" i="94" s="1"/>
  <c r="K14" i="94"/>
  <c r="AG14" i="94" s="1"/>
  <c r="K16" i="94"/>
  <c r="AG16" i="94" s="1"/>
  <c r="K5" i="94"/>
  <c r="AG5" i="94" s="1"/>
  <c r="K3" i="94"/>
  <c r="AG3" i="94" s="1"/>
  <c r="K4" i="94"/>
  <c r="AG4" i="94" s="1"/>
  <c r="K2" i="94"/>
  <c r="AG2" i="94" s="1"/>
  <c r="K15" i="94"/>
  <c r="AG15" i="94" s="1"/>
  <c r="K13" i="94"/>
  <c r="AG13" i="94" s="1"/>
  <c r="K17" i="94"/>
  <c r="AG17" i="94" s="1"/>
  <c r="K10" i="94"/>
  <c r="AG10" i="94" s="1"/>
  <c r="K9" i="94"/>
  <c r="AG9" i="94" s="1"/>
  <c r="K12" i="94"/>
  <c r="AG12" i="94" s="1"/>
  <c r="K11" i="94"/>
  <c r="AG11" i="94" s="1"/>
  <c r="K8" i="94"/>
  <c r="AG8" i="94" s="1"/>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7" i="90"/>
  <c r="E2" i="95"/>
  <c r="F40" i="95" l="1"/>
  <c r="C21" i="95"/>
  <c r="W28" i="90"/>
  <c r="W19" i="90"/>
  <c r="W65" i="90"/>
  <c r="W8" i="90" s="1"/>
  <c r="W43" i="90"/>
  <c r="W4" i="90"/>
  <c r="W40" i="90"/>
  <c r="W31" i="90"/>
  <c r="W16" i="90"/>
  <c r="W7" i="90"/>
  <c r="W32" i="90"/>
  <c r="W46" i="90"/>
  <c r="W34" i="90"/>
  <c r="W26" i="90"/>
  <c r="W22" i="90"/>
  <c r="W10" i="90"/>
  <c r="W49" i="90"/>
  <c r="W37" i="90"/>
  <c r="W25" i="90"/>
  <c r="Q14" i="94"/>
  <c r="P4" i="94"/>
  <c r="Q15" i="94"/>
  <c r="Q3" i="94"/>
  <c r="P7" i="94"/>
  <c r="Q8" i="94"/>
  <c r="P12" i="94"/>
  <c r="P16" i="94"/>
  <c r="P11" i="94"/>
  <c r="P9" i="94"/>
  <c r="P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3"/>
  <c r="E2" i="91"/>
  <c r="E2" i="92"/>
  <c r="X13" i="90" l="1"/>
  <c r="W23" i="90"/>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 i="90" l="1"/>
  <c r="Y2" i="90" s="1"/>
  <c r="X26" i="90"/>
  <c r="X35" i="90"/>
  <c r="X14" i="90"/>
  <c r="X8" i="90"/>
  <c r="X29" i="90"/>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AD27" i="90" s="1"/>
  <c r="Y29" i="90"/>
  <c r="AD30" i="90"/>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I15" i="82"/>
  <c r="A15" i="82"/>
  <c r="G15" i="82" s="1"/>
  <c r="R38" i="82"/>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G14" i="82" l="1"/>
  <c r="G38" i="82" s="1"/>
  <c r="O37" i="82"/>
  <c r="AC48" i="90"/>
  <c r="AD48" i="90" s="1"/>
  <c r="AC37" i="90"/>
  <c r="AD37" i="90" s="1"/>
  <c r="AC20" i="90"/>
  <c r="AD20" i="90" s="1"/>
  <c r="AD26" i="90"/>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53" i="82" s="1"/>
  <c r="G26" i="82"/>
  <c r="R49" i="82"/>
  <c r="O49" i="82"/>
  <c r="O52" i="82" s="1"/>
  <c r="P19"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D42" i="88"/>
  <c r="R2" i="86"/>
  <c r="R3" i="86"/>
  <c r="R4" i="86"/>
  <c r="R5" i="86"/>
  <c r="R6" i="86"/>
  <c r="I28" i="83"/>
  <c r="H27" i="83"/>
  <c r="K27" i="83" s="1"/>
  <c r="H26" i="83"/>
  <c r="K26" i="83" s="1"/>
  <c r="H25" i="83"/>
  <c r="O53" i="82" l="1"/>
  <c r="Q19" i="82" s="1"/>
  <c r="P15" i="82"/>
  <c r="G54" i="82"/>
  <c r="Q15" i="82" s="1"/>
  <c r="Y24" i="88"/>
  <c r="Z23" i="88"/>
  <c r="Z24" i="88" s="1"/>
  <c r="AD47" i="90"/>
  <c r="G30" i="82"/>
  <c r="P14" i="82"/>
  <c r="Q14" i="82" s="1"/>
  <c r="D44" i="88"/>
  <c r="E44" i="88" s="1"/>
  <c r="C41" i="88" s="1"/>
  <c r="H28" i="83"/>
  <c r="J28" i="83" s="1"/>
  <c r="K25" i="83"/>
  <c r="G21" i="6"/>
  <c r="I14" i="3"/>
  <c r="I13" i="3"/>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5" l="1"/>
  <c r="C7" i="95" s="1"/>
  <c r="C6" i="93"/>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F38" i="67"/>
  <c r="C19" i="9"/>
  <c r="M22" i="67"/>
  <c r="E9" i="76"/>
  <c r="E10" i="76"/>
  <c r="B9" i="76"/>
  <c r="F4" i="73"/>
  <c r="AO13" i="1"/>
  <c r="D35" i="9"/>
  <c r="D9" i="95"/>
  <c r="B13" i="76"/>
  <c r="B12" i="76"/>
  <c r="C20" i="9"/>
  <c r="D20" i="9"/>
  <c r="E8" i="76"/>
  <c r="F20" i="31"/>
  <c r="F3" i="73"/>
  <c r="F5" i="73"/>
  <c r="F27" i="95"/>
  <c r="B8" i="76"/>
  <c r="B11" i="76"/>
  <c r="E2" i="68"/>
  <c r="B10" i="76"/>
  <c r="E7" i="76"/>
  <c r="D6" i="73"/>
  <c r="F7" i="73"/>
  <c r="E12" i="76"/>
  <c r="E2" i="69"/>
  <c r="E13" i="76"/>
  <c r="F6" i="73"/>
  <c r="D19" i="9"/>
  <c r="B7" i="76"/>
  <c r="C36" i="95"/>
  <c r="E11" i="76"/>
  <c r="D34" i="9"/>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F27" i="91"/>
  <c r="M28" i="67"/>
  <c r="J15" i="67"/>
  <c r="F26" i="67"/>
  <c r="F7" i="15"/>
  <c r="F36" i="67"/>
  <c r="L48" i="67"/>
  <c r="M24" i="67"/>
  <c r="F8" i="67"/>
  <c r="C76" i="67"/>
  <c r="C36" i="69"/>
  <c r="D4" i="73"/>
  <c r="F40" i="67"/>
  <c r="F7" i="67"/>
  <c r="L47" i="67"/>
  <c r="F13" i="67"/>
  <c r="D9" i="91"/>
  <c r="F6" i="67"/>
  <c r="M23" i="67"/>
  <c r="F9" i="67"/>
  <c r="D7" i="73"/>
  <c r="F16" i="67"/>
  <c r="M29" i="67"/>
  <c r="F43" i="67"/>
  <c r="F37" i="67"/>
  <c r="F42" i="67"/>
  <c r="C36" i="91"/>
  <c r="M8" i="67"/>
  <c r="D5" i="73"/>
  <c r="D3" i="73"/>
  <c r="M26" i="67"/>
  <c r="M9" i="67"/>
  <c r="M6" i="67"/>
  <c r="F37" i="15"/>
  <c r="M6" i="15"/>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M9" i="15"/>
  <c r="D9" i="92"/>
  <c r="F26" i="15"/>
  <c r="F8" i="15"/>
  <c r="F36" i="15"/>
  <c r="F9" i="15"/>
  <c r="F40" i="15"/>
  <c r="M22" i="15"/>
  <c r="L47" i="15"/>
  <c r="F38" i="15"/>
  <c r="F27" i="69"/>
  <c r="F27" i="92"/>
  <c r="L48" i="15"/>
  <c r="F6" i="15"/>
  <c r="C36" i="92"/>
  <c r="F16" i="15"/>
  <c r="M23" i="15"/>
  <c r="F27" i="93"/>
  <c r="M26" i="15"/>
  <c r="M29" i="15"/>
  <c r="C36" i="93"/>
  <c r="C76" i="15"/>
  <c r="F42" i="15"/>
  <c r="D9" i="93"/>
  <c r="F43" i="15"/>
  <c r="C16" i="67"/>
  <c r="F13" i="15"/>
  <c r="D9" i="69"/>
  <c r="F41" i="67"/>
  <c r="M28" i="15"/>
  <c r="M8" i="15"/>
  <c r="M24" i="15"/>
  <c r="J15" i="15"/>
  <c r="G1" i="73"/>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M27" i="15"/>
  <c r="M27" i="67"/>
  <c r="D10" i="92"/>
  <c r="F41" i="15"/>
  <c r="D10" i="91"/>
  <c r="C34" i="93"/>
  <c r="C16" i="15"/>
  <c r="D10" i="93"/>
  <c r="D10" i="95"/>
  <c r="C34" i="92"/>
  <c r="C34" i="95"/>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4" i="67"/>
  <c r="D10" i="69"/>
  <c r="C17" i="15"/>
  <c r="C34" i="69"/>
  <c r="C17" i="67"/>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30" i="6" s="1"/>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R21" i="6" l="1"/>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2"/>
  <c r="B3" i="93"/>
  <c r="B3" i="91"/>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M21" i="15"/>
  <c r="F35" i="67"/>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B3" i="95"/>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F38" i="90"/>
  <c r="AI38" i="90" s="1"/>
  <c r="AF2" i="90"/>
  <c r="AI2" i="90" s="1"/>
  <c r="AF11" i="90"/>
  <c r="AI11" i="90" s="1"/>
  <c r="AF20" i="90"/>
  <c r="AF35" i="90"/>
  <c r="AI35" i="90" s="1"/>
  <c r="AF17" i="90"/>
  <c r="AF5" i="90"/>
  <c r="AI5" i="90" s="1"/>
  <c r="AF32" i="90"/>
  <c r="AF47" i="90"/>
  <c r="AI47" i="90" s="1"/>
  <c r="AF29" i="90"/>
  <c r="AF14" i="90"/>
  <c r="AI14" i="90" s="1"/>
  <c r="AF44" i="90"/>
  <c r="AF26" i="90"/>
  <c r="AF41" i="90"/>
  <c r="AI41" i="90" s="1"/>
  <c r="AF8" i="90"/>
  <c r="AI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AJ47" i="90" l="1"/>
  <c r="AI29" i="90"/>
  <c r="AJ29" i="90" s="1"/>
  <c r="AI26" i="90"/>
  <c r="AJ26" i="90" s="1"/>
  <c r="AK26" i="90" s="1"/>
  <c r="AM27" i="90" s="1"/>
  <c r="AI17" i="90"/>
  <c r="AJ17" i="90" s="1"/>
  <c r="AI44" i="90"/>
  <c r="AJ44" i="90" s="1"/>
  <c r="AI32" i="90"/>
  <c r="AJ32" i="90" s="1"/>
  <c r="AI20" i="90"/>
  <c r="AJ20" i="90" s="1"/>
  <c r="AI23" i="90"/>
  <c r="AJ23" i="90" s="1"/>
  <c r="AJ35" i="90"/>
  <c r="AJ2" i="90"/>
  <c r="AJ14" i="90"/>
  <c r="AJ8" i="90"/>
  <c r="AJ38" i="90"/>
  <c r="AK38" i="90" s="1"/>
  <c r="AM39" i="90" s="1"/>
  <c r="AJ5" i="90"/>
  <c r="AK5" i="90" s="1"/>
  <c r="AM6" i="90"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R11" i="96" l="1"/>
  <c r="U11" i="96" s="1"/>
  <c r="AO5" i="90"/>
  <c r="R16" i="96"/>
  <c r="T16" i="96" s="1"/>
  <c r="AO38" i="90"/>
  <c r="R16" i="94"/>
  <c r="U16" i="94" s="1"/>
  <c r="R11" i="94"/>
  <c r="U11" i="94" s="1"/>
  <c r="AL5" i="90"/>
  <c r="AL38" i="90"/>
  <c r="AJ11" i="90"/>
  <c r="AK11" i="90" s="1"/>
  <c r="AM12" i="90" s="1"/>
  <c r="AJ41" i="90"/>
  <c r="AK41" i="90" s="1"/>
  <c r="AM42" i="90"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6" i="1"/>
  <c r="AO8" i="1"/>
  <c r="AO12" i="1"/>
  <c r="AO11" i="1"/>
  <c r="AO7" i="1"/>
  <c r="S11" i="96" l="1"/>
  <c r="S16" i="96"/>
  <c r="U16" i="96"/>
  <c r="R14" i="96"/>
  <c r="U14" i="96" s="1"/>
  <c r="AO41" i="90"/>
  <c r="R9" i="96"/>
  <c r="S9" i="96" s="1"/>
  <c r="AO11" i="90"/>
  <c r="T11" i="96"/>
  <c r="R14" i="94"/>
  <c r="U14" i="94" s="1"/>
  <c r="R9" i="94"/>
  <c r="U9" i="94" s="1"/>
  <c r="S11" i="94"/>
  <c r="T11" i="94"/>
  <c r="S16" i="94"/>
  <c r="T16"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4" i="96" l="1"/>
  <c r="T14" i="96"/>
  <c r="U9" i="96"/>
  <c r="T9" i="96"/>
  <c r="S14" i="94"/>
  <c r="T14" i="94"/>
  <c r="S9" i="94"/>
  <c r="T9"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AM45" i="90" s="1"/>
  <c r="H6" i="85"/>
  <c r="M6" i="85" s="1"/>
  <c r="H13" i="85"/>
  <c r="V13" i="85" s="1"/>
  <c r="AK23" i="90"/>
  <c r="AM24" i="90" s="1"/>
  <c r="H8" i="85"/>
  <c r="M8" i="85" s="1"/>
  <c r="AK29" i="90"/>
  <c r="AM30" i="90" s="1"/>
  <c r="H10" i="85"/>
  <c r="M10" i="85" s="1"/>
  <c r="H4" i="85"/>
  <c r="M4" i="85" s="1"/>
  <c r="H7" i="85"/>
  <c r="V7" i="85" s="1"/>
  <c r="AK32" i="90"/>
  <c r="AM33" i="90" s="1"/>
  <c r="R3" i="96" l="1"/>
  <c r="T3" i="96" s="1"/>
  <c r="AO32" i="90"/>
  <c r="R4" i="96"/>
  <c r="U4" i="96" s="1"/>
  <c r="AO29" i="90"/>
  <c r="R7" i="96"/>
  <c r="S7" i="96" s="1"/>
  <c r="AO44" i="90"/>
  <c r="R15" i="96"/>
  <c r="S15" i="96" s="1"/>
  <c r="AO23" i="90"/>
  <c r="W10" i="85"/>
  <c r="V10" i="85"/>
  <c r="R7" i="94"/>
  <c r="U7" i="94" s="1"/>
  <c r="R4" i="94"/>
  <c r="R15" i="94"/>
  <c r="R3" i="94"/>
  <c r="W7" i="85"/>
  <c r="W13" i="85"/>
  <c r="X16" i="85"/>
  <c r="X12" i="85"/>
  <c r="X9" i="85"/>
  <c r="X11" i="85"/>
  <c r="AL44" i="90"/>
  <c r="AK2" i="90"/>
  <c r="AM3" i="90" s="1"/>
  <c r="AL32" i="90"/>
  <c r="AL23" i="90"/>
  <c r="AL29" i="90"/>
  <c r="AK35" i="90"/>
  <c r="AM36" i="90" s="1"/>
  <c r="AO26" i="90"/>
  <c r="V4" i="85"/>
  <c r="W4" i="85"/>
  <c r="W6" i="85"/>
  <c r="M17" i="85"/>
  <c r="AK17" i="90"/>
  <c r="AM18" i="90" s="1"/>
  <c r="W8" i="85"/>
  <c r="V17" i="85"/>
  <c r="AK47" i="90"/>
  <c r="AM48" i="90" s="1"/>
  <c r="V6" i="85"/>
  <c r="V8" i="85"/>
  <c r="M13" i="85"/>
  <c r="M7" i="85"/>
  <c r="AO2" i="90" l="1"/>
  <c r="U7" i="96"/>
  <c r="S3" i="96"/>
  <c r="U3" i="96"/>
  <c r="U15" i="96"/>
  <c r="T4" i="96"/>
  <c r="T15" i="96"/>
  <c r="T7" i="96"/>
  <c r="R6" i="96"/>
  <c r="U6" i="96" s="1"/>
  <c r="AO47" i="90"/>
  <c r="R5" i="96"/>
  <c r="T5" i="96" s="1"/>
  <c r="AO35" i="90"/>
  <c r="S4" i="96"/>
  <c r="R17" i="96"/>
  <c r="U17" i="96" s="1"/>
  <c r="AO17" i="90"/>
  <c r="R2" i="96"/>
  <c r="S2" i="96" s="1"/>
  <c r="R2" i="94"/>
  <c r="U2" i="94" s="1"/>
  <c r="R8" i="94"/>
  <c r="U8" i="94" s="1"/>
  <c r="R8" i="96"/>
  <c r="R5" i="94"/>
  <c r="U5" i="94" s="1"/>
  <c r="T7" i="94"/>
  <c r="S7" i="94"/>
  <c r="R17" i="94"/>
  <c r="U17" i="94" s="1"/>
  <c r="S4" i="94"/>
  <c r="U4" i="94"/>
  <c r="S3" i="94"/>
  <c r="U3" i="94"/>
  <c r="T15" i="94"/>
  <c r="U15" i="94"/>
  <c r="S15" i="94"/>
  <c r="T3" i="94"/>
  <c r="T4" i="94"/>
  <c r="R6" i="94"/>
  <c r="X10" i="85"/>
  <c r="X13" i="85"/>
  <c r="X7" i="85"/>
  <c r="X2" i="85"/>
  <c r="X17" i="85"/>
  <c r="AL17" i="90"/>
  <c r="AL26" i="90"/>
  <c r="AL35" i="90"/>
  <c r="AL2" i="90"/>
  <c r="AL47" i="90"/>
  <c r="AK20" i="90"/>
  <c r="AM21" i="90" s="1"/>
  <c r="AK14" i="90"/>
  <c r="AM15" i="90" s="1"/>
  <c r="AK8" i="90"/>
  <c r="AM9" i="90" s="1"/>
  <c r="T17" i="96" l="1"/>
  <c r="S6" i="96"/>
  <c r="T6" i="96"/>
  <c r="S17" i="96"/>
  <c r="U5" i="96"/>
  <c r="R12" i="96"/>
  <c r="S12" i="96" s="1"/>
  <c r="AO8" i="90"/>
  <c r="R10" i="96"/>
  <c r="U10" i="96" s="1"/>
  <c r="AO14" i="90"/>
  <c r="S5" i="96"/>
  <c r="R13" i="96"/>
  <c r="S13" i="96" s="1"/>
  <c r="AO20" i="90"/>
  <c r="U2" i="96"/>
  <c r="T2" i="96"/>
  <c r="T8" i="96"/>
  <c r="U8" i="96"/>
  <c r="S8" i="96"/>
  <c r="R10" i="94"/>
  <c r="U10" i="94" s="1"/>
  <c r="T8" i="94"/>
  <c r="R13" i="94"/>
  <c r="U13" i="94" s="1"/>
  <c r="R12" i="94"/>
  <c r="U12" i="94" s="1"/>
  <c r="S6" i="94"/>
  <c r="U6" i="94"/>
  <c r="T6" i="94"/>
  <c r="S5" i="94"/>
  <c r="T5" i="94"/>
  <c r="S2" i="94"/>
  <c r="T2" i="94"/>
  <c r="S8" i="94"/>
  <c r="S17" i="94"/>
  <c r="T17" i="94"/>
  <c r="X4" i="85"/>
  <c r="X6" i="85"/>
  <c r="X8" i="85"/>
  <c r="AL14" i="90"/>
  <c r="AL20" i="90"/>
  <c r="AL8" i="90"/>
  <c r="T12" i="96" l="1"/>
  <c r="U13" i="96"/>
  <c r="T13" i="96"/>
  <c r="U12" i="96"/>
  <c r="S10" i="96"/>
  <c r="T10" i="96"/>
  <c r="T13" i="94"/>
  <c r="S13" i="94"/>
  <c r="S12" i="94"/>
  <c r="T12" i="94"/>
  <c r="S10" i="94"/>
  <c r="T10" i="94"/>
  <c r="Q5" i="94" l="1"/>
  <c r="H5" i="94"/>
  <c r="C86" i="9"/>
  <c r="C93" i="9"/>
  <c r="B32" i="72"/>
  <c r="D14" i="53"/>
  <c r="Q17" i="96"/>
  <c r="H17" i="96"/>
  <c r="H5" i="52"/>
  <c r="H119" i="9"/>
  <c r="B53" i="72"/>
  <c r="F5" i="52"/>
  <c r="F119" i="9"/>
  <c r="C5" i="74"/>
  <c r="E97" i="9"/>
  <c r="E96" i="9"/>
  <c r="C96" i="9"/>
  <c r="E4" i="52"/>
  <c r="B48" i="72"/>
  <c r="Q10" i="94"/>
  <c r="H10" i="94"/>
  <c r="Q10" i="96"/>
  <c r="H10" i="96"/>
  <c r="D9" i="52"/>
  <c r="D123" i="9"/>
  <c r="M55" i="9"/>
  <c r="D59" i="9"/>
  <c r="B51" i="72"/>
  <c r="F4" i="52"/>
  <c r="B52" i="72"/>
  <c r="F118" i="9"/>
  <c r="G118" i="9"/>
  <c r="G4" i="52"/>
  <c r="C85" i="9"/>
  <c r="C95" i="9"/>
  <c r="C97" i="9"/>
  <c r="D58" i="9"/>
  <c r="D56" i="9"/>
  <c r="M54" i="9"/>
  <c r="B47" i="72"/>
  <c r="D4" i="52"/>
  <c r="Q12" i="94"/>
  <c r="H12" i="94"/>
  <c r="Q17" i="94"/>
  <c r="H17" i="94"/>
  <c r="B31" i="72"/>
  <c r="D15" i="53"/>
  <c r="D54" i="9"/>
  <c r="C64" i="9"/>
  <c r="C63" i="9"/>
  <c r="C67" i="9"/>
  <c r="C68" i="9"/>
  <c r="B49" i="72"/>
  <c r="D5" i="52"/>
  <c r="E118" i="9"/>
  <c r="D118" i="9"/>
  <c r="D119" i="9"/>
  <c r="C105" i="9"/>
  <c r="I4" i="52"/>
  <c r="B22" i="72"/>
  <c r="D6" i="53"/>
  <c r="H102" i="9"/>
  <c r="D7" i="53"/>
  <c r="B21" i="72"/>
  <c r="C81" i="9"/>
  <c r="Q13" i="96"/>
  <c r="H13" i="96"/>
  <c r="D122" i="9"/>
  <c r="D8" i="52"/>
  <c r="C104" i="9"/>
  <c r="H4" i="52"/>
  <c r="C72" i="9"/>
  <c r="C79" i="9"/>
  <c r="C80" i="9"/>
  <c r="E80" i="9"/>
  <c r="E81" i="9"/>
  <c r="M48" i="9"/>
  <c r="Q13" i="94"/>
  <c r="H13" i="94"/>
  <c r="N60" i="9"/>
  <c r="N59" i="9"/>
  <c r="N61" i="9"/>
  <c r="H2" i="94"/>
  <c r="Q2" i="94"/>
  <c r="H6" i="94"/>
  <c r="Q6" i="94"/>
  <c r="D13" i="53"/>
  <c r="B30" i="72"/>
  <c r="H107" i="9"/>
  <c r="H108" i="9"/>
  <c r="C6" i="74"/>
  <c r="H6" i="96"/>
  <c r="Q6" i="96"/>
  <c r="D52" i="9"/>
  <c r="D53" i="9"/>
  <c r="D5" i="53"/>
  <c r="B20" i="72"/>
  <c r="N58" i="9"/>
  <c r="D55" i="9"/>
  <c r="M53" i="9"/>
  <c r="N57" i="9"/>
  <c r="P57" i="9"/>
  <c r="I118" i="9"/>
  <c r="H118" i="9"/>
  <c r="H101" i="9"/>
  <c r="D45" i="9"/>
  <c r="C78" i="9"/>
  <c r="C73" i="9"/>
  <c r="H12" i="96"/>
  <c r="Q12" i="96"/>
  <c r="H2" i="96"/>
  <c r="Q2" i="96"/>
  <c r="H5" i="96"/>
  <c r="Q5"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<sst xmlns="http://schemas.openxmlformats.org/spreadsheetml/2006/main" count="10105" uniqueCount="4006">
  <si>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</si>
  <si>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</si>
  <si>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</si>
  <si>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</si>
  <si>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</si>
  <si>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</si>
  <si>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</si>
  <si>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</si>
  <si>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</si>
  <si>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</si>
  <si>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</si>
  <si>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</si>
  <si>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</si>
  <si>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</si>
  <si>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</si>
  <si>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</si>
  <si>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</si>
  <si>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</si>
  <si>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</si>
  <si>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</si>
  <si>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</si>
  <si>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</si>
  <si>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</si>
  <si>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</si>
  <si>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</si>
  <si>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</si>
  <si>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</si>
  <si>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</si>
  <si>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</si>
  <si>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</si>
  <si>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</si>
  <si>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</si>
  <si>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</si>
  <si>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</si>
  <si>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</si>
  <si>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</si>
  <si>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</si>
  <si>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</si>
  <si>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</si>
  <si>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</si>
  <si>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</si>
  <si>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</si>
  <si>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</si>
  <si>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</si>
  <si>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</si>
  <si>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</si>
  <si>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</si>
  <si>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</si>
  <si>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</si>
  <si>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</si>
  <si>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</si>
  <si>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</si>
  <si>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</si>
  <si>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</si>
  <si>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</si>
  <si>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</si>
  <si>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</si>
  <si>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</si>
  <si>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</si>
  <si>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</si>
  <si>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</si>
  <si>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</si>
  <si>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</si>
  <si>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</si>
  <si>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</si>
  <si>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</si>
  <si>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</si>
  <si>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</si>
  <si>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</si>
  <si>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</si>
  <si>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</si>
  <si>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</si>
  <si>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</si>
  <si>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</si>
  <si>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</si>
  <si>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</si>
  <si>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</si>
  <si>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</si>
  <si>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</si>
  <si>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</si>
  <si>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</si>
  <si>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</si>
  <si>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</si>
  <si>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</si>
  <si>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</si>
  <si>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</si>
  <si>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</si>
  <si>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</si>
  <si>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</si>
  <si>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</si>
  <si>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</si>
  <si>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</si>
  <si>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</si>
  <si>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</si>
  <si>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</si>
  <si>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</si>
  <si>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</si>
  <si>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</si>
  <si>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</si>
  <si>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</si>
  <si>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</si>
  <si>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</si>
  <si>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</si>
  <si>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</si>
  <si>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</si>
  <si>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</si>
  <si>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</si>
  <si>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</si>
  <si>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</si>
  <si>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</si>
  <si>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</si>
  <si>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</si>
  <si>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</si>
  <si>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</si>
  <si>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</si>
  <si>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</si>
  <si>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</si>
  <si>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</si>
  <si>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</si>
  <si>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</si>
  <si>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</si>
  <si>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</si>
  <si>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</si>
  <si>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</si>
  <si>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</si>
  <si>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</si>
  <si>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</si>
  <si>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</si>
  <si>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</si>
  <si>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</si>
  <si>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</si>
  <si>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</si>
  <si>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</si>
  <si>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</si>
  <si>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</si>
  <si>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</si>
  <si>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</si>
  <si>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</si>
  <si>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</si>
  <si>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</si>
  <si>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</si>
  <si>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</si>
  <si>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</si>
  <si>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</si>
  <si>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</si>
  <si>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</si>
  <si>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</si>
  <si>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</si>
  <si>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</si>
  <si>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</si>
  <si>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</si>
  <si>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</si>
  <si>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</si>
  <si>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</si>
  <si>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</si>
  <si>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</si>
  <si>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</si>
  <si>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</si>
  <si>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</si>
  <si>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</si>
  <si>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</si>
  <si>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</si>
  <si>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</si>
  <si>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</si>
  <si>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</si>
  <si>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</si>
  <si>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</si>
  <si>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</si>
  <si>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</si>
  <si>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</si>
  <si>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</si>
  <si>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</si>
  <si>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</si>
  <si>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</si>
  <si>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</si>
  <si>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</si>
  <si>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</si>
  <si>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</si>
  <si>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</si>
  <si>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</si>
  <si>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</si>
  <si>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</si>
  <si>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</si>
  <si>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</si>
  <si>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</si>
  <si>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</si>
  <si>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</si>
  <si>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</si>
  <si>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</si>
  <si>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</si>
  <si>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</si>
  <si>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</si>
  <si>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</si>
  <si>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</si>
  <si>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</si>
  <si>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</si>
  <si>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</si>
  <si>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</si>
  <si>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</si>
  <si>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</si>
  <si>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</si>
  <si>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</si>
  <si>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</si>
  <si>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</si>
  <si>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</si>
  <si>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</si>
  <si>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</si>
  <si>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</si>
  <si>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</si>
  <si>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</si>
  <si>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</si>
  <si>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</si>
  <si>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</si>
  <si>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</si>
  <si>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</si>
  <si>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</si>
  <si>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</si>
  <si>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</si>
  <si>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</si>
  <si>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</si>
  <si>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</si>
  <si>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</si>
  <si>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</si>
  <si>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</si>
  <si>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</si>
  <si>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</si>
  <si>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</si>
  <si>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</si>
  <si>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</si>
  <si>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</si>
  <si>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</si>
  <si>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</si>
  <si>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</si>
  <si>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</si>
  <si>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</si>
  <si>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</si>
  <si>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</si>
  <si>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</si>
  <si>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</si>
  <si>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</si>
  <si>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</si>
  <si>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</si>
  <si>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</si>
  <si>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</si>
  <si>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</si>
  <si>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</si>
  <si>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</si>
  <si>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</si>
  <si>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</si>
  <si>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</si>
  <si>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</si>
  <si>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</si>
  <si>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</si>
  <si>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</si>
  <si>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</si>
  <si>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</si>
  <si>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</si>
  <si>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</si>
  <si>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</si>
  <si>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</si>
  <si>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</si>
  <si>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</si>
  <si>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</si>
  <si>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</si>
  <si>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</si>
  <si>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</si>
  <si>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</si>
  <si>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</si>
  <si>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</si>
  <si>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</si>
  <si>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</si>
  <si>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</si>
  <si>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</si>
  <si>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</si>
  <si>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</si>
  <si>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</si>
  <si>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</si>
  <si>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</si>
  <si>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</si>
  <si>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</si>
  <si>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</si>
  <si>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</si>
  <si>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</si>
  <si>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</si>
  <si>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</si>
  <si>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</si>
  <si>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</si>
  <si>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</si>
  <si>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</si>
  <si>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</si>
  <si>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</si>
  <si>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</si>
  <si>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</si>
  <si>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</si>
  <si>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</si>
  <si>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</si>
  <si>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</si>
  <si>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</si>
  <si>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</si>
  <si>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</si>
  <si>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</si>
  <si>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</si>
  <si>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</si>
  <si>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</si>
  <si>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</si>
  <si>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</si>
  <si>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</si>
  <si>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</si>
  <si>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</si>
  <si>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</si>
  <si>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</si>
  <si>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</si>
  <si>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</si>
  <si>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</si>
  <si>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</si>
  <si>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</si>
  <si>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</si>
  <si>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</si>
  <si>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</si>
  <si>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</si>
  <si>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</si>
  <si>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</si>
  <si>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</si>
  <si>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</si>
  <si>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</si>
  <si>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</si>
  <si>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</si>
  <si>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</si>
  <si>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</si>
  <si>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</si>
  <si>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</si>
  <si>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</si>
  <si>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</si>
  <si>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</si>
  <si>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</si>
  <si>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</si>
  <si>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</si>
  <si>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</si>
  <si>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</si>
  <si>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</si>
  <si>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</si>
  <si>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</si>
  <si>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</si>
  <si>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</si>
  <si>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</si>
  <si>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</si>
  <si>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</si>
  <si>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</si>
  <si>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</si>
  <si>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</si>
  <si>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</si>
  <si>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</si>
  <si>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</si>
  <si>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</si>
  <si>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</si>
  <si>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</si>
  <si>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</si>
  <si>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</si>
  <si>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</si>
  <si>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</si>
  <si>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</si>
  <si>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</si>
  <si>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</si>
  <si>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</si>
  <si>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</si>
  <si>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</si>
  <si>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</si>
  <si>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</si>
  <si>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</si>
  <si>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</si>
  <si>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</si>
  <si>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</si>
  <si>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</si>
  <si>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</si>
  <si>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</si>
  <si>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</si>
  <si>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</si>
  <si>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</si>
  <si>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</si>
  <si>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</si>
  <si>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</si>
  <si>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</si>
  <si>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</si>
  <si>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</si>
  <si>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</si>
  <si>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</si>
  <si>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</si>
  <si>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</si>
  <si>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</si>
  <si>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</si>
  <si>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</si>
  <si>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</si>
  <si>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</si>
  <si>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</si>
  <si>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</si>
  <si>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</si>
  <si>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</si>
  <si>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</si>
  <si>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</si>
  <si>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</si>
  <si>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</si>
  <si>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</si>
  <si>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</si>
  <si>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</si>
  <si>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</si>
  <si>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</si>
  <si>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</si>
  <si>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</si>
  <si>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</si>
  <si>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</si>
  <si>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</si>
  <si>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</si>
  <si>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</si>
  <si>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</si>
  <si>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</si>
  <si>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</si>
  <si>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</si>
  <si>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</si>
  <si>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</si>
  <si>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</si>
  <si>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</si>
  <si>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</si>
  <si>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</si>
  <si>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</si>
  <si>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</si>
  <si>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</si>
  <si>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</si>
  <si>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</si>
  <si>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</si>
  <si>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</si>
  <si>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</si>
  <si>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</si>
  <si>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</si>
  <si>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</si>
  <si>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</si>
  <si>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</si>
  <si>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</si>
  <si>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</si>
  <si>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</si>
  <si>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</si>
  <si>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</si>
  <si>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</si>
  <si>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</si>
  <si>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</si>
  <si>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</si>
  <si>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</si>
  <si>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</si>
  <si>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</si>
  <si>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</si>
  <si>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</si>
  <si>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</si>
  <si>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</si>
  <si>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</si>
  <si>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</si>
  <si>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</si>
  <si>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</si>
  <si>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</si>
  <si>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</si>
  <si>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</si>
  <si>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</si>
  <si>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</si>
  <si>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</si>
  <si>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</si>
  <si>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</si>
  <si>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</si>
  <si>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</si>
  <si>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</si>
  <si>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</si>
  <si>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</si>
  <si>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</si>
  <si>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</si>
  <si>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</si>
  <si>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</si>
  <si>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</si>
  <si>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</si>
  <si>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</si>
  <si>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</si>
  <si>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</si>
  <si>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</si>
  <si>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</si>
  <si>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</si>
  <si>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</si>
  <si>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</si>
  <si>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</si>
  <si>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</si>
  <si>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</si>
  <si>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</si>
  <si>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</si>
  <si>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</si>
  <si>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</si>
  <si>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</si>
  <si>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</si>
  <si>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</si>
  <si>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</si>
  <si>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</si>
  <si>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</si>
  <si>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</si>
  <si>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</si>
  <si>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</si>
  <si>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</si>
  <si>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</si>
  <si>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</si>
  <si>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</si>
  <si>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</si>
  <si>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</si>
  <si>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</si>
  <si>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</si>
  <si>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</si>
  <si>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</si>
  <si>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</si>
  <si>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</si>
  <si>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</si>
  <si>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</si>
  <si>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</si>
  <si>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</si>
  <si>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</si>
  <si>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</si>
  <si>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</si>
  <si>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</si>
  <si>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</si>
  <si>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</si>
  <si>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</si>
  <si>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</si>
  <si>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</si>
  <si>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</si>
  <si>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</si>
  <si>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</si>
  <si>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</si>
  <si>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</si>
  <si>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</si>
  <si>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</si>
  <si>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</si>
  <si>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</si>
  <si>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</si>
  <si>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</si>
  <si>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</si>
  <si>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</si>
  <si>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</si>
  <si>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</si>
  <si>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</si>
  <si>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</si>
  <si>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</si>
  <si>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</si>
  <si>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</si>
  <si>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</si>
  <si>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</si>
  <si>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</si>
  <si>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</si>
  <si>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</si>
  <si>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</si>
  <si>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</si>
  <si>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</si>
  <si>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</si>
  <si>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</si>
  <si>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</si>
  <si>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</si>
  <si>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</si>
  <si>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</si>
  <si>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</si>
  <si>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</si>
  <si>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</si>
  <si>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</si>
  <si>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</si>
  <si>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</si>
  <si>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</si>
  <si>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</si>
  <si>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</si>
  <si>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</si>
  <si>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</si>
  <si>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</si>
  <si>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</si>
  <si>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</si>
  <si>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</si>
  <si>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</si>
  <si>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</si>
  <si>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</si>
  <si>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</si>
  <si>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</si>
  <si>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</si>
  <si>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</si>
  <si>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</si>
  <si>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</si>
  <si>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</si>
  <si>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</si>
  <si>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</si>
  <si>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</si>
  <si>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</si>
  <si>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</si>
  <si>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</si>
  <si>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</si>
  <si>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</si>
  <si>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</si>
  <si>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</si>
  <si>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</si>
  <si>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</si>
  <si>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</si>
  <si>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</si>
  <si>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</si>
  <si>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</si>
  <si>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</si>
  <si>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</si>
  <si>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</si>
  <si>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</si>
  <si>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</si>
  <si>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</si>
  <si>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</si>
  <si>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</si>
  <si>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</si>
  <si>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</si>
  <si>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</si>
  <si>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</si>
  <si>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</si>
  <si>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</si>
  <si>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</si>
  <si>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</si>
  <si>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</si>
  <si>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</si>
  <si>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</si>
  <si>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</si>
  <si>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</si>
  <si>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</si>
  <si>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</si>
  <si>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</si>
  <si>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</si>
  <si>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</si>
  <si>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</si>
  <si>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</si>
  <si>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</si>
  <si>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</si>
  <si>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</si>
  <si>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</si>
  <si>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</si>
  <si>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</si>
  <si>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</si>
  <si>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</si>
  <si>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</si>
  <si>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</si>
  <si>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</si>
  <si>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</si>
  <si>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</si>
  <si>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</si>
  <si>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</si>
  <si>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</si>
  <si>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</si>
  <si>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</si>
  <si>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</si>
  <si>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</si>
  <si>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</si>
  <si>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</si>
  <si>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</si>
  <si>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</si>
  <si>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</si>
  <si>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</si>
  <si>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</si>
  <si>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</si>
  <si>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</si>
  <si>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</si>
  <si>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</si>
  <si>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</si>
  <si>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</si>
  <si>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</si>
  <si>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</si>
  <si>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</si>
  <si>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</si>
  <si>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</si>
  <si>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</si>
  <si>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</si>
  <si>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</si>
  <si>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</si>
  <si>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</si>
  <si>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</si>
  <si>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</si>
  <si>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</si>
  <si>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</si>
  <si>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</si>
  <si>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</si>
  <si>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</si>
  <si>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</si>
  <si>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</si>
  <si>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</si>
  <si>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</si>
  <si>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</si>
  <si>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</si>
  <si>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</si>
  <si>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</si>
  <si>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</si>
  <si>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</si>
  <si>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</si>
  <si>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</si>
  <si>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</si>
  <si>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</si>
  <si>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</si>
  <si>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</si>
  <si>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</si>
  <si>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</si>
  <si>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</si>
  <si>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</si>
  <si>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</si>
  <si>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</si>
  <si>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</si>
  <si>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</si>
  <si>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</si>
  <si>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</si>
  <si>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</si>
  <si>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</si>
  <si>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</si>
  <si>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</si>
  <si>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</si>
  <si>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</si>
  <si>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</si>
  <si>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</si>
  <si>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</si>
  <si>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</si>
  <si>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</si>
  <si>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</si>
  <si>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</si>
  <si>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</si>
  <si>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</si>
  <si>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</si>
  <si>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</si>
  <si>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</si>
  <si>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</si>
  <si>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</si>
  <si>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</si>
  <si>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</si>
  <si>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</si>
  <si>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</si>
  <si>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</si>
  <si>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</si>
  <si>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</si>
  <si>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</si>
  <si>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</si>
  <si>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</si>
  <si>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</si>
  <si>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</si>
  <si>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</si>
  <si>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</si>
  <si>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</si>
  <si>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</si>
  <si>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</si>
  <si>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</si>
  <si>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</si>
  <si>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</si>
  <si>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</si>
  <si>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</si>
  <si>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</si>
  <si>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</si>
  <si>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</si>
  <si>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</si>
  <si>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</si>
  <si>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</si>
  <si>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</si>
  <si>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</si>
  <si>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</si>
  <si>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</si>
  <si>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</si>
  <si>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</si>
  <si>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</si>
  <si>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</si>
  <si>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</si>
  <si>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</si>
  <si>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</si>
  <si>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</si>
  <si>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</si>
  <si>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</si>
  <si>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</si>
  <si>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</si>
  <si>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</si>
  <si>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</si>
  <si>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</si>
  <si>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</si>
  <si>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</si>
  <si>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</si>
  <si>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</si>
  <si>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</si>
  <si>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</si>
  <si>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</si>
  <si>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</si>
  <si>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</si>
  <si>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</si>
  <si>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</si>
  <si>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</si>
  <si>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</si>
  <si>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</si>
  <si>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</si>
  <si>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</si>
  <si>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</si>
  <si>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</si>
  <si>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</si>
  <si>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</si>
  <si>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</si>
  <si>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</si>
  <si>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</si>
  <si>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</si>
  <si>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</si>
  <si>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</si>
  <si>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</si>
  <si>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</si>
  <si>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</si>
  <si>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</si>
  <si>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</si>
  <si>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</si>
  <si>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</si>
  <si>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</si>
  <si>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</si>
  <si>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</si>
  <si>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</si>
  <si>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</si>
  <si>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</si>
  <si>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</si>
  <si>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</si>
  <si>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</si>
  <si>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</si>
  <si>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</si>
  <si>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</si>
  <si>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</si>
  <si>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</si>
  <si>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</si>
  <si>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</si>
  <si>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</si>
  <si>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</si>
  <si>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</si>
  <si>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</si>
  <si>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</si>
  <si>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</si>
  <si>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</si>
  <si>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</si>
  <si>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</si>
  <si>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</si>
  <si>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</si>
  <si>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</si>
  <si>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</si>
  <si>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</si>
  <si>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</si>
  <si>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</si>
  <si>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</si>
  <si>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</si>
  <si>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</si>
  <si>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</si>
  <si>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</si>
  <si>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</si>
  <si>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</si>
  <si>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</si>
  <si>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</si>
  <si>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</si>
  <si>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</si>
  <si>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</si>
  <si>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</si>
  <si>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</si>
  <si>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</si>
  <si>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</si>
  <si>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</si>
  <si>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</si>
  <si>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</si>
  <si>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</si>
  <si>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</si>
  <si>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</si>
  <si>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</si>
  <si>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</si>
  <si>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</si>
  <si>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</si>
  <si>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</si>
  <si>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</si>
  <si>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</si>
  <si>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</si>
  <si>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</si>
  <si>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</si>
  <si>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</si>
  <si>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</si>
  <si>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</si>
  <si>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</si>
  <si>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</si>
  <si>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</si>
  <si>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</si>
  <si>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</si>
  <si>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</si>
  <si>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</si>
  <si>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</si>
  <si>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</si>
  <si>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</si>
  <si>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</si>
  <si>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</si>
  <si>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</si>
  <si>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</si>
  <si>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</si>
  <si>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</si>
  <si>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</si>
  <si>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</si>
  <si>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</si>
  <si>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</si>
  <si>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</si>
  <si>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</si>
  <si>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</si>
  <si>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</si>
  <si>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</si>
  <si>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</si>
  <si>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</si>
  <si>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</si>
  <si>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</si>
  <si>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</si>
  <si>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</si>
  <si>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</si>
  <si>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</si>
  <si>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</si>
  <si>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</si>
  <si>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</si>
  <si>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</si>
  <si>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</si>
  <si>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</si>
  <si>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</si>
  <si>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</si>
  <si>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</si>
  <si>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</si>
  <si>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</si>
  <si>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</si>
  <si>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</si>
  <si>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</si>
  <si>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</si>
  <si>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</si>
  <si>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</si>
  <si>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</si>
  <si>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</si>
  <si>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</si>
  <si>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</si>
  <si>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</si>
  <si>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</si>
  <si>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</si>
  <si>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</si>
  <si>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</si>
  <si>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</si>
  <si>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</si>
  <si>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</si>
  <si>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</si>
  <si>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</si>
  <si>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</si>
  <si>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</si>
  <si>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</si>
  <si>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</si>
  <si>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</si>
  <si>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</si>
  <si>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</si>
  <si>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</si>
  <si>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</si>
  <si>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</si>
  <si>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</si>
  <si>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</si>
  <si>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</si>
  <si>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</si>
  <si>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</si>
  <si>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</si>
  <si>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</si>
  <si>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</si>
  <si>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</si>
  <si>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</si>
  <si>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</si>
  <si>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</si>
  <si>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</si>
  <si>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</si>
  <si>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</si>
  <si>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</si>
  <si>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</si>
  <si>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</si>
  <si>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</si>
  <si>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</si>
  <si>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</si>
  <si>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</si>
  <si>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</si>
  <si>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</si>
  <si>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</si>
  <si>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</si>
  <si>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</si>
  <si>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</si>
  <si>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</si>
  <si>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</si>
  <si>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</si>
  <si>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</si>
  <si>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</si>
  <si>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</si>
  <si>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</si>
  <si>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</si>
  <si>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</si>
  <si>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</si>
  <si>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</si>
  <si>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</si>
  <si>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</si>
  <si>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</si>
  <si>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</si>
  <si>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</si>
  <si>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</si>
  <si>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</si>
  <si>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</si>
  <si>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</si>
  <si>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</si>
  <si>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</si>
  <si>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</si>
  <si>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</si>
  <si>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</si>
  <si>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</si>
  <si>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</si>
  <si>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</si>
  <si>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</si>
  <si>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</si>
  <si>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</si>
  <si>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</si>
  <si>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</si>
  <si>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</si>
  <si>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</si>
  <si>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</si>
  <si>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</si>
  <si>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</si>
  <si>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</si>
  <si>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</si>
  <si>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</si>
  <si>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</si>
  <si>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</si>
  <si>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</si>
  <si>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</si>
  <si>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</si>
  <si>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</si>
  <si>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</si>
  <si>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</si>
  <si>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</si>
  <si>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</si>
  <si>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</si>
  <si>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</si>
  <si>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</si>
  <si>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</si>
  <si>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</si>
  <si>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</si>
  <si>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</si>
  <si>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</si>
  <si>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</si>
  <si>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</si>
  <si>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</si>
  <si>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</si>
  <si>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</si>
  <si>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</si>
  <si>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</si>
  <si>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</si>
  <si>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</si>
  <si>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</si>
  <si>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</si>
  <si>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</si>
  <si>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</si>
  <si>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</si>
  <si>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</si>
  <si>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</si>
  <si>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</si>
  <si>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</si>
  <si>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</si>
  <si>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</si>
  <si>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</si>
  <si>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</si>
  <si>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</si>
  <si>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</si>
  <si>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</si>
  <si>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</si>
  <si>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</si>
  <si>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</si>
  <si>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</si>
  <si>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</si>
  <si>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</si>
  <si>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</si>
  <si>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</si>
  <si>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</si>
  <si>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</si>
  <si>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</si>
  <si>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</si>
  <si>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</si>
  <si>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</si>
  <si>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</si>
  <si>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</si>
  <si>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</si>
  <si>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</si>
  <si>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</si>
  <si>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</si>
  <si>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</si>
  <si>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</si>
  <si>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</si>
  <si>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</si>
  <si>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</si>
  <si>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</si>
  <si>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</si>
  <si>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</si>
  <si>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</si>
  <si>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</si>
  <si>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</si>
  <si>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</si>
  <si>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</si>
  <si>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</si>
  <si>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</si>
  <si>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</si>
  <si>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</si>
  <si>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</si>
  <si>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</si>
  <si>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</si>
  <si>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</si>
  <si>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</si>
  <si>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</si>
  <si>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</si>
  <si>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</si>
  <si>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</si>
  <si>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</si>
  <si>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</si>
  <si>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</si>
  <si>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</si>
  <si>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</si>
  <si>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</si>
  <si>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</si>
  <si>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</si>
  <si>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</si>
  <si>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</si>
  <si>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</si>
  <si>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</si>
  <si>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</si>
  <si>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</si>
  <si>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</si>
  <si>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</si>
  <si>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</si>
  <si>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</si>
  <si>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</si>
  <si>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</si>
  <si>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</si>
  <si>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</si>
  <si>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</si>
  <si>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</si>
  <si>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</si>
  <si>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</si>
  <si>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</si>
  <si>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</si>
  <si>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</si>
  <si>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</si>
  <si>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</si>
  <si>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</si>
  <si>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</si>
  <si>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</si>
  <si>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</si>
  <si>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</si>
  <si>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</si>
  <si>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</si>
  <si>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</si>
  <si>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</si>
  <si>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</si>
  <si>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</si>
  <si>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</si>
  <si>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</si>
  <si>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</si>
  <si>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</si>
  <si>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</si>
  <si>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</si>
  <si>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</si>
  <si>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</si>
  <si>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</si>
  <si>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</si>
  <si>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</si>
  <si>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</si>
  <si>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</si>
  <si>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</si>
  <si>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</si>
  <si>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</si>
  <si>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</si>
  <si>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</si>
  <si>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</si>
  <si>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</si>
  <si>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</si>
  <si>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</si>
  <si>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</si>
  <si>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</si>
  <si>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</si>
  <si>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</si>
  <si>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</si>
  <si>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</si>
  <si>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</si>
  <si>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</si>
  <si>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</si>
  <si>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</si>
  <si>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</si>
  <si>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</si>
  <si>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</si>
  <si>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</si>
  <si>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</si>
  <si>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</si>
  <si>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</si>
  <si>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</si>
  <si>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</si>
  <si>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</si>
  <si>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</si>
  <si>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</si>
  <si>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</si>
  <si>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</si>
  <si>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</si>
  <si>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</si>
  <si>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</si>
  <si>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</si>
  <si>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</si>
  <si>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</si>
  <si>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</si>
  <si>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</si>
  <si>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</si>
  <si>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</si>
  <si>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</si>
  <si>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</si>
  <si>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</si>
  <si>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</si>
  <si>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</si>
  <si>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</si>
  <si>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</si>
  <si>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</si>
  <si>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</si>
  <si>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</si>
  <si>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</si>
  <si>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</si>
  <si>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</si>
  <si>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</si>
  <si>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</si>
  <si>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</si>
  <si>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</si>
  <si>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</si>
  <si>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</si>
  <si>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</si>
  <si>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</si>
  <si>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</si>
  <si>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</si>
  <si>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</si>
  <si>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</si>
  <si>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</si>
  <si>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</si>
  <si>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</si>
  <si>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</si>
  <si>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</si>
  <si>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</si>
  <si>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</si>
  <si>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</si>
  <si>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</si>
  <si>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</si>
  <si>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</si>
  <si>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</si>
  <si>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</si>
  <si>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</si>
  <si>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</si>
  <si>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</si>
  <si>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</si>
  <si>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</si>
  <si>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</si>
  <si>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</si>
  <si>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</si>
  <si>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</si>
  <si>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</si>
  <si>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</si>
  <si>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</si>
  <si>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</si>
  <si>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</si>
  <si>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</si>
  <si>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</si>
  <si>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</si>
  <si>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</si>
  <si>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</si>
  <si>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</si>
  <si>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</si>
  <si>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</si>
  <si>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</si>
  <si>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</si>
  <si>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</si>
  <si>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</si>
  <si>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</si>
  <si>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</si>
  <si>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</si>
  <si>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</si>
  <si>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</si>
  <si>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</si>
  <si>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</si>
  <si>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</si>
  <si>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</si>
  <si>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</si>
  <si>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</si>
  <si>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</si>
  <si>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</si>
  <si>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</si>
  <si>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</si>
  <si>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</si>
  <si>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</si>
  <si>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</si>
  <si>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</si>
  <si>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</si>
  <si>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</si>
  <si>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</si>
  <si>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</si>
  <si>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</si>
  <si>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</si>
  <si>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</si>
  <si>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</si>
  <si>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</si>
  <si>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</si>
  <si>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</si>
  <si>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</si>
  <si>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</si>
  <si>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</si>
  <si>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</si>
  <si>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</si>
  <si>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</si>
  <si>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</si>
  <si>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</si>
  <si>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</si>
  <si>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</si>
  <si>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</si>
  <si>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</si>
  <si>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</si>
  <si>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</si>
  <si>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</si>
  <si>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</si>
  <si>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</si>
  <si>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</si>
  <si>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</si>
  <si>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</si>
  <si>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</si>
  <si>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</si>
  <si>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</si>
  <si>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</si>
  <si>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</si>
  <si>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</si>
  <si>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</si>
  <si>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</si>
  <si>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</si>
  <si>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</si>
  <si>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</si>
  <si>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</si>
  <si>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</si>
  <si>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</si>
  <si>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</si>
  <si>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</si>
  <si>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</si>
  <si>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</si>
  <si>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</si>
  <si>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</si>
  <si>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</si>
  <si>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</si>
  <si>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</si>
  <si>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</si>
  <si>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</si>
  <si>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</si>
  <si>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</si>
  <si>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</si>
  <si>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</si>
  <si>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</si>
  <si>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</si>
  <si>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</si>
  <si>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</si>
  <si>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</si>
  <si>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</si>
  <si>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</si>
  <si>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</si>
  <si>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</si>
  <si>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</si>
  <si>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</si>
  <si>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</si>
  <si>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</si>
  <si>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</si>
  <si>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</si>
  <si>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</si>
  <si>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</si>
  <si>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</si>
  <si>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</si>
  <si>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</si>
  <si>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</si>
  <si>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</si>
  <si>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</si>
  <si>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</si>
  <si>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</si>
  <si>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</si>
  <si>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</si>
  <si>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</si>
  <si>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</si>
  <si>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</si>
  <si>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</si>
  <si>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</si>
  <si>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</si>
  <si>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</si>
  <si>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</si>
  <si>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</si>
  <si>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</si>
  <si>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</si>
  <si>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</si>
  <si>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</si>
  <si>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</si>
  <si>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</si>
  <si>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</si>
  <si>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</si>
  <si>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</si>
  <si>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</si>
  <si>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</si>
  <si>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</si>
  <si>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</si>
  <si>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</si>
  <si>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</si>
  <si>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</si>
  <si>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</si>
  <si>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</si>
  <si>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</si>
  <si>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</si>
  <si>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</si>
  <si>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</si>
  <si>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</si>
  <si>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</si>
  <si>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</si>
  <si>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</si>
  <si>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</si>
  <si>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</si>
  <si>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</si>
  <si>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</si>
  <si>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</si>
  <si>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</si>
  <si>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</si>
  <si>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</si>
  <si>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</si>
  <si>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</si>
  <si>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</si>
  <si>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</si>
  <si>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</si>
  <si>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</si>
  <si>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</si>
  <si>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</si>
  <si>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</si>
  <si>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</si>
  <si>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</si>
  <si>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</si>
  <si>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</si>
  <si>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</si>
  <si>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</si>
  <si>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</si>
  <si>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</si>
  <si>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</si>
  <si>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</si>
  <si>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</si>
  <si>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</si>
  <si>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</si>
  <si>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</si>
  <si>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</si>
  <si>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</si>
  <si>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</si>
  <si>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</si>
  <si>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</si>
  <si>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</si>
  <si>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</si>
  <si>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</si>
  <si>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</si>
  <si>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</si>
  <si>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</si>
  <si>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</si>
  <si>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</si>
  <si>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</si>
  <si>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</si>
  <si>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</si>
  <si>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</si>
  <si>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</si>
  <si>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</si>
  <si>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</si>
  <si>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</si>
  <si>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</si>
  <si>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</si>
  <si>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</si>
  <si>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</si>
  <si>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</si>
  <si>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</si>
  <si>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</si>
  <si>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</si>
  <si>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</si>
  <si>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</si>
  <si>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</si>
  <si>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</si>
  <si>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</si>
  <si>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</si>
  <si>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</si>
  <si>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</si>
  <si>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</si>
  <si>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</si>
  <si>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</si>
  <si>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</si>
  <si>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</si>
  <si>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</si>
  <si>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</si>
  <si>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</si>
  <si>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</si>
  <si>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</si>
  <si>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</si>
  <si>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</si>
  <si>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</si>
  <si>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</si>
  <si>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</si>
  <si>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</si>
  <si>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</si>
  <si>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</si>
  <si>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</si>
  <si>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</si>
  <si>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</si>
  <si>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</si>
  <si>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</si>
  <si>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</si>
  <si>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</si>
  <si>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</si>
  <si>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</si>
  <si>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</si>
  <si>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</si>
  <si>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</si>
  <si>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</si>
  <si>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</si>
  <si>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</si>
  <si>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</si>
  <si>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</si>
  <si>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</si>
  <si>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</si>
  <si>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</si>
  <si>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</si>
  <si>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</si>
  <si>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</si>
  <si>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</si>
  <si>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</si>
  <si>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</si>
  <si>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</si>
  <si>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</si>
  <si>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</si>
  <si>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</si>
  <si>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</si>
  <si>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</si>
  <si>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</si>
  <si>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</si>
  <si>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</si>
  <si>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</si>
  <si>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</si>
  <si>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</si>
  <si>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</si>
  <si>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</si>
  <si>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</si>
  <si>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</si>
  <si>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</si>
  <si>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</si>
  <si>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</si>
  <si>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</si>
  <si>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</si>
  <si>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</si>
  <si>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</si>
  <si>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</si>
  <si>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</si>
  <si>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</si>
  <si>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</si>
  <si>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</si>
  <si>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</si>
  <si>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</si>
  <si>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</si>
  <si>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</si>
  <si>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</si>
  <si>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</si>
  <si>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</si>
  <si>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</si>
  <si>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</si>
  <si>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</si>
  <si>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</si>
  <si>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</si>
  <si>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</si>
  <si>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</si>
  <si>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</si>
  <si>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</si>
  <si>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</si>
  <si>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</si>
  <si>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</si>
  <si>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</si>
  <si>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</si>
  <si>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</si>
  <si>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</si>
  <si>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</si>
  <si>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</si>
  <si>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</si>
  <si>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</si>
  <si>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</si>
  <si>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</si>
  <si>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</si>
  <si>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</si>
  <si>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</si>
  <si>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</si>
  <si>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</si>
  <si>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</si>
  <si>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</si>
  <si>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</si>
  <si>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</si>
  <si>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</si>
  <si>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</si>
  <si>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</si>
  <si>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</si>
  <si>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</si>
  <si>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</si>
  <si>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</si>
  <si>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</si>
  <si>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</si>
  <si>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</si>
  <si>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</si>
  <si>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</si>
  <si>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</si>
  <si>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</si>
  <si>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</si>
  <si>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</si>
  <si>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</si>
  <si>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</si>
  <si>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</si>
  <si>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</si>
  <si>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</si>
  <si>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</si>
  <si>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</si>
  <si>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</si>
  <si>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</si>
  <si>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</si>
  <si>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</si>
  <si>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</si>
  <si>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</si>
  <si>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</si>
  <si>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</si>
  <si>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</si>
  <si>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</si>
  <si>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</si>
  <si>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</si>
  <si>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</si>
  <si>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</si>
  <si>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</si>
  <si>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</si>
  <si>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</si>
  <si>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</si>
  <si>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</si>
  <si>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</si>
  <si>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</si>
  <si>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</si>
  <si>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</si>
  <si>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</si>
  <si>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</si>
  <si>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</si>
  <si>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</si>
  <si>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</si>
  <si>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</si>
  <si>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</si>
  <si>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</si>
  <si>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</si>
  <si>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</si>
  <si>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</si>
  <si>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</si>
  <si>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</si>
  <si>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</si>
  <si>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</si>
  <si>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</si>
  <si>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</si>
  <si>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</si>
  <si>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</si>
  <si>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</si>
  <si>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</si>
  <si>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</si>
  <si>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</si>
  <si>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</si>
  <si>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</si>
  <si>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</si>
  <si>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</si>
  <si>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</si>
  <si>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</si>
  <si>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</si>
  <si>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</si>
  <si>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</si>
  <si>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</si>
  <si>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</si>
  <si>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</si>
  <si>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</si>
  <si>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</si>
  <si>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</si>
  <si>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</si>
  <si>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</si>
  <si>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</si>
  <si>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</si>
  <si>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</si>
  <si>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</si>
  <si>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</si>
  <si>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</si>
  <si>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</si>
  <si>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</si>
  <si>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</si>
  <si>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</si>
  <si>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</si>
  <si>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</si>
  <si>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</si>
  <si>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</si>
  <si>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</si>
  <si>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</si>
  <si>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</si>
  <si>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</si>
  <si>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</si>
  <si>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</si>
  <si>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</si>
  <si>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</si>
  <si>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</si>
  <si>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</si>
  <si>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</si>
  <si>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</si>
  <si>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</si>
  <si>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</si>
  <si>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</si>
  <si>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</si>
  <si>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</si>
  <si>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</si>
  <si>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</si>
  <si>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</si>
  <si>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</si>
  <si>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</si>
  <si>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</si>
  <si>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</si>
  <si>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</si>
  <si>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</si>
  <si>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</si>
  <si>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</si>
  <si>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</si>
  <si>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</si>
  <si>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</si>
  <si>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</si>
  <si>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</si>
  <si>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</si>
  <si>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</si>
  <si>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</si>
  <si>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</si>
  <si>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</si>
  <si>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</si>
  <si>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</si>
  <si>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</si>
  <si>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</si>
  <si>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</si>
  <si>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</si>
  <si>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</si>
  <si>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</si>
  <si>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</si>
  <si>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</si>
  <si>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</si>
  <si>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</si>
  <si>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</si>
  <si>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</si>
  <si>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</si>
  <si>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</si>
  <si>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</si>
  <si>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</si>
  <si>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</si>
  <si>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</si>
  <si>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</si>
  <si>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</si>
  <si>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</si>
  <si>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</si>
  <si>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</si>
  <si>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</si>
  <si>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</si>
  <si>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</si>
  <si>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</si>
  <si>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</si>
  <si>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</si>
  <si>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</si>
  <si>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</si>
  <si>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</si>
  <si>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</si>
  <si>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</si>
  <si>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</si>
  <si>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</si>
  <si>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</si>
  <si>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</si>
  <si>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</si>
  <si>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</si>
  <si>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</si>
  <si>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</si>
  <si>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</si>
  <si>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</si>
  <si>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</si>
  <si>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</si>
  <si>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</si>
  <si>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</si>
  <si>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</si>
  <si>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</si>
  <si>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</si>
  <si>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</si>
  <si>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</si>
  <si>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</si>
  <si>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</si>
  <si>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</si>
  <si>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</si>
  <si>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</si>
  <si>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</si>
  <si>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</si>
  <si>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</si>
  <si>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</si>
  <si>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</si>
  <si>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</si>
  <si>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</si>
  <si>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</si>
  <si>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</si>
  <si>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</si>
  <si>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</si>
  <si>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</si>
  <si>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</si>
  <si>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</si>
  <si>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</si>
  <si>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</si>
  <si>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</si>
  <si>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</si>
  <si>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</si>
  <si>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</si>
  <si>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</si>
  <si>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</si>
  <si>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</si>
  <si>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</si>
  <si>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</si>
  <si>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</si>
  <si>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</si>
  <si>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</si>
  <si>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</si>
  <si>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</si>
  <si>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</si>
  <si>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</si>
  <si>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</si>
  <si>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</si>
  <si>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</si>
  <si>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</si>
  <si>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</si>
  <si>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</si>
  <si>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</si>
  <si>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</si>
  <si>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</si>
  <si>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</si>
  <si>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</si>
  <si>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</si>
  <si>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</si>
  <si>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</si>
  <si>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</si>
  <si>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</si>
  <si>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</si>
  <si>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</si>
  <si>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</si>
  <si>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</si>
  <si>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</si>
  <si>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</si>
  <si>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</si>
  <si>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</si>
  <si>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</si>
  <si>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</si>
  <si>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</si>
  <si>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</si>
  <si>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</si>
  <si>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</si>
  <si>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</si>
  <si>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</si>
  <si>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</si>
  <si>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</si>
  <si>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</si>
  <si>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</si>
  <si>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</si>
  <si>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</si>
  <si>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</si>
  <si>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</si>
  <si>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</si>
  <si>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</si>
  <si>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</si>
  <si>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</si>
  <si>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</si>
  <si>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</si>
  <si>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</si>
  <si>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</si>
  <si>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</si>
  <si>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</si>
  <si>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</si>
  <si>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</si>
  <si>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</si>
  <si>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</si>
  <si>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</si>
  <si>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</si>
  <si>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</si>
  <si>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</si>
  <si>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</si>
  <si>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</si>
  <si>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</si>
  <si>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</si>
  <si>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</si>
  <si>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</si>
  <si>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</si>
  <si>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</si>
  <si>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</si>
  <si>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</si>
  <si>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</si>
  <si>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</si>
  <si>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</si>
  <si>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</si>
  <si>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</si>
  <si>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</si>
  <si>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</si>
  <si>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</si>
  <si>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</si>
  <si>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</si>
  <si>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</si>
  <si>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</si>
  <si>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</si>
  <si>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</si>
  <si>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</si>
  <si>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</si>
  <si>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</si>
  <si>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</si>
  <si>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</si>
  <si>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</si>
  <si>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</si>
  <si>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</si>
  <si>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</si>
  <si>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</si>
  <si>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</si>
  <si>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</si>
  <si>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</si>
  <si>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</si>
  <si>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</si>
  <si>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</si>
  <si>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</si>
  <si>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</si>
  <si>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</si>
  <si>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</si>
  <si>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</si>
  <si>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</si>
  <si>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</si>
  <si>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</si>
  <si>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</si>
  <si>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</si>
  <si>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</si>
  <si>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</si>
  <si>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</si>
  <si>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</si>
  <si>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</si>
  <si>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</si>
  <si>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</si>
  <si>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</si>
  <si>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</si>
  <si>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</si>
  <si>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</si>
  <si>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</si>
  <si>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</si>
  <si>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</si>
  <si>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</si>
  <si>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</si>
  <si>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</si>
  <si>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</si>
  <si>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</si>
  <si>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</si>
  <si>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</si>
  <si>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</si>
  <si>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</si>
  <si>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</si>
  <si>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</si>
  <si>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</si>
  <si>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</si>
  <si>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</si>
  <si>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</si>
  <si>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</si>
  <si>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</si>
  <si>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</si>
  <si>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</si>
  <si>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</si>
  <si>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</si>
  <si>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</si>
  <si>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</si>
  <si>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</si>
  <si>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</si>
  <si>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</si>
  <si>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</si>
  <si>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</si>
  <si>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</si>
  <si>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</si>
  <si>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</si>
  <si>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</si>
  <si>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</si>
  <si>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</si>
  <si>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</si>
  <si>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</si>
  <si>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</si>
  <si>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</si>
  <si>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</si>
  <si>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</si>
  <si>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</si>
  <si>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</si>
  <si>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</si>
  <si>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</si>
  <si>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</si>
  <si>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</si>
  <si>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</si>
  <si>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</si>
  <si>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</si>
  <si>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</si>
  <si>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</si>
  <si>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</si>
  <si>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</si>
  <si>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</si>
  <si>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</si>
  <si>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</si>
  <si>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</si>
  <si>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</si>
  <si>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</si>
  <si>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</si>
  <si>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</si>
  <si>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</si>
  <si>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</si>
  <si>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</si>
  <si>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</si>
  <si>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</si>
  <si>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</si>
  <si>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</si>
  <si>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</si>
  <si>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</si>
  <si>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</si>
  <si>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</si>
  <si>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</si>
  <si>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</si>
  <si>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</si>
  <si>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</si>
  <si>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</si>
  <si>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</si>
  <si>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</si>
  <si>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</si>
  <si>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</si>
  <si>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</si>
  <si>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</si>
  <si>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</si>
  <si>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</si>
  <si>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</si>
  <si>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</si>
  <si>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</si>
  <si>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</si>
  <si>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</si>
  <si>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</si>
  <si>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</si>
  <si>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</si>
  <si>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</si>
  <si>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</si>
  <si>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</si>
  <si>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</si>
  <si>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</si>
  <si>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</si>
  <si>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</si>
  <si>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</si>
  <si>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</si>
  <si>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</si>
  <si>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</si>
  <si>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</si>
  <si>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</si>
  <si>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</si>
  <si>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</si>
  <si>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</si>
  <si>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</si>
  <si>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</si>
  <si>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</si>
  <si>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</si>
  <si>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</si>
  <si>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</si>
  <si>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</si>
  <si>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</si>
  <si>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</si>
  <si>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</si>
  <si>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</si>
  <si>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</si>
  <si>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</si>
  <si>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</si>
  <si>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</si>
  <si>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</si>
  <si>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</si>
  <si>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</si>
  <si>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</si>
  <si>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</si>
  <si>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</si>
  <si>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</si>
  <si>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</si>
  <si>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</si>
  <si>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</si>
  <si>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</si>
  <si>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</si>
  <si>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</si>
  <si>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</si>
  <si>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</si>
  <si>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</si>
  <si>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</si>
  <si>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</si>
  <si>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</si>
  <si>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</si>
  <si>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</si>
  <si>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</si>
  <si>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</si>
  <si>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</si>
  <si>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</si>
  <si>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</si>
  <si>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</si>
  <si>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</si>
  <si>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</si>
  <si>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</si>
  <si>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</si>
  <si>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</si>
  <si>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</si>
  <si>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</si>
  <si>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</si>
  <si>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</si>
  <si>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</si>
  <si>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</si>
  <si>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</si>
  <si>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</si>
  <si>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</si>
  <si>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</si>
  <si>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</si>
  <si>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</si>
  <si>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</si>
  <si>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</si>
  <si>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</si>
  <si>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</si>
  <si>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</si>
  <si>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</si>
  <si>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</si>
  <si>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</si>
  <si>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</si>
  <si>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</si>
  <si>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</si>
  <si>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</si>
  <si>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</si>
  <si>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</si>
  <si>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</si>
  <si>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</si>
  <si>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</si>
  <si>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</si>
  <si>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</si>
  <si>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</si>
  <si>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</si>
  <si>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</si>
  <si>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</si>
  <si>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</si>
  <si>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</si>
  <si>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</si>
  <si>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</si>
  <si>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</si>
  <si>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</si>
  <si>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</si>
  <si>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</si>
  <si>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</si>
  <si>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</si>
  <si>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</si>
  <si>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</si>
  <si>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</si>
  <si>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</si>
  <si>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</si>
  <si>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</si>
  <si>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</si>
  <si>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</si>
  <si>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</si>
  <si>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</si>
  <si>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</si>
  <si>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</si>
  <si>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</si>
  <si>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</si>
  <si>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</si>
  <si>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</si>
  <si>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</si>
  <si>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</si>
  <si>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</si>
  <si>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</si>
  <si>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</si>
  <si>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</si>
  <si>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</si>
  <si>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</si>
  <si>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</si>
  <si>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</si>
  <si>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</si>
  <si>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</si>
  <si>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</si>
  <si>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</si>
  <si>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</si>
  <si>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</si>
  <si>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</si>
  <si>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</si>
  <si>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</si>
  <si>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</si>
  <si>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</si>
  <si>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</si>
  <si>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</si>
  <si>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</si>
  <si>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</si>
  <si>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</si>
  <si>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</si>
  <si>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</si>
  <si>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</si>
  <si>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</si>
  <si>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</si>
  <si>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</si>
  <si>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</si>
  <si>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</si>
  <si>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</si>
  <si>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</si>
  <si>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</si>
  <si>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</si>
  <si>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</si>
  <si>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</si>
  <si>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</si>
  <si>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</si>
  <si>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</si>
  <si>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</si>
  <si>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</si>
  <si>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</si>
  <si>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</si>
  <si>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</si>
  <si>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</si>
  <si>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</si>
  <si>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</si>
  <si>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</si>
  <si>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</si>
  <si>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</si>
  <si>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</si>
  <si>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</si>
  <si>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</si>
  <si>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</si>
  <si>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</si>
  <si>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</si>
  <si>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</si>
  <si>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</si>
  <si>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</si>
  <si>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</si>
  <si>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</si>
  <si>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</si>
  <si>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</si>
  <si>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</si>
  <si>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</si>
  <si>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</si>
  <si>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</si>
  <si>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</si>
  <si>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</si>
  <si>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</si>
  <si>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</si>
  <si>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</si>
  <si>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</si>
  <si>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</si>
  <si>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</si>
  <si>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</si>
  <si>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</si>
  <si>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</si>
  <si>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</si>
  <si>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</si>
  <si>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</si>
  <si>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</si>
  <si>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</si>
  <si>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</si>
  <si>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</si>
  <si>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</si>
  <si>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</si>
  <si>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</si>
  <si>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</si>
  <si>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</si>
  <si>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</si>
  <si>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</si>
  <si>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</si>
  <si>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</si>
  <si>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</si>
  <si>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</si>
  <si>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</si>
  <si>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</si>
  <si>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</si>
  <si>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</si>
  <si>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</si>
  <si>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</si>
  <si>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</si>
  <si>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</si>
  <si>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</si>
  <si>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</si>
  <si>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</si>
  <si>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</si>
  <si>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</si>
  <si>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</si>
  <si>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</si>
  <si>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</si>
  <si>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</si>
  <si>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</si>
  <si>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</si>
  <si>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</si>
  <si>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</si>
  <si>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</si>
  <si>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</si>
  <si>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</si>
  <si>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</si>
  <si>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</si>
  <si>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</si>
  <si>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</si>
  <si>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</si>
  <si>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</si>
  <si>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</si>
  <si>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</si>
  <si>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</si>
  <si>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</si>
  <si>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</si>
  <si>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</si>
  <si>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</si>
  <si>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</si>
  <si>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</si>
  <si>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</si>
  <si>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</si>
  <si>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</si>
  <si>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</si>
  <si>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</si>
  <si>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</si>
  <si>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</si>
  <si>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</si>
  <si>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</si>
  <si>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</si>
  <si>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</si>
  <si>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</si>
  <si>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</si>
  <si>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</si>
  <si>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</si>
  <si>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</si>
  <si>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</si>
  <si>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</si>
  <si>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</si>
  <si>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</si>
  <si>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</si>
  <si>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</si>
  <si>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</si>
  <si>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</si>
  <si>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</si>
  <si>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</si>
  <si>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</si>
  <si>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</si>
  <si>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</si>
  <si>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</si>
  <si>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</si>
  <si>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</si>
  <si>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</si>
  <si>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</si>
  <si>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</si>
  <si>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</si>
  <si>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</si>
  <si>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</si>
  <si>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</si>
  <si>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</si>
  <si>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</si>
  <si>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</si>
  <si>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</si>
  <si>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</si>
  <si>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</si>
  <si>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</si>
  <si>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</si>
  <si>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</si>
  <si>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</si>
  <si>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</si>
  <si>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</si>
  <si>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</si>
  <si>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</si>
  <si>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</si>
  <si>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</si>
  <si>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</si>
  <si>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</si>
  <si>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</si>
  <si>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</si>
  <si>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</si>
  <si>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</si>
  <si>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</si>
  <si>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</si>
  <si>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</si>
  <si>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</si>
  <si>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</si>
  <si>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</si>
  <si>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</si>
  <si>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</si>
  <si>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</si>
  <si>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</si>
  <si>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</si>
  <si>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</si>
  <si>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</si>
  <si>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</si>
  <si>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</si>
  <si>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</si>
  <si>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</si>
  <si>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</si>
  <si>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</si>
  <si>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</si>
  <si>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</si>
  <si>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</si>
  <si>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</si>
  <si>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</si>
  <si>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</si>
  <si>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</si>
  <si>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</si>
  <si>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</si>
  <si>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</si>
  <si>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</si>
  <si>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</si>
  <si>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</si>
  <si>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</si>
  <si>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</si>
  <si>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</si>
  <si>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</si>
  <si>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</si>
  <si>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</si>
  <si>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</si>
  <si>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</si>
  <si>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</si>
  <si>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</si>
  <si>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</si>
  <si>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</si>
  <si>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</si>
  <si>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</si>
  <si>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</si>
  <si>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</si>
  <si>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</si>
  <si>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</si>
  <si>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</si>
  <si>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</si>
  <si>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</si>
  <si>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</si>
  <si>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</si>
  <si>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</si>
  <si>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</si>
  <si>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</si>
  <si>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</si>
  <si>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</si>
  <si>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</si>
  <si>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</si>
  <si>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</si>
  <si>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</si>
  <si>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</si>
  <si>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</si>
  <si>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</si>
  <si>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</si>
  <si>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</si>
  <si>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</si>
  <si>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</si>
  <si>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</si>
  <si>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</si>
  <si>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</si>
  <si>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</si>
  <si>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</si>
  <si>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</si>
  <si>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</si>
  <si>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</si>
  <si>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</si>
  <si>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</si>
  <si>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</si>
  <si>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</si>
  <si>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</si>
  <si>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</si>
  <si>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</si>
  <si>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</si>
  <si>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</si>
  <si>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</si>
  <si>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</si>
  <si>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</si>
  <si>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</si>
  <si>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</si>
  <si>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</si>
  <si>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</si>
  <si>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</si>
  <si>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</si>
  <si>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</si>
  <si>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</si>
  <si>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</si>
  <si>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</si>
  <si>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</si>
  <si>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</si>
  <si>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</si>
  <si>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</si>
  <si>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</si>
  <si>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</si>
  <si>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</si>
  <si>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</si>
  <si>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</si>
  <si>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</si>
  <si>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</si>
  <si>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</si>
  <si>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</si>
  <si>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</si>
  <si>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</si>
  <si>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</si>
  <si>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</si>
  <si>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</si>
  <si>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</si>
  <si>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</si>
  <si>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</si>
  <si>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</si>
  <si>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</si>
  <si>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</si>
  <si>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</si>
  <si>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</si>
  <si>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</si>
  <si>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</si>
  <si>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</si>
  <si>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</si>
  <si>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</si>
  <si>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</si>
  <si>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</si>
  <si>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</si>
  <si>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</si>
  <si>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</si>
  <si>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</si>
  <si>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</si>
  <si>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</si>
  <si>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</si>
  <si>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</si>
  <si>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</si>
  <si>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</si>
  <si>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</si>
  <si>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</si>
  <si>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</si>
  <si>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</si>
  <si>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</si>
  <si>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</si>
  <si>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</si>
  <si>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</si>
  <si>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</si>
  <si>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</si>
  <si>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</si>
  <si>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</si>
  <si>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</si>
  <si>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</si>
  <si>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</si>
  <si>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</si>
  <si>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</si>
  <si>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</si>
  <si>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</si>
  <si>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</si>
  <si>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</si>
  <si>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</si>
  <si>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</si>
  <si>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</si>
  <si>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</si>
  <si>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</si>
  <si>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</si>
  <si>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</si>
  <si>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</si>
  <si>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</si>
  <si>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</si>
  <si>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</si>
  <si>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</si>
  <si>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</si>
  <si>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</si>
  <si>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</si>
  <si>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</si>
  <si>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</si>
  <si>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</si>
  <si>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</si>
  <si>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</si>
  <si>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</si>
  <si>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</si>
  <si>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</si>
  <si>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</si>
  <si>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</si>
  <si>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</si>
  <si>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</si>
  <si>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</si>
  <si>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</si>
  <si>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</si>
  <si>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</si>
  <si>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</si>
  <si>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</si>
  <si>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</si>
  <si>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</si>
  <si>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</si>
  <si>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</si>
  <si>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</si>
  <si>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</si>
  <si>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</si>
  <si>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</si>
  <si>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</si>
  <si>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</si>
  <si>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</si>
  <si>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</si>
  <si>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</si>
  <si>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</si>
  <si>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</si>
  <si>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</si>
  <si>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</si>
  <si>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</si>
  <si>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</si>
  <si>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</si>
  <si>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</si>
  <si>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</si>
  <si>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</si>
  <si>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</si>
  <si>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</si>
  <si>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</si>
  <si>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</si>
  <si>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</si>
  <si>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</si>
  <si>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</si>
  <si>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</si>
  <si>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</si>
  <si>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</si>
  <si>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</si>
  <si>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</si>
  <si>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</si>
  <si>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</si>
  <si>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</si>
  <si>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</si>
  <si>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</si>
  <si>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</si>
  <si>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</si>
  <si>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</si>
  <si>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</si>
  <si>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</si>
  <si>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</si>
  <si>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</si>
  <si>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</si>
  <si>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</si>
  <si>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</si>
  <si>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</si>
  <si>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</si>
  <si>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</si>
  <si>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</si>
  <si>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</si>
  <si>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</si>
  <si>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</si>
  <si>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</si>
  <si>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</si>
  <si>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</si>
  <si>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</si>
  <si>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</si>
  <si>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</si>
  <si>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</si>
  <si>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</si>
  <si>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</si>
  <si>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</si>
  <si>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</si>
  <si>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</si>
  <si>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</si>
  <si>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</si>
  <si>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</si>
  <si>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</si>
  <si>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</si>
  <si>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</si>
  <si>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</si>
  <si>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</si>
  <si>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</si>
  <si>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</si>
  <si>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</si>
  <si>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</si>
  <si>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</si>
  <si>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</si>
  <si>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</si>
  <si>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</si>
  <si>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</si>
  <si>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</si>
  <si>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</si>
  <si>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</si>
  <si>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</si>
  <si>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</si>
  <si>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</si>
  <si>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</si>
  <si>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</si>
  <si>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</si>
  <si>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</si>
  <si>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</si>
  <si>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</si>
  <si>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</si>
  <si>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</si>
  <si>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</si>
  <si>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</si>
  <si>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</si>
  <si>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</si>
  <si>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</si>
  <si>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</si>
  <si>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</si>
  <si>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</si>
  <si>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</si>
  <si>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</si>
  <si>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</si>
  <si>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</si>
  <si>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</si>
  <si>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</si>
  <si>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</si>
  <si>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</si>
  <si>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</si>
  <si>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</si>
  <si>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</si>
  <si>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</si>
  <si>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</si>
  <si>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</si>
  <si>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</si>
  <si>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</si>
  <si>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</si>
  <si>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</si>
  <si>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</si>
  <si>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</si>
  <si>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</si>
  <si>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</si>
  <si>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</si>
  <si>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</si>
  <si>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</si>
  <si>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</si>
  <si>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</si>
  <si>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</si>
  <si>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</si>
  <si>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</si>
  <si>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</si>
  <si>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</si>
  <si>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</si>
  <si>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</si>
  <si>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</si>
  <si>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</si>
  <si>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</si>
  <si>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</si>
  <si>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</si>
  <si>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</si>
  <si>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</si>
  <si>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</si>
  <si>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</si>
  <si>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</si>
  <si>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</si>
  <si>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</si>
  <si>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</si>
  <si>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</si>
  <si>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</si>
  <si>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</si>
  <si>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</si>
  <si>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</si>
  <si>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</si>
  <si>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</si>
  <si>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</si>
  <si>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</si>
  <si>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</si>
  <si>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</si>
  <si>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</si>
  <si>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</si>
  <si>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</si>
  <si>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</si>
  <si>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</si>
  <si>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</si>
  <si>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</si>
  <si>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</si>
  <si>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</si>
  <si>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</si>
  <si>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</si>
  <si>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</si>
  <si>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</si>
  <si>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</si>
  <si>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</si>
  <si>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</si>
  <si>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</si>
  <si>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</si>
  <si>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</si>
  <si>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</si>
  <si>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</si>
  <si>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</si>
  <si>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</si>
  <si>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</si>
  <si>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</si>
  <si>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</si>
  <si>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</si>
  <si>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</si>
  <si>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</si>
  <si>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</si>
  <si>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</si>
  <si>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</si>
  <si>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</si>
  <si>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</si>
  <si>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</si>
  <si>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</si>
  <si>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</si>
  <si>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</si>
  <si>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</si>
  <si>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</si>
  <si>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</si>
  <si>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</si>
  <si>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</si>
  <si>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</si>
  <si>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</si>
  <si>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</si>
  <si>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</si>
  <si>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</si>
  <si>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</si>
  <si>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</si>
  <si>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</si>
  <si>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</si>
  <si>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</si>
  <si>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</si>
  <si>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</si>
  <si>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</si>
  <si>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</si>
  <si>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</si>
  <si>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</si>
  <si>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</si>
  <si>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</si>
  <si>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</si>
  <si>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</si>
  <si>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</si>
  <si>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</si>
  <si>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</si>
  <si>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</si>
  <si>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</si>
  <si>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</si>
  <si>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</si>
  <si>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</si>
  <si>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</si>
  <si>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</si>
  <si>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</si>
  <si>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</si>
  <si>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</si>
  <si>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</si>
  <si>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</si>
  <si>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</si>
  <si>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</si>
  <si>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</si>
  <si>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</si>
  <si>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</si>
  <si>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</si>
  <si>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</si>
  <si>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</si>
  <si>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</si>
  <si>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</si>
  <si>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</si>
  <si>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</si>
  <si>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</si>
  <si>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</si>
  <si>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</si>
  <si>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</si>
  <si>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</si>
  <si>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</si>
  <si>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</si>
  <si>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</si>
  <si>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</si>
  <si>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</si>
  <si>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</si>
  <si>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</si>
  <si>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</si>
  <si>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</si>
  <si>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</si>
  <si>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</si>
  <si>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</si>
  <si>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</si>
  <si>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</si>
  <si>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</si>
  <si>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</si>
  <si>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</si>
  <si>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</si>
  <si>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</si>
  <si>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</si>
  <si>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</si>
  <si>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</si>
  <si>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</si>
  <si>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</si>
  <si>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</si>
  <si>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</si>
  <si>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</si>
  <si>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</si>
  <si>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</si>
  <si>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</si>
  <si>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</si>
  <si>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</si>
  <si>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</si>
  <si>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</si>
  <si>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</si>
  <si>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</si>
  <si>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</si>
  <si>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</si>
  <si>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</si>
  <si>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</si>
  <si>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</si>
  <si>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</si>
  <si>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</si>
  <si>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</si>
  <si>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</si>
  <si>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</si>
  <si>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</si>
  <si>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</si>
  <si>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</si>
  <si>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</si>
  <si>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</si>
  <si>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</si>
  <si>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</si>
  <si>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</si>
  <si>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</si>
  <si>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</si>
  <si>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</si>
  <si>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</si>
  <si>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</si>
  <si>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</si>
  <si>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</si>
  <si>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</si>
  <si>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</si>
  <si>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</si>
  <si>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</si>
  <si>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</si>
  <si>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</si>
  <si>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</si>
  <si>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</si>
  <si>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</si>
  <si>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</si>
  <si>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</si>
  <si>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</si>
  <si>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</si>
  <si>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</si>
  <si>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</si>
  <si>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</si>
  <si>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</si>
  <si>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</si>
  <si>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</si>
  <si>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</si>
  <si>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</si>
  <si>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</si>
  <si>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</si>
  <si>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</si>
  <si>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</si>
  <si>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</si>
  <si>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</si>
  <si>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</si>
  <si>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</si>
  <si>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</si>
  <si>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</si>
  <si>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</si>
  <si>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</si>
  <si>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</si>
  <si>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</si>
  <si>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</si>
  <si>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</si>
  <si>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</si>
  <si>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</si>
  <si>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</si>
  <si>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</si>
  <si>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</si>
  <si>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</si>
  <si>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</si>
  <si>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</si>
  <si>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</si>
  <si>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</si>
  <si>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</si>
  <si>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</si>
  <si>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</si>
  <si>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</si>
  <si>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</si>
  <si>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</si>
  <si>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</si>
  <si>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</si>
  <si>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</si>
  <si>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</si>
  <si>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</si>
  <si>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</si>
  <si>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</si>
  <si>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</si>
  <si>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</si>
  <si>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</si>
  <si>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</si>
  <si>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</si>
  <si>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</si>
  <si>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</si>
  <si>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</si>
  <si>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</si>
  <si>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</si>
  <si>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</si>
  <si>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</si>
  <si>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</si>
  <si>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</si>
  <si>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</si>
  <si>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</si>
  <si>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</si>
  <si>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</si>
  <si>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</si>
  <si>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</si>
  <si>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</si>
  <si>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</si>
  <si>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</si>
  <si>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</si>
  <si>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</si>
  <si>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</si>
  <si>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</si>
  <si>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</si>
  <si>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</si>
  <si>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</si>
  <si>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</si>
  <si>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</si>
  <si>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</si>
  <si>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</si>
  <si>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</si>
  <si>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</si>
  <si>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</si>
  <si>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</si>
  <si>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</si>
  <si>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</si>
  <si>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</si>
  <si>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</si>
  <si>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</si>
  <si>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</si>
  <si>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</si>
  <si>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</si>
  <si>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</si>
  <si>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</si>
  <si>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</si>
  <si>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</si>
  <si>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</si>
  <si>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</si>
  <si>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</si>
  <si>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</si>
  <si>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</si>
  <si>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</si>
  <si>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</si>
  <si>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</si>
  <si>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</si>
  <si>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</si>
  <si>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</si>
  <si>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</si>
  <si>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</si>
  <si>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</si>
  <si>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</si>
  <si>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</si>
  <si>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</si>
  <si>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</si>
  <si>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</si>
  <si>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</si>
  <si>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</si>
  <si>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</si>
  <si>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</si>
  <si>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</si>
  <si>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</si>
  <si>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</si>
  <si>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</si>
  <si>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</si>
  <si>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</si>
  <si>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</si>
  <si>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</si>
  <si>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</si>
  <si>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</si>
  <si>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</si>
  <si>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</si>
  <si>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</si>
  <si>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</si>
  <si>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</si>
  <si>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</si>
  <si>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</si>
  <si>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</si>
  <si>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</si>
  <si>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</si>
  <si>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</si>
  <si>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</si>
  <si>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</si>
  <si>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</si>
  <si>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</si>
  <si>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</si>
  <si>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</si>
  <si>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</si>
  <si>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</si>
  <si>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</si>
  <si>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</si>
  <si>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</si>
  <si>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</si>
  <si>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</si>
  <si>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</si>
  <si>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</si>
  <si>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</si>
  <si>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</si>
  <si>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</si>
  <si>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</si>
  <si>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</si>
  <si>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</si>
  <si>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</si>
  <si>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</si>
  <si>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</si>
  <si>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</si>
  <si>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</si>
  <si>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</si>
  <si>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</si>
  <si>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</si>
  <si>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</si>
  <si>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</si>
  <si>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</si>
  <si>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</si>
  <si>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</si>
  <si>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</si>
  <si>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</si>
  <si>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</si>
  <si>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</si>
  <si>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</si>
  <si>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</si>
  <si>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</si>
  <si>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</si>
  <si>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</si>
  <si>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</si>
  <si>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</si>
  <si>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</si>
  <si>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</si>
  <si>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</si>
  <si>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</si>
  <si>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</si>
  <si>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</si>
  <si>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</si>
  <si>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</si>
  <si>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</si>
  <si>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</si>
  <si>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</si>
  <si>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</si>
  <si>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</si>
  <si>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</si>
  <si>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</si>
  <si>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</si>
  <si>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</si>
  <si>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</si>
  <si>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</si>
  <si>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</si>
  <si>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</si>
  <si>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</si>
  <si>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</si>
  <si>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</si>
  <si>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</si>
  <si>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</si>
  <si>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</si>
  <si>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</si>
  <si>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</si>
  <si>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</si>
  <si>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</si>
  <si>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</si>
  <si>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</si>
  <si>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</si>
  <si>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</si>
  <si>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</si>
  <si>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</si>
  <si>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</si>
  <si>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</si>
  <si>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</si>
  <si>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</si>
  <si>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</si>
  <si>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</si>
  <si>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</si>
  <si>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</si>
  <si>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</si>
  <si>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</si>
  <si>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</si>
  <si>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</si>
  <si>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</si>
  <si>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</si>
  <si>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</si>
  <si>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</si>
  <si>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</si>
  <si>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</si>
  <si>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</si>
  <si>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</si>
  <si>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</si>
  <si>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</si>
  <si>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</si>
  <si>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</si>
  <si>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</si>
  <si>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</si>
  <si>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</si>
  <si>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</si>
  <si>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</si>
  <si>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</si>
  <si>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</si>
  <si>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</si>
  <si>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</si>
  <si>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</si>
  <si>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</si>
  <si>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</si>
  <si>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</si>
  <si>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</si>
  <si>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</si>
  <si>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</si>
  <si>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</si>
  <si>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</si>
  <si>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</si>
  <si>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</si>
  <si>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</si>
  <si>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</si>
  <si>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</si>
  <si>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</si>
  <si>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</si>
  <si>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</si>
  <si>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</si>
  <si>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</si>
  <si>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</si>
  <si>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</si>
  <si>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</si>
  <si>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</si>
  <si>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</si>
  <si>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</si>
  <si>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</si>
  <si>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</si>
  <si>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</si>
  <si>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</si>
  <si>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</si>
  <si>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</si>
  <si>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</si>
  <si>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</si>
  <si>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</si>
  <si>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</si>
  <si>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</si>
  <si>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</si>
  <si>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</si>
  <si>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</si>
  <si>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</si>
  <si>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</si>
  <si>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</si>
  <si>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</si>
  <si>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</si>
  <si>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</si>
  <si>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</si>
  <si>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</si>
  <si>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</si>
  <si>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</si>
  <si>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</si>
  <si>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</si>
  <si>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</si>
  <si>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</si>
  <si>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</si>
  <si>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</si>
  <si>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</si>
  <si>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</si>
  <si>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</si>
  <si>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</si>
  <si>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</si>
  <si>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</si>
  <si>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</si>
  <si>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</si>
  <si>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</si>
  <si>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</si>
  <si>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</si>
  <si>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</si>
  <si>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</si>
  <si>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</si>
  <si>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</si>
  <si>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</si>
  <si>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</si>
  <si>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</si>
  <si>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</si>
  <si>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</si>
  <si>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</si>
  <si>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</si>
  <si>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</si>
  <si>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</si>
  <si>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</si>
  <si>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</si>
  <si>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</si>
  <si>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</si>
  <si>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</si>
  <si>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</si>
  <si>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</si>
  <si>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</si>
  <si>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</si>
  <si>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</si>
  <si>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</si>
  <si>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</si>
  <si>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</si>
  <si>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</si>
  <si>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</si>
  <si>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</si>
  <si>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</si>
  <si>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</si>
  <si>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</si>
  <si>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</si>
  <si>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</si>
  <si>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</si>
  <si>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</si>
  <si>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</si>
  <si>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</si>
  <si>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</si>
  <si>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</si>
  <si>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</si>
  <si>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</si>
  <si>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</si>
  <si>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</si>
  <si>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</si>
  <si>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</si>
  <si>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</si>
  <si>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</si>
  <si>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</si>
  <si>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</si>
  <si>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</si>
  <si>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</si>
  <si>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</si>
  <si>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</si>
  <si>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</si>
  <si>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</si>
  <si>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</si>
  <si>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</si>
  <si>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</si>
  <si>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</si>
  <si>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</si>
  <si>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</si>
  <si>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</si>
  <si>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</si>
  <si>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</si>
  <si>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</si>
  <si>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</si>
  <si>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</si>
  <si>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</si>
  <si>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</si>
  <si>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</si>
  <si>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</si>
  <si>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</si>
  <si>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</si>
  <si>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</si>
  <si>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</si>
  <si>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</si>
  <si>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</si>
  <si>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</si>
  <si>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</si>
  <si>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</si>
  <si>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</si>
  <si>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</si>
  <si>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</si>
  <si>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</si>
  <si>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</si>
  <si>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</si>
  <si>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</si>
  <si>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</si>
  <si>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</si>
  <si>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</si>
  <si>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</si>
  <si>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</si>
  <si>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</si>
  <si>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</si>
  <si>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</si>
  <si>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</si>
  <si>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</si>
  <si>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</si>
  <si>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</si>
  <si>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</si>
  <si>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</si>
  <si>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</si>
  <si>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</si>
  <si>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</si>
  <si>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</si>
  <si>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</si>
  <si>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</si>
  <si>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</si>
  <si>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</si>
  <si>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</si>
  <si>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</si>
  <si>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</si>
  <si>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</si>
  <si>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</si>
  <si>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</si>
  <si>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</si>
  <si>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</si>
  <si>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</si>
  <si>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</si>
  <si>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</si>
  <si>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</si>
  <si>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</si>
  <si>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</si>
  <si>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</si>
  <si>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</si>
  <si>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</si>
  <si>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</si>
  <si>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</si>
  <si>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</si>
  <si>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</si>
  <si>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</si>
  <si>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</si>
  <si>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</si>
  <si>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</si>
  <si>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</si>
  <si>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</si>
  <si>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</si>
  <si>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</si>
  <si>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</si>
  <si>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</si>
  <si>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</si>
  <si>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</si>
  <si>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</si>
  <si>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</si>
  <si>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</si>
  <si>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</si>
  <si>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</si>
  <si>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</si>
  <si>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</si>
  <si>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</si>
  <si>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</si>
  <si>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</si>
  <si>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</si>
  <si>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</si>
  <si>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</si>
  <si>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</si>
  <si>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</si>
  <si>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</si>
  <si>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</si>
  <si>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</si>
  <si>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</si>
  <si>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</si>
  <si>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</si>
  <si>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</si>
  <si>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</si>
  <si>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</si>
  <si>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</si>
  <si>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</si>
  <si>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</si>
  <si>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</si>
  <si>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</si>
  <si>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</si>
  <si>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</si>
  <si>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</si>
  <si>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</si>
  <si>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</si>
  <si>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</si>
  <si>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</si>
  <si>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</si>
  <si>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</si>
  <si>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</si>
  <si>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</si>
  <si>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</si>
  <si>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</si>
  <si>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</si>
  <si>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</si>
  <si>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</si>
  <si>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</si>
  <si>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</si>
  <si>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</si>
  <si>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</si>
  <si>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</si>
  <si>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</si>
  <si>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</si>
  <si>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</si>
  <si>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</si>
  <si>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</si>
  <si>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</si>
  <si>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</si>
  <si>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</si>
  <si>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</si>
  <si>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</si>
  <si>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</si>
  <si>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</si>
  <si>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</si>
  <si>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</si>
  <si>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</si>
  <si>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</si>
  <si>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</si>
  <si>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</si>
  <si>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</si>
  <si>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</si>
  <si>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</si>
  <si>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</si>
  <si>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</si>
  <si>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</si>
  <si>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</si>
  <si>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</si>
  <si>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</si>
  <si>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</si>
  <si>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</si>
  <si>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</si>
  <si>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</si>
  <si>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</si>
  <si>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</si>
  <si>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</si>
  <si>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</si>
  <si>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</si>
  <si>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</si>
  <si>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</si>
  <si>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</si>
  <si>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</si>
  <si>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</si>
  <si>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</si>
  <si>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</si>
  <si>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</si>
  <si>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</si>
  <si>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</si>
  <si>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</si>
  <si>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</si>
  <si>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</si>
  <si>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</si>
  <si>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</si>
  <si>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</si>
  <si>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</si>
  <si>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</si>
  <si>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</si>
  <si>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</si>
  <si>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</si>
  <si>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</si>
  <si>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</si>
  <si>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</si>
  <si>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</si>
  <si>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</si>
  <si>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</si>
  <si>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</si>
  <si>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</si>
  <si>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</si>
  <si>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</si>
  <si>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</si>
  <si>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</si>
  <si>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</si>
  <si>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</si>
  <si>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</si>
  <si>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</si>
  <si>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</si>
  <si>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</si>
  <si>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</si>
  <si>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</si>
  <si>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</si>
  <si>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</si>
  <si>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</si>
  <si>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</si>
  <si>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</si>
  <si>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</si>
  <si>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</si>
  <si>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</si>
  <si>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</si>
  <si>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</si>
  <si>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</si>
  <si>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</si>
  <si>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</si>
  <si>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</si>
  <si>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</si>
  <si>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</si>
  <si>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</si>
  <si>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</si>
  <si>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</si>
  <si>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</si>
  <si>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</si>
  <si>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</si>
  <si>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</si>
  <si>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</si>
  <si>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</si>
  <si>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</si>
  <si>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</si>
  <si>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</si>
  <si>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</si>
  <si>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</si>
  <si>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</si>
  <si>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</si>
  <si>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</si>
  <si>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</si>
  <si>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</si>
  <si>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</si>
  <si>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</si>
  <si>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</si>
  <si>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</si>
  <si>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</si>
  <si>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</si>
  <si>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</si>
  <si>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</si>
  <si>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</si>
  <si>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</si>
  <si>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</si>
  <si>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</si>
  <si>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</si>
  <si>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</si>
  <si>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</si>
  <si>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</si>
  <si>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</si>
  <si>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</si>
  <si>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</si>
  <si>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</si>
  <si>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</si>
  <si>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</si>
  <si>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</si>
  <si>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</si>
  <si>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</si>
  <si>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</si>
  <si>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</si>
  <si>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</si>
  <si>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</si>
  <si>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</si>
  <si>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</si>
  <si>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</si>
  <si>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</si>
  <si>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</si>
  <si>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</si>
  <si>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</si>
  <si>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</si>
  <si>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</si>
  <si>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</si>
  <si>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</si>
  <si>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</si>
  <si>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</si>
  <si>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</si>
  <si>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</si>
  <si>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</si>
  <si>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</si>
  <si>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</si>
  <si>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</si>
  <si>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</si>
  <si>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</si>
  <si>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</si>
  <si>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</si>
  <si>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</si>
  <si>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</si>
  <si>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</si>
  <si>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</si>
  <si>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</si>
  <si>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</si>
  <si>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</si>
  <si>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</si>
  <si>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</si>
  <si>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</si>
  <si>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</si>
  <si>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</si>
  <si>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</si>
  <si>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</si>
  <si>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</si>
  <si>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</si>
  <si>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</si>
  <si>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</si>
  <si>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</si>
  <si>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</si>
  <si>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</si>
  <si>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</si>
  <si>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</si>
  <si>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</si>
  <si>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</si>
  <si>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</si>
  <si>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</si>
  <si>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</si>
  <si>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</si>
  <si>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</si>
  <si>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</si>
  <si>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</si>
  <si>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</si>
  <si>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</si>
  <si>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</si>
  <si>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</si>
  <si>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</si>
  <si>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</si>
  <si>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</si>
  <si>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</si>
  <si>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</si>
  <si>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</si>
  <si>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</si>
  <si>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</si>
  <si>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</si>
  <si>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</si>
  <si>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</si>
  <si>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</si>
  <si>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</si>
  <si>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</si>
  <si>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</si>
  <si>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</si>
  <si>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</si>
  <si>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</si>
  <si>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</si>
  <si>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</si>
  <si>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</si>
  <si>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</si>
  <si>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</si>
  <si>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</si>
  <si>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</si>
  <si>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</si>
  <si>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</si>
  <si>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</si>
  <si>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</si>
  <si>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</si>
  <si>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</si>
  <si>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</si>
  <si>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</si>
  <si>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</si>
  <si>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</si>
  <si>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</si>
  <si>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</si>
  <si>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</si>
  <si>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</si>
  <si>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</si>
  <si>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</si>
  <si>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</si>
  <si>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</si>
  <si>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</si>
  <si>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</si>
  <si>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</si>
  <si>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</si>
  <si>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</si>
  <si>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</si>
  <si>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</si>
  <si>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</si>
  <si>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</si>
  <si>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</si>
  <si>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</si>
  <si>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</si>
  <si>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</si>
  <si>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</si>
  <si>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</si>
  <si>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</si>
  <si>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</si>
  <si>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</si>
  <si>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</si>
  <si>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</si>
  <si>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</si>
  <si>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</si>
  <si>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</si>
  <si>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</si>
  <si>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</si>
  <si>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</si>
  <si>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</si>
  <si>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</si>
  <si>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</si>
  <si>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</si>
  <si>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</si>
  <si>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</si>
  <si>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</si>
  <si>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</si>
  <si>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</si>
  <si>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</si>
  <si>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</si>
  <si>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</si>
  <si>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</si>
  <si>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</si>
  <si>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</si>
  <si>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</si>
  <si>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</si>
  <si>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</si>
  <si>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</si>
  <si>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</si>
  <si>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</si>
  <si>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</si>
  <si>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</si>
  <si>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</si>
  <si>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</si>
  <si>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</si>
  <si>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</si>
  <si>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</si>
  <si>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</si>
  <si>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</si>
  <si>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</si>
  <si>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</si>
  <si>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</si>
  <si>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</si>
  <si>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</si>
  <si>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</si>
  <si>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</si>
  <si>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</si>
  <si>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</si>
  <si>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</si>
  <si>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</si>
  <si>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</si>
  <si>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</si>
  <si>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</si>
  <si>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</si>
  <si>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</si>
  <si>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</si>
  <si>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</si>
  <si>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</si>
  <si>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</si>
  <si>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</si>
  <si>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</si>
  <si>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</si>
  <si>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</si>
  <si>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</si>
  <si>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</si>
  <si>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</si>
  <si>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</si>
  <si>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</si>
  <si>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</si>
  <si>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</si>
  <si>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</si>
  <si>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</si>
  <si>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</si>
  <si>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</si>
  <si>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</si>
  <si>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</si>
  <si>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</si>
  <si>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</si>
  <si>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</si>
  <si>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</si>
  <si>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</si>
  <si>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</si>
  <si>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</si>
  <si>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</si>
  <si>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</si>
  <si>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</si>
  <si>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</si>
  <si>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</si>
  <si>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</si>
  <si>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</si>
  <si>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</si>
  <si>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</si>
  <si>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</si>
  <si>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</si>
  <si>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</si>
  <si>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</si>
  <si>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</si>
  <si>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</si>
  <si>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</si>
  <si>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</si>
  <si>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</si>
  <si>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</si>
  <si>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</si>
  <si>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</si>
  <si>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</si>
  <si>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</si>
  <si>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</si>
  <si>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</si>
  <si>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</si>
  <si>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</si>
  <si>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</si>
  <si>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</si>
  <si>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</si>
  <si>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</si>
  <si>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</si>
  <si>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</si>
  <si>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</si>
  <si>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</si>
  <si>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</si>
  <si>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</si>
  <si>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</si>
  <si>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</si>
  <si>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</si>
  <si>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</si>
  <si>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</si>
  <si>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</si>
  <si>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</si>
  <si>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</si>
  <si>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</si>
  <si>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</si>
  <si>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</si>
  <si>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</si>
  <si>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</si>
  <si>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</si>
  <si>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</si>
  <si>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</si>
  <si>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</si>
  <si>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</si>
  <si>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</si>
  <si>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</si>
  <si>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</si>
  <si>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</si>
  <si>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</si>
  <si>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</si>
  <si>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</si>
  <si>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</si>
  <si>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</si>
  <si>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</si>
  <si>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</si>
  <si>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</si>
  <si>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</si>
  <si>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</si>
  <si>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</si>
  <si>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</si>
  <si>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</si>
  <si>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</si>
  <si>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</si>
  <si>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</si>
  <si>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</si>
  <si>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</si>
  <si>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</si>
  <si>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</si>
  <si>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</si>
  <si>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</si>
  <si>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</si>
  <si>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</si>
  <si>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</si>
  <si>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</si>
  <si>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</si>
  <si>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</si>
  <si>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</si>
  <si>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</si>
  <si>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</si>
  <si>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</si>
  <si>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</si>
  <si>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</si>
  <si>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</si>
  <si>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</si>
  <si>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</si>
  <si>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</si>
  <si>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</si>
  <si>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</si>
  <si>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</si>
  <si>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</si>
  <si>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</si>
  <si>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</si>
  <si>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</si>
  <si>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</si>
  <si>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</si>
  <si>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</si>
  <si>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</si>
  <si>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</si>
  <si>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</si>
  <si>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</si>
  <si>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</si>
  <si>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</si>
  <si>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</si>
  <si>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</si>
  <si>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</si>
  <si>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</si>
  <si>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</si>
  <si>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</si>
  <si>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</si>
  <si>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</si>
  <si>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</si>
  <si>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</si>
  <si>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</si>
  <si>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</si>
  <si>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</si>
  <si>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</si>
  <si>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</si>
  <si>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</si>
  <si>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</si>
  <si>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</si>
  <si>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</si>
  <si>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</si>
  <si>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</si>
  <si>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</si>
  <si>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</si>
  <si>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</si>
  <si>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</si>
  <si>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</si>
  <si>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</si>
  <si>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</si>
  <si>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</si>
  <si>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</si>
  <si>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</si>
  <si>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</si>
  <si>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</si>
  <si>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</si>
  <si>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</si>
  <si>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</si>
  <si>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</si>
  <si>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</si>
  <si>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</si>
  <si>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</si>
  <si>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</si>
  <si>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</si>
  <si>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</si>
  <si>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</si>
  <si>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</si>
  <si>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</si>
  <si>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</si>
  <si>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</si>
  <si>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</si>
  <si>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</si>
  <si>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</si>
  <si>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</si>
  <si>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</si>
  <si>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</si>
  <si>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</si>
  <si>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</si>
  <si>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</si>
  <si>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</si>
  <si>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</si>
  <si>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</si>
  <si>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</si>
  <si>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</si>
  <si>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</si>
  <si>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</si>
  <si>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</si>
  <si>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</si>
  <si>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</si>
  <si>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</si>
  <si>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</si>
  <si>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</si>
  <si>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</si>
  <si>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</si>
  <si>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</si>
  <si>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</si>
  <si>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</si>
  <si>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</si>
  <si>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</si>
  <si>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</si>
  <si>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</si>
  <si>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</si>
  <si>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</si>
  <si>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</si>
  <si>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</si>
  <si>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</si>
  <si>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</si>
  <si>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</si>
  <si>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</si>
  <si>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</si>
  <si>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</si>
  <si>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</si>
  <si>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</si>
  <si>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</si>
  <si>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</si>
  <si>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</si>
  <si>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</si>
  <si>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</si>
  <si>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</si>
  <si>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</si>
  <si>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</si>
  <si>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</si>
  <si>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</si>
  <si>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</si>
  <si>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</si>
  <si>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</si>
  <si>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</si>
  <si>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</si>
  <si>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</si>
  <si>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</si>
  <si>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</si>
  <si>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</si>
  <si>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</si>
  <si>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</si>
  <si>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</si>
  <si>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</si>
  <si>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</si>
  <si>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</si>
  <si>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</si>
  <si>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</si>
  <si>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</si>
  <si>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</si>
  <si>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</si>
  <si>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</si>
  <si>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</si>
  <si>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</si>
  <si>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</si>
  <si>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</si>
  <si>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</si>
  <si>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</si>
  <si>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</si>
  <si>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</si>
  <si>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</si>
  <si>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</si>
  <si>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</si>
  <si>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</si>
  <si>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</si>
  <si>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</si>
  <si>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</si>
  <si>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</si>
  <si>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</si>
  <si>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</si>
  <si>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</si>
  <si>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</si>
  <si>
    <t>3.3-3.5</t>
    <phoneticPr fontId="136" type="noConversion"/>
  </si>
  <si>
    <t>3.5-3.7</t>
    <phoneticPr fontId="136" type="noConversion"/>
  </si>
  <si>
    <t>3.7-3.9（含）</t>
    <phoneticPr fontId="136" type="noConversion"/>
  </si>
  <si>
    <t>0-3.3（含）</t>
    <phoneticPr fontId="136" type="noConversion"/>
  </si>
  <si>
    <t>标准宗地1比准价格=[10014+（280/1）-（280/1.8）]×（1/1）×（1/1）×（1.9/1.3593）×（1/1）×（1.0709/1.2018）×（0.9733/1）=11899（元/平方米）（取整）</t>
    <phoneticPr fontId="136" type="noConversion"/>
  </si>
  <si>
    <t>标准宗地2比准价格=[9360+（280/1）-（280/2.97）]×（1/1）×（0.9681/1）×（1.9/0.9634）×（1/1）×（1.0709/1.0818）×（0.9733/1）=11899（元/平方米）（取整）</t>
    <phoneticPr fontId="136" type="noConversion"/>
  </si>
  <si>
    <t>标准宗地3比准价格=[7733+（280/1）-（280/1.54）]×（1/1）×（0.9681/1）×（1.9/1.5513）×（1/1）×（1.0709/1.0394）×（0.9733/1）=17560（元/平方米）（取整）</t>
    <phoneticPr fontId="136" type="noConversion"/>
  </si>
  <si>
    <r>
      <t>7</t>
    </r>
    <r>
      <rPr>
        <sz val="10"/>
        <color indexed="8"/>
        <rFont val="宋体"/>
        <family val="3"/>
        <charset val="134"/>
      </rPr>
      <t>、</t>
    </r>
    <r>
      <rPr>
        <sz val="10"/>
        <color indexed="8"/>
        <rFont val="Arial"/>
        <family val="2"/>
      </rPr>
      <t>8</t>
    </r>
    <r>
      <rPr>
        <sz val="10"/>
        <color indexed="8"/>
        <rFont val="宋体"/>
        <family val="3"/>
        <charset val="134"/>
      </rPr>
      <t>、</t>
    </r>
    <r>
      <rPr>
        <sz val="10"/>
        <color indexed="8"/>
        <rFont val="Arial"/>
        <family val="2"/>
      </rPr>
      <t>10</t>
    </r>
    <r>
      <rPr>
        <sz val="10"/>
        <color indexed="8"/>
        <rFont val="宋体"/>
        <family val="3"/>
        <charset val="134"/>
      </rPr>
      <t>、</t>
    </r>
    <r>
      <rPr>
        <sz val="10"/>
        <color indexed="8"/>
        <rFont val="Arial"/>
        <family val="2"/>
      </rPr>
      <t>98</t>
    </r>
    <r>
      <rPr>
        <sz val="10"/>
        <color indexed="8"/>
        <rFont val="宋体"/>
        <family val="3"/>
        <charset val="134"/>
      </rPr>
      <t>、</t>
    </r>
    <r>
      <rPr>
        <sz val="10"/>
        <color indexed="8"/>
        <rFont val="Arial"/>
        <family val="2"/>
      </rPr>
      <t>107</t>
    </r>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</si>
</sst>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8">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
      <sz val="10.5"/>
      <color theme="1"/>
      <name val="宋体"/>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
      <patternFill patternType="solid">
        <fgColor theme="6"/>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25" fillId="5" borderId="1" xfId="20" applyFont="1" applyFill="1" applyBorder="1" applyAlignment="1">
      <alignment horizontal="left" vertical="center"/>
    </xf>
    <xf numFmtId="0" fontId="279" fillId="22" borderId="0" xfId="0" applyFont="1" applyFill="1" applyAlignment="1">
      <alignment horizontal="left" vertical="center"/>
    </xf>
    <xf numFmtId="0" fontId="287" fillId="0" borderId="0" xfId="0" applyFont="1" applyAlignment="1">
      <alignment horizontal="justify" vertical="center"/>
    </xf>
    <xf numFmtId="181" fontId="49" fillId="32" borderId="24" xfId="0" applyNumberFormat="1" applyFont="1" applyFill="1" applyBorder="1" applyAlignment="1" applyProtection="1">
      <alignment horizontal="center" vertical="center"/>
      <protection locked="0"/>
    </xf>
    <xf numFmtId="9" fontId="49" fillId="32" borderId="5" xfId="0" applyNumberFormat="1" applyFont="1" applyFill="1" applyBorder="1" applyAlignment="1" applyProtection="1">
      <alignment horizontal="center" vertical="center"/>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116" fillId="26" borderId="1" xfId="20" applyNumberFormat="1" applyFont="1" applyFill="1" applyBorder="1" applyAlignment="1">
      <alignment horizontal="left" vertical="center"/>
    </xf>
    <xf numFmtId="197" fontId="116" fillId="0" borderId="1" xfId="20" applyNumberFormat="1" applyFont="1" applyBorder="1" applyAlignment="1">
      <alignment horizontal="left" vertical="center"/>
    </xf>
    <xf numFmtId="197" fontId="125" fillId="0" borderId="1" xfId="20" applyNumberFormat="1" applyFont="1" applyBorder="1" applyAlignment="1">
      <alignment horizontal="left" vertical="center"/>
    </xf>
    <xf numFmtId="197" fontId="125" fillId="26" borderId="1" xfId="20" applyNumberFormat="1" applyFont="1" applyFill="1" applyBorder="1" applyAlignment="1">
      <alignment horizontal="left" vertical="center"/>
    </xf>
    <xf numFmtId="197" fontId="96"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97" fontId="96" fillId="26" borderId="1" xfId="20" applyNumberFormat="1" applyFont="1" applyFill="1" applyBorder="1" applyAlignment="1">
      <alignment horizontal="left"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0" fontId="122" fillId="0" borderId="0" xfId="0" applyFont="1" applyAlignment="1">
      <alignment horizontal="center"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72">
    <dxf>
      <fill>
        <patternFill>
          <bgColor theme="6" tint="0.79998168889431442"/>
        </patternFill>
      </fill>
    </dxf>
    <dxf>
      <fill>
        <patternFill>
          <bgColor theme="6" tint="0.79998168889431442"/>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0.22978751903282971</c:v>
                      </c:pt>
                      <c:pt idx="1">
                        <c:v>0.22161235686131195</c:v>
                      </c:pt>
                      <c:pt idx="2">
                        <c:v>0.23378836641995468</c:v>
                      </c:pt>
                      <c:pt idx="3">
                        <c:v>0.21045049749010078</c:v>
                      </c:pt>
                      <c:pt idx="4">
                        <c:v>0.19293308878039681</c:v>
                      </c:pt>
                      <c:pt idx="5">
                        <c:v>0.17438762639818733</c:v>
                      </c:pt>
                      <c:pt idx="6">
                        <c:v>0.16849142337019762</c:v>
                      </c:pt>
                      <c:pt idx="7">
                        <c:v>0.18543782390833721</c:v>
                      </c:pt>
                      <c:pt idx="8">
                        <c:v>0.18431811618215896</c:v>
                      </c:pt>
                      <c:pt idx="9">
                        <c:v>0.18104814702606883</c:v>
                      </c:pt>
                      <c:pt idx="10">
                        <c:v>0.17650616086612153</c:v>
                      </c:pt>
                      <c:pt idx="11">
                        <c:v>0.21230287912804138</c:v>
                      </c:pt>
                      <c:pt idx="12">
                        <c:v>0.18045559897631056</c:v>
                      </c:pt>
                      <c:pt idx="13">
                        <c:v>0.20877873211730447</c:v>
                      </c:pt>
                      <c:pt idx="14">
                        <c:v>0.21410849828961395</c:v>
                      </c:pt>
                      <c:pt idx="15">
                        <c:v>0.22751046126655139</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最终结果表!$L$2:$L$17</c:f>
              <c:numCache>
                <c:formatCode>General</c:formatCode>
                <c:ptCount val="16"/>
                <c:pt idx="0">
                  <c:v>253.4</c:v>
                </c:pt>
                <c:pt idx="1">
                  <c:v>253.4</c:v>
                </c:pt>
                <c:pt idx="2">
                  <c:v>253.4</c:v>
                </c:pt>
                <c:pt idx="3">
                  <c:v>255.11</c:v>
                </c:pt>
                <c:pt idx="4">
                  <c:v>451.21</c:v>
                </c:pt>
                <c:pt idx="5">
                  <c:v>353.1</c:v>
                </c:pt>
                <c:pt idx="6">
                  <c:v>203</c:v>
                </c:pt>
                <c:pt idx="7">
                  <c:v>205.8</c:v>
                </c:pt>
                <c:pt idx="8">
                  <c:v>205.8</c:v>
                </c:pt>
                <c:pt idx="9">
                  <c:v>205.8</c:v>
                </c:pt>
                <c:pt idx="10">
                  <c:v>205.8</c:v>
                </c:pt>
                <c:pt idx="11">
                  <c:v>253.4</c:v>
                </c:pt>
                <c:pt idx="12">
                  <c:v>311.24</c:v>
                </c:pt>
                <c:pt idx="13">
                  <c:v>253.4</c:v>
                </c:pt>
                <c:pt idx="14">
                  <c:v>266.26</c:v>
                </c:pt>
                <c:pt idx="15">
                  <c:v>236</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337.95958000000002</c:v>
                </c:pt>
                <c:pt idx="1">
                  <c:v>305.32166000000001</c:v>
                </c:pt>
                <c:pt idx="2">
                  <c:v>355.59622000000002</c:v>
                </c:pt>
                <c:pt idx="3">
                  <c:v>265.77359799999999</c:v>
                </c:pt>
                <c:pt idx="4">
                  <c:v>506.39298300000002</c:v>
                </c:pt>
                <c:pt idx="5">
                  <c:v>485.65374000000003</c:v>
                </c:pt>
                <c:pt idx="6">
                  <c:v>179.81739999999999</c:v>
                </c:pt>
                <c:pt idx="7">
                  <c:v>224.19852000000003</c:v>
                </c:pt>
                <c:pt idx="8">
                  <c:v>220.76166000000001</c:v>
                </c:pt>
                <c:pt idx="9">
                  <c:v>211.13022000000001</c:v>
                </c:pt>
                <c:pt idx="10">
                  <c:v>198.55584000000002</c:v>
                </c:pt>
                <c:pt idx="11">
                  <c:v>272.83578</c:v>
                </c:pt>
                <c:pt idx="12">
                  <c:v>327.01986800000003</c:v>
                </c:pt>
                <c:pt idx="13">
                  <c:v>261.66084000000001</c:v>
                </c:pt>
                <c:pt idx="14">
                  <c:v>270.46690799999999</c:v>
                </c:pt>
                <c:pt idx="15">
                  <c:v>351.52199999999999</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337.95958000000002</c:v>
                </c:pt>
                <c:pt idx="1">
                  <c:v>305.32166000000001</c:v>
                </c:pt>
                <c:pt idx="2">
                  <c:v>355.59622000000002</c:v>
                </c:pt>
                <c:pt idx="3">
                  <c:v>265.77359799999999</c:v>
                </c:pt>
                <c:pt idx="4">
                  <c:v>506.39298300000002</c:v>
                </c:pt>
                <c:pt idx="5">
                  <c:v>485.65374000000003</c:v>
                </c:pt>
                <c:pt idx="6">
                  <c:v>179.81739999999999</c:v>
                </c:pt>
                <c:pt idx="7">
                  <c:v>224.19852000000003</c:v>
                </c:pt>
                <c:pt idx="8">
                  <c:v>220.76166000000001</c:v>
                </c:pt>
                <c:pt idx="9">
                  <c:v>211.13022000000001</c:v>
                </c:pt>
                <c:pt idx="10">
                  <c:v>198.55584000000002</c:v>
                </c:pt>
                <c:pt idx="11">
                  <c:v>272.83578</c:v>
                </c:pt>
                <c:pt idx="12">
                  <c:v>327.01986800000003</c:v>
                </c:pt>
                <c:pt idx="13">
                  <c:v>261.66084000000001</c:v>
                </c:pt>
                <c:pt idx="14">
                  <c:v>270.46690799999999</c:v>
                </c:pt>
                <c:pt idx="15">
                  <c:v>351.52199999999999</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337.95958000000002</c:v>
                </c:pt>
                <c:pt idx="1">
                  <c:v>305.32166000000001</c:v>
                </c:pt>
                <c:pt idx="2">
                  <c:v>355.59622000000002</c:v>
                </c:pt>
                <c:pt idx="3">
                  <c:v>265.77359799999999</c:v>
                </c:pt>
                <c:pt idx="4">
                  <c:v>506.39298300000002</c:v>
                </c:pt>
                <c:pt idx="5">
                  <c:v>485.65374000000003</c:v>
                </c:pt>
                <c:pt idx="6">
                  <c:v>179.81739999999999</c:v>
                </c:pt>
                <c:pt idx="7">
                  <c:v>224.19852000000003</c:v>
                </c:pt>
                <c:pt idx="8">
                  <c:v>220.76166000000001</c:v>
                </c:pt>
                <c:pt idx="9">
                  <c:v>211.13022000000001</c:v>
                </c:pt>
                <c:pt idx="10">
                  <c:v>198.55584000000002</c:v>
                </c:pt>
                <c:pt idx="11">
                  <c:v>272.83578</c:v>
                </c:pt>
                <c:pt idx="12">
                  <c:v>327.01986800000003</c:v>
                </c:pt>
                <c:pt idx="13">
                  <c:v>261.66084000000001</c:v>
                </c:pt>
                <c:pt idx="14">
                  <c:v>270.46690799999999</c:v>
                </c:pt>
                <c:pt idx="15">
                  <c:v>351.52199999999999</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最终结果表!$M$2:$M$17</c:f>
              <c:numCache>
                <c:formatCode>General</c:formatCode>
                <c:ptCount val="16"/>
                <c:pt idx="0">
                  <c:v>447.47</c:v>
                </c:pt>
                <c:pt idx="1">
                  <c:v>447.47</c:v>
                </c:pt>
                <c:pt idx="2">
                  <c:v>447.47</c:v>
                </c:pt>
                <c:pt idx="3">
                  <c:v>449.18</c:v>
                </c:pt>
                <c:pt idx="4">
                  <c:v>785.45</c:v>
                </c:pt>
                <c:pt idx="5">
                  <c:v>687.34</c:v>
                </c:pt>
                <c:pt idx="6">
                  <c:v>397.07</c:v>
                </c:pt>
                <c:pt idx="7">
                  <c:v>399.87</c:v>
                </c:pt>
                <c:pt idx="8">
                  <c:v>399.87</c:v>
                </c:pt>
                <c:pt idx="9">
                  <c:v>399.87</c:v>
                </c:pt>
                <c:pt idx="10">
                  <c:v>399.87</c:v>
                </c:pt>
                <c:pt idx="11">
                  <c:v>447.47</c:v>
                </c:pt>
                <c:pt idx="12">
                  <c:v>557.32000000000005</c:v>
                </c:pt>
                <c:pt idx="13">
                  <c:v>447.47</c:v>
                </c:pt>
                <c:pt idx="14">
                  <c:v>460.33</c:v>
                </c:pt>
                <c:pt idx="15">
                  <c:v>430.07</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extLst>
                      <c:ext uri="{02D57815-91ED-43cb-92C2-25804820EDAC}">
                        <c15:formulaRef>
                          <c15:sqref>最终结果表!$O$2:$O$17</c15:sqref>
                        </c15:formulaRef>
                      </c:ext>
                    </c:extLst>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619125</xdr:colOff>
      <xdr:row>0</xdr:row>
      <xdr:rowOff>3837</xdr:rowOff>
    </xdr:from>
    <xdr:to>
      <xdr:col>28</xdr:col>
      <xdr:colOff>531673</xdr:colOff>
      <xdr:row>21</xdr:row>
      <xdr:rowOff>122581</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8316575" y="3837"/>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58</xdr:row>
      <xdr:rowOff>18574</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1</xdr:col>
      <xdr:colOff>523875</xdr:colOff>
      <xdr:row>39</xdr:row>
      <xdr:rowOff>59713</xdr:rowOff>
    </xdr:from>
    <xdr:to>
      <xdr:col>9</xdr:col>
      <xdr:colOff>38100</xdr:colOff>
      <xdr:row>58</xdr:row>
      <xdr:rowOff>484767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1209675" y="7089163"/>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估价对象为房地产，为所有。根据《国有土地使用证》[]，估价对象（分摊）出让国有建设用地使用权面积为109.97平方米，建筑面积为447.47平方米。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估价对象为房地产,属开发建设的，该项目尚在开发建设中。根据《国有土地使用证》[]，估价对象（分摊）出让国有建设用地使用权面积为109.97平方米，规划建筑面积为447.47平方米。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447.47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7"/>
      <c r="B54" s="1447" t="s">
        <v>385</v>
      </c>
      <c r="C54" s="1445" t="s">
        <v>583</v>
      </c>
    </row>
    <row r="55" spans="1:4">
      <c r="A55" s="3427"/>
      <c r="B55" s="1447" t="s">
        <v>386</v>
      </c>
      <c r="C55" s="1445" t="s">
        <v>584</v>
      </c>
    </row>
    <row r="56" spans="1:4">
      <c r="A56" s="3427"/>
      <c r="B56" s="1447" t="s">
        <v>387</v>
      </c>
      <c r="C56" s="1445" t="s">
        <v>588</v>
      </c>
    </row>
    <row r="57" spans="1:4">
      <c r="A57" s="342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8" t="s">
        <v>2578</v>
      </c>
      <c r="J2" s="3428"/>
      <c r="K2" s="3428"/>
      <c r="L2" s="3428"/>
      <c r="M2" s="3428"/>
      <c r="N2" s="3428"/>
      <c r="O2" s="3428"/>
      <c r="P2" s="3428"/>
      <c r="Q2" s="3428"/>
      <c r="R2" s="3428"/>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36" t="str">
        <f>IF(B10="北京市","北京市",C10)&amp;F10&amp;IF(结果表!G1="在建","出让国有建设用地使用权及在建建筑物",IF(结果表!G1="土地","出让国有建设用地使用权",))&amp;B9&amp;"预评估"</f>
        <v>房地产市场价值预评估</v>
      </c>
      <c r="C1" s="3437"/>
      <c r="D1" s="3437"/>
      <c r="E1" s="3437"/>
      <c r="F1" s="3437"/>
      <c r="G1" s="3437"/>
      <c r="H1" s="3437"/>
      <c r="I1" s="343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9"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40"/>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46"/>
      <c r="C16" s="3447"/>
      <c r="D16" s="3448"/>
      <c r="E16" s="2222" t="s">
        <v>2192</v>
      </c>
      <c r="F16" s="3449"/>
      <c r="G16" s="3450"/>
      <c r="H16" s="3450"/>
      <c r="I16" s="3451"/>
      <c r="J16" s="2245"/>
      <c r="K16" s="2403"/>
      <c r="L16" s="1670"/>
      <c r="M16" s="1670"/>
      <c r="N16" s="2245"/>
      <c r="O16" s="1670"/>
      <c r="P16" s="2245"/>
      <c r="Q16" s="2245"/>
      <c r="R16" s="2245"/>
    </row>
    <row r="17" spans="1:28">
      <c r="A17" s="305" t="s">
        <v>2193</v>
      </c>
      <c r="B17" s="294" t="s">
        <v>2194</v>
      </c>
      <c r="C17" s="8">
        <f>'数据-汇总表'!E3</f>
        <v>447.47</v>
      </c>
      <c r="D17" s="1256" t="s">
        <v>2195</v>
      </c>
      <c r="E17" s="3452" t="s">
        <v>2196</v>
      </c>
      <c r="F17" s="3453"/>
      <c r="G17" s="3453"/>
      <c r="H17" s="3453"/>
      <c r="I17" s="3454"/>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55" t="s">
        <v>2200</v>
      </c>
      <c r="F18" s="3456"/>
      <c r="G18" s="3456"/>
      <c r="H18" s="3456"/>
      <c r="I18" s="3457"/>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42" t="s">
        <v>2204</v>
      </c>
      <c r="C20" s="3443"/>
      <c r="D20" s="3444" t="s">
        <v>2205</v>
      </c>
      <c r="E20" s="3445"/>
      <c r="F20" s="2430" t="s">
        <v>1056</v>
      </c>
      <c r="G20" s="2442"/>
      <c r="H20" s="2442"/>
      <c r="I20" s="2442"/>
      <c r="J20" s="2245"/>
      <c r="K20" s="3441"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4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4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30"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30"/>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30"/>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31"/>
      <c r="B30" s="294" t="s">
        <v>2216</v>
      </c>
      <c r="C30" s="3432"/>
      <c r="D30" s="3433"/>
      <c r="E30" s="2442"/>
      <c r="F30" s="2442"/>
      <c r="G30" s="2442"/>
      <c r="H30" s="2442"/>
      <c r="I30" s="2442"/>
      <c r="J30" s="2245"/>
      <c r="K30" s="2402"/>
      <c r="L30" s="2399"/>
      <c r="M30" s="2399"/>
      <c r="N30" s="2245"/>
      <c r="O30" s="1670"/>
      <c r="P30" s="2245"/>
      <c r="Q30" s="2245"/>
      <c r="R30" s="2245"/>
      <c r="S30" s="2245"/>
      <c r="T30" s="2245"/>
      <c r="U30" s="2245"/>
      <c r="V30" s="2245"/>
    </row>
    <row r="31" spans="1:28">
      <c r="A31" s="3434"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3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3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29" t="s">
        <v>2226</v>
      </c>
      <c r="T34" s="315" t="str">
        <f>NUMBERSTRING(7-K34,1)&amp;"通"</f>
        <v>七通</v>
      </c>
      <c r="U34" s="2245"/>
      <c r="V34" s="2245"/>
    </row>
    <row r="35" spans="1:30">
      <c r="A35" s="2236"/>
      <c r="B35" s="3429" t="s">
        <v>2227</v>
      </c>
      <c r="C35" s="3429"/>
      <c r="D35" s="3429"/>
      <c r="E35" s="342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29"/>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447.47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447.47</v>
      </c>
      <c r="H5" s="13">
        <f t="shared" ref="H5:AT5" si="0">SUM(H13:H656)</f>
        <v>447.47</v>
      </c>
      <c r="I5" s="13">
        <f t="shared" si="0"/>
        <v>194.07</v>
      </c>
      <c r="J5" s="13">
        <f t="shared" si="0"/>
        <v>0</v>
      </c>
      <c r="K5" s="13">
        <f t="shared" si="0"/>
        <v>253.4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447.47</v>
      </c>
      <c r="BA5" s="15">
        <f t="shared" si="1"/>
        <v>447.47</v>
      </c>
      <c r="BB5" s="15">
        <f t="shared" si="1"/>
        <v>194.07</v>
      </c>
      <c r="BC5" s="15">
        <f t="shared" si="1"/>
        <v>253.4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47.69</v>
      </c>
      <c r="J6" s="13">
        <f t="shared" si="2"/>
        <v>0</v>
      </c>
      <c r="K6" s="13">
        <f t="shared" si="2"/>
        <v>62.28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47.69</v>
      </c>
      <c r="BC6" s="13">
        <f t="shared" ref="BC6:BH6" si="4">ROUND($AY$6*BC5/$AZ$5,2)</f>
        <v>62.28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5.5">
      <c r="A13" s="628"/>
      <c r="B13" s="628" t="s">
        <v>4005</v>
      </c>
      <c r="C13" s="3197" t="s">
        <v>3472</v>
      </c>
      <c r="D13" s="1513" t="s">
        <v>3469</v>
      </c>
      <c r="E13" s="13">
        <f>IF($C$3="是",ROUND($A$3*G13/$B$3,2),ROUND($A$3*(G13-AT13)/$B$3,2))</f>
        <v>30.3</v>
      </c>
      <c r="F13" s="29"/>
      <c r="G13" s="30">
        <f>H13+AC13+AT13</f>
        <v>123.31</v>
      </c>
      <c r="H13" s="17">
        <f>SUMIF(I$12:AB$12,"总值",I13:AB13)</f>
        <v>123.31</v>
      </c>
      <c r="I13" s="1514">
        <f>房源表!I4</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7、8、10、98、107</v>
      </c>
      <c r="AX13" s="8" t="str">
        <f t="shared" si="6"/>
        <v>1层</v>
      </c>
      <c r="AY13" s="1260">
        <f>ROUND($AY$6*AZ13/$AZ$5,2)</f>
        <v>30.3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17.39</v>
      </c>
      <c r="F14" s="29"/>
      <c r="G14" s="30">
        <f>H14+AC14+AT14</f>
        <v>70.760000000000005</v>
      </c>
      <c r="H14" s="17">
        <f>SUMIF(I$12:AB$12,"总值",I14:AB14)</f>
        <v>70.760000000000005</v>
      </c>
      <c r="I14" s="1514">
        <f>房源表!J4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62.28</v>
      </c>
      <c r="F15" s="29"/>
      <c r="G15" s="30">
        <f>H15+AC15+AT15</f>
        <v>253.4</v>
      </c>
      <c r="H15" s="17">
        <f>SUMIF(I$12:AB$12,"总值",I15:AB15)</f>
        <v>253.4</v>
      </c>
      <c r="I15" s="1514"/>
      <c r="J15" s="1514"/>
      <c r="K15" s="1514">
        <v>253.4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62.28</v>
      </c>
      <c r="AZ15" s="13">
        <f>BA15+BL15</f>
        <v>253.4</v>
      </c>
      <c r="BA15" s="13">
        <f>SUM(BB15:BK15)</f>
        <v>253.4</v>
      </c>
      <c r="BB15" s="13">
        <f>IF($D15="是",I15-J15,0)</f>
        <v>0</v>
      </c>
      <c r="BC15" s="13">
        <f>IF($D15="是",K15-L15,0)</f>
        <v>253.4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7" t="s">
        <v>1131</v>
      </c>
      <c r="B2" s="3467"/>
      <c r="C2" s="3467"/>
      <c r="D2" s="748" t="s">
        <v>1107</v>
      </c>
      <c r="E2" s="1523" t="s">
        <v>1108</v>
      </c>
      <c r="F2" s="2439"/>
      <c r="G2" s="2432"/>
      <c r="H2" s="2433"/>
      <c r="I2" s="2146" t="s">
        <v>1132</v>
      </c>
      <c r="J2" s="2439"/>
      <c r="K2" s="2439"/>
      <c r="L2" s="2439"/>
      <c r="M2" s="2439"/>
      <c r="N2" s="2440"/>
      <c r="O2" s="2439"/>
      <c r="P2" s="2439"/>
    </row>
    <row r="3" spans="1:16" ht="15.75" thickBot="1">
      <c r="A3" s="3468" t="s">
        <v>1105</v>
      </c>
      <c r="B3" s="3468"/>
      <c r="C3" s="3468"/>
      <c r="D3" s="41">
        <f>'数据-基础表'!AY6</f>
        <v>109.97</v>
      </c>
      <c r="E3" s="41">
        <f>'数据-基础表'!AZ5</f>
        <v>447.47</v>
      </c>
      <c r="F3" s="2439"/>
      <c r="G3" s="42"/>
      <c r="H3" s="43" t="s">
        <v>1106</v>
      </c>
      <c r="I3" s="802">
        <f>ROUND('数据-基础表'!B3/'数据-基础表'!A3,2)</f>
        <v>4.07</v>
      </c>
      <c r="J3" s="2439"/>
      <c r="K3" s="2439"/>
      <c r="L3" s="2439"/>
      <c r="M3" s="2439"/>
      <c r="N3" s="2440"/>
      <c r="O3" s="2439"/>
      <c r="P3" s="2439"/>
    </row>
    <row r="4" spans="1:16" ht="15">
      <c r="A4" s="3469"/>
      <c r="B4" s="3470"/>
      <c r="C4" s="3471"/>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72" t="s">
        <v>1110</v>
      </c>
      <c r="C5" s="3472"/>
      <c r="D5" s="43">
        <f>ROUND($D$3*E5/$E$3,2)</f>
        <v>109.97</v>
      </c>
      <c r="E5" s="44">
        <f>SUMIF('数据-基础表'!$11:$11,"住宅",'数据-基础表'!$5:$5)</f>
        <v>447.47</v>
      </c>
      <c r="F5" s="2439"/>
      <c r="G5" s="42"/>
      <c r="H5" s="43" t="s">
        <v>1106</v>
      </c>
      <c r="I5" s="802">
        <f>ROUND(E31/D31,2)</f>
        <v>4.07</v>
      </c>
      <c r="J5" s="2439"/>
      <c r="K5" s="2439"/>
      <c r="L5" s="2439"/>
      <c r="M5" s="2439"/>
      <c r="N5" s="2439"/>
      <c r="O5" s="2439"/>
      <c r="P5" s="2439"/>
    </row>
    <row r="6" spans="1:16" ht="15" thickBot="1">
      <c r="A6" s="1527"/>
      <c r="B6" s="3472" t="s">
        <v>1111</v>
      </c>
      <c r="C6" s="3472"/>
      <c r="D6" s="43">
        <f>ROUND($D$3*E6/$E$3,2)</f>
        <v>0</v>
      </c>
      <c r="E6" s="44">
        <f>E3-E5</f>
        <v>0</v>
      </c>
      <c r="F6" s="2439"/>
      <c r="G6" s="1529" t="s">
        <v>1112</v>
      </c>
      <c r="H6" s="45" t="s">
        <v>1113</v>
      </c>
      <c r="I6" s="2435">
        <f>ROUND(F31/D31,2)</f>
        <v>1.76</v>
      </c>
      <c r="J6" s="2439"/>
      <c r="K6" s="2439"/>
      <c r="L6" s="2439"/>
      <c r="M6" s="2439"/>
      <c r="N6" s="2439"/>
      <c r="O6" s="2439"/>
      <c r="P6" s="2439"/>
    </row>
    <row r="7" spans="1:16" ht="15.75" thickBot="1">
      <c r="A7" s="3464"/>
      <c r="B7" s="3465"/>
      <c r="C7" s="3466"/>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47.69</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47.69</v>
      </c>
      <c r="E16" s="48">
        <f>SUM(E8:E15)</f>
        <v>194.07</v>
      </c>
      <c r="F16" s="2439"/>
      <c r="G16" s="2439"/>
      <c r="H16" s="1531" t="s">
        <v>1135</v>
      </c>
      <c r="I16" s="1532"/>
      <c r="J16" s="1071"/>
      <c r="K16" s="3461" t="s">
        <v>1135</v>
      </c>
      <c r="L16" s="3462"/>
      <c r="M16" s="3462"/>
      <c r="N16" s="3462"/>
      <c r="O16" s="3462"/>
      <c r="P16" s="3463"/>
    </row>
    <row r="17" spans="1:19" ht="15">
      <c r="A17" s="1533" t="s">
        <v>1136</v>
      </c>
      <c r="B17" s="1534" t="s">
        <v>1137</v>
      </c>
      <c r="C17" s="1535" t="s">
        <v>1138</v>
      </c>
      <c r="D17" s="1536" t="s">
        <v>1126</v>
      </c>
      <c r="E17" s="1537" t="s">
        <v>1127</v>
      </c>
      <c r="F17" s="1538"/>
      <c r="G17" s="1539"/>
      <c r="H17" s="1540" t="s">
        <v>1139</v>
      </c>
      <c r="I17" s="1541" t="s">
        <v>1124</v>
      </c>
      <c r="J17" s="1071"/>
      <c r="K17" s="3458" t="s">
        <v>1140</v>
      </c>
      <c r="L17" s="3459"/>
      <c r="M17" s="3460"/>
      <c r="N17" s="3458" t="s">
        <v>1141</v>
      </c>
      <c r="O17" s="3459"/>
      <c r="P17" s="346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47.69</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47.69</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62.28</v>
      </c>
      <c r="E21" s="51">
        <f t="shared" si="1"/>
        <v>253.4</v>
      </c>
      <c r="F21" s="2558"/>
      <c r="G21" s="1243">
        <f>'数据-基础表'!K15</f>
        <v>253.4</v>
      </c>
      <c r="H21" s="637">
        <f t="shared" si="7"/>
        <v>0</v>
      </c>
      <c r="I21" s="46">
        <f t="shared" si="2"/>
        <v>0</v>
      </c>
      <c r="J21" s="1071"/>
      <c r="K21" s="637">
        <f t="shared" si="3"/>
        <v>0</v>
      </c>
      <c r="L21" s="43">
        <f t="shared" si="4"/>
        <v>0</v>
      </c>
      <c r="M21" s="46">
        <f t="shared" si="8"/>
        <v>0</v>
      </c>
      <c r="N21" s="1550"/>
      <c r="O21" s="1551"/>
      <c r="P21" s="46">
        <f t="shared" si="9"/>
        <v>0</v>
      </c>
      <c r="R21" s="43">
        <f t="shared" si="5"/>
        <v>62.28</v>
      </c>
      <c r="S21" s="51">
        <f t="shared" si="5"/>
        <v>253.4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447.47</v>
      </c>
      <c r="F27" s="1072">
        <f>IF(SUM(F19:F26)=E8,SUM(F19:F26),"地上面积有误")</f>
        <v>194.07</v>
      </c>
      <c r="G27" s="1074">
        <f>SUM(G19:G26)</f>
        <v>253.4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447.47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447.47</v>
      </c>
      <c r="F31" s="644">
        <f>F27+F30</f>
        <v>194.07</v>
      </c>
      <c r="G31" s="645">
        <f>G27+G30</f>
        <v>253.4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7" priority="1" stopIfTrue="1" operator="containsText" text="面积有误">
      <formula>NOT(ISERROR(SEARCH("面积有误",E27)))</formula>
    </cfRule>
    <cfRule type="cellIs" dxfId="146" priority="3" stopIfTrue="1" operator="equal">
      <formula>"地下面积有误"</formula>
    </cfRule>
  </conditionalFormatting>
  <conditionalFormatting sqref="F27">
    <cfRule type="cellIs" dxfId="14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G15"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47.69</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253.4</v>
      </c>
      <c r="L8" s="692">
        <v>2900</v>
      </c>
      <c r="M8" s="64">
        <f>ROUND(K8*L8/10000,0)</f>
        <v>73</v>
      </c>
      <c r="N8" s="690">
        <v>1</v>
      </c>
      <c r="O8" s="64" t="str">
        <f t="shared" si="3"/>
        <v>——</v>
      </c>
      <c r="P8" s="65" t="str">
        <f t="shared" si="4"/>
        <v>——</v>
      </c>
      <c r="Q8" s="3386">
        <v>0.18</v>
      </c>
      <c r="R8" s="66">
        <f ca="1">SUMIF('数据-汇总表'!C$19:C$33,A8,'数据-汇总表'!R$19:R$27)</f>
        <v>62.28</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734860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447.47</v>
      </c>
      <c r="L16" s="87">
        <f>ROUND(M16*10000/SUM(K6:K14),0)</f>
        <v>2883</v>
      </c>
      <c r="M16" s="87">
        <f>SUM(M6:M14)</f>
        <v>129</v>
      </c>
      <c r="N16" s="88">
        <f>ROUND(SUMPRODUCT(M6:M14,N6:N14)/M16,3)</f>
        <v>1</v>
      </c>
      <c r="O16" s="87">
        <f>SUM(O6:O14)</f>
        <v>0</v>
      </c>
      <c r="P16" s="87">
        <f>SUM(P6:P14)</f>
        <v>0</v>
      </c>
      <c r="Q16" s="89">
        <f>ROUND(SUMPRODUCT(Q6:Q13,K6:K13)/SUMPRODUCT((Q6:Q13&gt;0)*(K6:K13)),2)</f>
        <v>0.23</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3385">
        <v>2.8000000000000001E-2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73" t="s">
        <v>2284</v>
      </c>
      <c r="B1" s="3474"/>
      <c r="C1" s="3474"/>
      <c r="D1" s="3474"/>
      <c r="E1" s="3474"/>
      <c r="F1" s="3474"/>
      <c r="G1" s="347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44" sqref="I43:I4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447.47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1470.7482</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Sheet1!M2</f>
        <v>447.47</v>
      </c>
      <c r="C14" s="2306"/>
      <c r="D14" s="2306">
        <f>Sheet1!O2</f>
        <v>1470.7482</v>
      </c>
      <c r="E14" s="2306">
        <f>ROUND(D14*10000/B14,0)</f>
        <v>32868</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09" t="str">
        <f>项目基本情况!S2</f>
        <v>房地产</v>
      </c>
      <c r="B2" s="3510"/>
      <c r="C2" s="3510"/>
      <c r="D2" s="3510"/>
      <c r="E2" s="3510"/>
      <c r="F2" s="3510"/>
      <c r="G2" s="3510"/>
      <c r="H2" s="3510"/>
      <c r="I2" s="3511"/>
    </row>
    <row r="3" spans="1:12" ht="12.75">
      <c r="A3" s="3513" t="s">
        <v>1262</v>
      </c>
      <c r="B3" s="3514"/>
      <c r="C3" s="3514"/>
      <c r="D3" s="3514"/>
      <c r="E3" s="3514"/>
      <c r="F3" s="3514"/>
      <c r="G3" s="3514"/>
      <c r="H3" s="3514"/>
      <c r="I3" s="3514"/>
    </row>
    <row r="4" spans="1:12" ht="14.25">
      <c r="A4" s="1624" t="s">
        <v>1263</v>
      </c>
      <c r="B4" s="1625" t="s">
        <v>1264</v>
      </c>
      <c r="C4" s="1626"/>
      <c r="D4" s="1626"/>
      <c r="E4" s="3515" t="s">
        <v>1265</v>
      </c>
      <c r="F4" s="3516"/>
      <c r="G4" s="3516"/>
      <c r="H4" s="3516"/>
      <c r="I4" s="3517"/>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9" t="s">
        <v>1266</v>
      </c>
      <c r="B5" s="3476">
        <v>25</v>
      </c>
      <c r="C5" s="3492"/>
      <c r="D5" s="3512"/>
      <c r="E5" s="123" t="s">
        <v>1267</v>
      </c>
      <c r="F5" s="1627"/>
      <c r="G5" s="1627"/>
      <c r="H5" s="1627"/>
      <c r="I5" s="1281"/>
    </row>
    <row r="6" spans="1:12" ht="12.75">
      <c r="A6" s="3489"/>
      <c r="B6" s="3476"/>
      <c r="C6" s="3493"/>
      <c r="D6" s="3512"/>
      <c r="E6" s="123" t="s">
        <v>1268</v>
      </c>
      <c r="F6" s="1627"/>
      <c r="G6" s="1627"/>
      <c r="H6" s="1627"/>
      <c r="I6" s="1281"/>
    </row>
    <row r="7" spans="1:12" ht="12.75">
      <c r="A7" s="3489"/>
      <c r="B7" s="3476"/>
      <c r="C7" s="3494"/>
      <c r="D7" s="3512"/>
      <c r="E7" s="123" t="s">
        <v>1269</v>
      </c>
      <c r="F7" s="1627"/>
      <c r="G7" s="1627"/>
      <c r="H7" s="1627"/>
      <c r="I7" s="1281"/>
    </row>
    <row r="8" spans="1:12" ht="12.75">
      <c r="A8" s="3489" t="s">
        <v>1270</v>
      </c>
      <c r="B8" s="3476">
        <v>15</v>
      </c>
      <c r="C8" s="3492"/>
      <c r="D8" s="3512"/>
      <c r="E8" s="123" t="s">
        <v>1271</v>
      </c>
      <c r="F8" s="1627"/>
      <c r="G8" s="1627"/>
      <c r="H8" s="1627"/>
      <c r="I8" s="1281"/>
    </row>
    <row r="9" spans="1:12" ht="12.75">
      <c r="A9" s="3489"/>
      <c r="B9" s="3476"/>
      <c r="C9" s="3494"/>
      <c r="D9" s="3512"/>
      <c r="E9" s="123" t="s">
        <v>1272</v>
      </c>
      <c r="F9" s="1627"/>
      <c r="G9" s="1627"/>
      <c r="H9" s="1627"/>
      <c r="I9" s="1281"/>
    </row>
    <row r="10" spans="1:12" ht="12.75">
      <c r="A10" s="3489" t="s">
        <v>1273</v>
      </c>
      <c r="B10" s="3476">
        <v>15</v>
      </c>
      <c r="C10" s="3492"/>
      <c r="D10" s="3512"/>
      <c r="E10" s="123" t="s">
        <v>1274</v>
      </c>
      <c r="F10" s="1627"/>
      <c r="G10" s="1627"/>
      <c r="H10" s="1627"/>
      <c r="I10" s="1281"/>
    </row>
    <row r="11" spans="1:12" ht="12.75">
      <c r="A11" s="3489"/>
      <c r="B11" s="3476"/>
      <c r="C11" s="3494"/>
      <c r="D11" s="3512"/>
      <c r="E11" s="123" t="s">
        <v>1275</v>
      </c>
      <c r="F11" s="1627"/>
      <c r="G11" s="1627"/>
      <c r="H11" s="1627"/>
      <c r="I11" s="1281"/>
    </row>
    <row r="12" spans="1:12" ht="12.75">
      <c r="A12" s="3489" t="s">
        <v>1276</v>
      </c>
      <c r="B12" s="3476">
        <v>15</v>
      </c>
      <c r="C12" s="3492"/>
      <c r="D12" s="3512"/>
      <c r="E12" s="123" t="s">
        <v>1277</v>
      </c>
      <c r="F12" s="1627"/>
      <c r="G12" s="1627"/>
      <c r="H12" s="1627"/>
      <c r="I12" s="1281"/>
    </row>
    <row r="13" spans="1:12" ht="12.75">
      <c r="A13" s="3489"/>
      <c r="B13" s="3476"/>
      <c r="C13" s="3494"/>
      <c r="D13" s="3512"/>
      <c r="E13" s="123" t="s">
        <v>1278</v>
      </c>
      <c r="F13" s="1627"/>
      <c r="G13" s="1627"/>
      <c r="H13" s="1627"/>
      <c r="I13" s="1281"/>
    </row>
    <row r="14" spans="1:12" ht="12.75">
      <c r="A14" s="3489" t="s">
        <v>1279</v>
      </c>
      <c r="B14" s="3476">
        <v>30</v>
      </c>
      <c r="C14" s="3492"/>
      <c r="D14" s="3512"/>
      <c r="E14" s="123" t="s">
        <v>1280</v>
      </c>
      <c r="F14" s="1627"/>
      <c r="G14" s="1627"/>
      <c r="H14" s="1627"/>
      <c r="I14" s="1281"/>
    </row>
    <row r="15" spans="1:12" ht="12.75">
      <c r="A15" s="3489"/>
      <c r="B15" s="3476"/>
      <c r="C15" s="3493"/>
      <c r="D15" s="3512"/>
      <c r="E15" s="123" t="s">
        <v>1281</v>
      </c>
      <c r="F15" s="1627"/>
      <c r="G15" s="1627"/>
      <c r="H15" s="1627"/>
      <c r="I15" s="1281"/>
    </row>
    <row r="16" spans="1:12" ht="12.75">
      <c r="A16" s="3489"/>
      <c r="B16" s="3476"/>
      <c r="C16" s="3494"/>
      <c r="D16" s="3512"/>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499" t="s">
        <v>2129</v>
      </c>
      <c r="F18" s="3500"/>
      <c r="G18" s="3500"/>
      <c r="H18" s="3500"/>
      <c r="I18" s="3500"/>
      <c r="K18" s="294" t="s">
        <v>1287</v>
      </c>
      <c r="L18" s="294">
        <f>IF(C1="",'数据-汇总表'!E3,SUMIF(项目类型,C1,'数据-汇总表'!E17:E26)+SUMIF(项目类型,C1,'数据-汇总表'!I17:I26))</f>
        <v>447.47</v>
      </c>
      <c r="M18" s="294">
        <f>IF(C1="",'数据-汇总表'!E3,SUMIF(项目类型,C1,'数据-汇总表'!E17:E26))</f>
        <v>447.47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83" t="s">
        <v>1297</v>
      </c>
      <c r="B24" s="1631" t="s">
        <v>1289</v>
      </c>
      <c r="C24" s="128">
        <f>IF(B30=0,0,D30)</f>
        <v>0</v>
      </c>
      <c r="D24" s="1637"/>
      <c r="E24" s="121"/>
      <c r="F24" s="121"/>
      <c r="G24" s="121"/>
      <c r="H24" s="121"/>
      <c r="I24" s="121"/>
    </row>
    <row r="25" spans="1:36" ht="14.25">
      <c r="A25" s="3484"/>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503" t="s">
        <v>1310</v>
      </c>
      <c r="B36" s="1652" t="s">
        <v>1311</v>
      </c>
      <c r="C36" s="137"/>
      <c r="D36" s="1653"/>
      <c r="E36" s="1567"/>
      <c r="F36" s="1654"/>
      <c r="G36" s="121"/>
      <c r="H36" s="121"/>
      <c r="I36" s="121"/>
    </row>
    <row r="37" spans="1:15" ht="15.75" thickBot="1">
      <c r="A37" s="3504"/>
      <c r="B37" s="1555" t="s">
        <v>1312</v>
      </c>
      <c r="C37" s="139"/>
      <c r="D37" s="1071"/>
      <c r="E37" s="1071"/>
      <c r="F37" s="1654"/>
      <c r="G37" s="121"/>
      <c r="H37" s="121"/>
      <c r="I37" s="121"/>
    </row>
    <row r="38" spans="1:15" ht="15.75" thickBot="1">
      <c r="A38" s="3505"/>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80" t="s">
        <v>1324</v>
      </c>
      <c r="B45" s="3481"/>
      <c r="C45" s="3482"/>
      <c r="D45" s="147" t="e">
        <f ca="1">ROUND(H101*F45,0)</f>
        <v>#REF!</v>
      </c>
      <c r="E45" s="148" t="s">
        <v>1325</v>
      </c>
      <c r="F45" s="149">
        <v>1</v>
      </c>
      <c r="G45" s="150" t="s">
        <v>1326</v>
      </c>
      <c r="H45" s="121"/>
      <c r="I45" s="121"/>
      <c r="J45" s="3558" t="s">
        <v>1327</v>
      </c>
      <c r="K45" s="3558"/>
      <c r="L45" s="3558"/>
      <c r="M45" s="3558"/>
      <c r="N45" s="3558"/>
      <c r="O45" s="3558"/>
    </row>
    <row r="46" spans="1:15" ht="14.25" customHeight="1">
      <c r="A46" s="3477" t="s">
        <v>1328</v>
      </c>
      <c r="B46" s="3478"/>
      <c r="C46" s="3478"/>
      <c r="D46" s="3478"/>
      <c r="E46" s="3478"/>
      <c r="F46" s="3478"/>
      <c r="G46" s="3479"/>
      <c r="H46" s="1668"/>
      <c r="I46" s="151"/>
      <c r="J46" s="2310">
        <v>1</v>
      </c>
      <c r="K46" s="3539" t="s">
        <v>1329</v>
      </c>
      <c r="L46" s="3539"/>
      <c r="M46" s="3559"/>
      <c r="N46" s="3559"/>
      <c r="O46" s="3559"/>
    </row>
    <row r="47" spans="1:15" ht="12" customHeight="1">
      <c r="A47" s="152" t="s">
        <v>1330</v>
      </c>
      <c r="B47" s="153"/>
      <c r="C47" s="154"/>
      <c r="D47" s="1024" t="s">
        <v>1331</v>
      </c>
      <c r="E47" s="294" t="s">
        <v>1332</v>
      </c>
      <c r="F47" s="155" t="s">
        <v>1333</v>
      </c>
      <c r="G47" s="2333" t="s">
        <v>1334</v>
      </c>
      <c r="H47" s="2334"/>
      <c r="I47" s="151"/>
      <c r="J47" s="2310">
        <v>2</v>
      </c>
      <c r="K47" s="3539" t="s">
        <v>1335</v>
      </c>
      <c r="L47" s="3539"/>
      <c r="M47" s="3560">
        <f>'数据-取费表'!B2</f>
        <v>45839</v>
      </c>
      <c r="N47" s="3560"/>
      <c r="O47" s="3560"/>
    </row>
    <row r="48" spans="1:15" ht="25.5">
      <c r="A48" s="3508" t="s">
        <v>1336</v>
      </c>
      <c r="B48" s="3491"/>
      <c r="C48" s="3491"/>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539" t="s">
        <v>1338</v>
      </c>
      <c r="L48" s="3539"/>
      <c r="M48" s="3561" t="e">
        <f ca="1">H101</f>
        <v>#REF!</v>
      </c>
      <c r="N48" s="3561"/>
      <c r="O48" s="3561"/>
    </row>
    <row r="49" spans="1:35" ht="25.5" customHeight="1">
      <c r="A49" s="2152" t="s">
        <v>1339</v>
      </c>
      <c r="B49" s="3475" t="s">
        <v>1340</v>
      </c>
      <c r="C49" s="3475"/>
      <c r="D49" s="1478">
        <v>0</v>
      </c>
      <c r="E49" s="316" t="s">
        <v>1341</v>
      </c>
      <c r="F49" s="2233" t="s">
        <v>28</v>
      </c>
      <c r="G49" s="3545"/>
      <c r="H49" s="2134" t="s">
        <v>2132</v>
      </c>
      <c r="I49" s="2135"/>
      <c r="J49" s="2310">
        <v>4</v>
      </c>
      <c r="K49" s="3539" t="str">
        <f>IF(项目基本情况!E8="房地产抵押价值","房地产抵押价值","抵押担保权已注销时的房地产抵押价值")</f>
        <v>抵押担保权已注销时的房地产抵押价值</v>
      </c>
      <c r="L49" s="3539"/>
      <c r="M49" s="3561" t="str">
        <f>IF(项目基本情况!E8="房地产抵押价值",H107,H109)</f>
        <v>——</v>
      </c>
      <c r="N49" s="3561"/>
      <c r="O49" s="3561"/>
    </row>
    <row r="50" spans="1:35" ht="25.5" customHeight="1">
      <c r="A50" s="2338"/>
      <c r="B50" s="3475" t="s">
        <v>1342</v>
      </c>
      <c r="C50" s="3475"/>
      <c r="D50" s="2189"/>
      <c r="E50" s="323"/>
      <c r="F50" s="2233"/>
      <c r="G50" s="3546"/>
      <c r="H50" s="2136" t="s">
        <v>2133</v>
      </c>
      <c r="I50" s="2135"/>
      <c r="J50" s="3558" t="s">
        <v>1343</v>
      </c>
      <c r="K50" s="3558"/>
      <c r="L50" s="3558"/>
      <c r="M50" s="3558"/>
      <c r="N50" s="3558"/>
      <c r="O50" s="3558"/>
    </row>
    <row r="51" spans="1:35" ht="20.45" customHeight="1">
      <c r="A51" s="2339"/>
      <c r="B51" s="3475" t="s">
        <v>1344</v>
      </c>
      <c r="C51" s="3475"/>
      <c r="D51" s="1024"/>
      <c r="E51" s="319"/>
      <c r="F51" s="2233"/>
      <c r="G51" s="3547"/>
      <c r="H51" s="2136" t="s">
        <v>2134</v>
      </c>
      <c r="I51" s="2135"/>
      <c r="J51" s="2311" t="s">
        <v>1345</v>
      </c>
      <c r="K51" s="3539" t="s">
        <v>1346</v>
      </c>
      <c r="L51" s="3539"/>
      <c r="M51" s="2311" t="s">
        <v>1347</v>
      </c>
      <c r="N51" s="2311" t="s">
        <v>1348</v>
      </c>
      <c r="O51" s="2311" t="s">
        <v>1349</v>
      </c>
    </row>
    <row r="52" spans="1:35" ht="24" customHeight="1">
      <c r="A52" s="2153" t="s">
        <v>1350</v>
      </c>
      <c r="B52" s="3475" t="s">
        <v>1351</v>
      </c>
      <c r="C52" s="3475"/>
      <c r="D52" s="1024" t="e">
        <f ca="1">ROUND(D45*'数据-取费表'!B41/(1+'数据-取费表'!C42),0)</f>
        <v>#REF!</v>
      </c>
      <c r="E52" s="1256" t="s">
        <v>1352</v>
      </c>
      <c r="F52" s="2340">
        <f>'数据-取费表'!B41</f>
        <v>5.6000000000000001E-2</v>
      </c>
      <c r="G52" s="2341"/>
      <c r="H52" s="2331"/>
      <c r="I52" s="1669"/>
      <c r="J52" s="2310">
        <v>1</v>
      </c>
      <c r="K52" s="3540" t="s">
        <v>1353</v>
      </c>
      <c r="L52" s="3540"/>
      <c r="M52" s="2312" t="b">
        <f>D48</f>
        <v>0</v>
      </c>
      <c r="N52" s="2310" t="str">
        <f>E48</f>
        <v>销售额×税（费）率</v>
      </c>
      <c r="O52" s="2313">
        <f>F48</f>
        <v>5.6000000000000001E-2</v>
      </c>
    </row>
    <row r="53" spans="1:35" ht="12" customHeight="1">
      <c r="A53" s="2153" t="s">
        <v>1354</v>
      </c>
      <c r="B53" s="3501" t="s">
        <v>2289</v>
      </c>
      <c r="C53" s="3502"/>
      <c r="D53" s="1024" t="e">
        <f ca="1">ROUND(D45*'数据-取费表'!B41/(1+'数据-取费表'!C42),0)</f>
        <v>#REF!</v>
      </c>
      <c r="E53" s="1256" t="s">
        <v>1352</v>
      </c>
      <c r="F53" s="2340">
        <f>'数据-取费表'!B41</f>
        <v>5.6000000000000001E-2</v>
      </c>
      <c r="G53" s="2341"/>
      <c r="H53" s="2331"/>
      <c r="I53" s="1669"/>
      <c r="J53" s="2310">
        <v>2</v>
      </c>
      <c r="K53" s="3540" t="s">
        <v>1355</v>
      </c>
      <c r="L53" s="3540"/>
      <c r="M53" s="2312" t="e">
        <f t="shared" ref="M53:O54" ca="1" si="0">D55</f>
        <v>#REF!</v>
      </c>
      <c r="N53" s="2310" t="str">
        <f t="shared" si="0"/>
        <v>销售额×税（费）率</v>
      </c>
      <c r="O53" s="2313" t="str">
        <f t="shared" si="0"/>
        <v>免征</v>
      </c>
    </row>
    <row r="54" spans="1:35" ht="12" customHeight="1">
      <c r="A54" s="2153" t="s">
        <v>1356</v>
      </c>
      <c r="B54" s="3501" t="s">
        <v>2290</v>
      </c>
      <c r="C54" s="3502"/>
      <c r="D54" s="1024" t="e">
        <f ca="1">C68</f>
        <v>#REF!</v>
      </c>
      <c r="E54" s="319" t="s">
        <v>1357</v>
      </c>
      <c r="F54" s="2340">
        <f>'数据-取费表'!B41</f>
        <v>5.6000000000000001E-2</v>
      </c>
      <c r="G54" s="2341"/>
      <c r="H54" s="2342"/>
      <c r="I54" s="1669"/>
      <c r="J54" s="2310">
        <v>3</v>
      </c>
      <c r="K54" s="3540" t="s">
        <v>1358</v>
      </c>
      <c r="L54" s="3540"/>
      <c r="M54" s="2312" t="e">
        <f t="shared" ca="1" si="0"/>
        <v>#REF!</v>
      </c>
      <c r="N54" s="2310" t="str">
        <f t="shared" si="0"/>
        <v>增值额×税（费）率</v>
      </c>
      <c r="O54" s="2314" t="str">
        <f t="shared" si="0"/>
        <v>免征</v>
      </c>
    </row>
    <row r="55" spans="1:35" ht="24" customHeight="1">
      <c r="A55" s="3490" t="s">
        <v>1359</v>
      </c>
      <c r="B55" s="3491"/>
      <c r="C55" s="3491"/>
      <c r="D55" s="12" t="e">
        <f ca="1">IF(H55="个人住宅",0,ROUND(D45*I55,0))</f>
        <v>#REF!</v>
      </c>
      <c r="E55" s="1256" t="s">
        <v>1360</v>
      </c>
      <c r="F55" s="2340" t="str">
        <f>IF(H55="正常",I55,"免征")</f>
        <v>免征</v>
      </c>
      <c r="G55" s="2341"/>
      <c r="H55" s="2337"/>
      <c r="I55" s="157">
        <f>'数据-取费表'!B49</f>
        <v>5.0000000000000001E-4</v>
      </c>
      <c r="J55" s="2310">
        <f>IF(H59="非个人房产","",4)</f>
        <v>4</v>
      </c>
      <c r="K55" s="3540" t="str">
        <f>IF(H59="非个人房产","——","个人所得税")</f>
        <v>个人所得税</v>
      </c>
      <c r="L55" s="3540"/>
      <c r="M55" s="2315" t="e">
        <f ca="1">D59</f>
        <v>#REF!</v>
      </c>
      <c r="N55" s="1883" t="str">
        <f>E59</f>
        <v>差额计税</v>
      </c>
      <c r="O55" s="2316">
        <f>F59</f>
        <v>0.01</v>
      </c>
    </row>
    <row r="56" spans="1:35" ht="24.75">
      <c r="A56" s="3490" t="s">
        <v>1361</v>
      </c>
      <c r="B56" s="3491"/>
      <c r="C56" s="3491"/>
      <c r="D56" s="12" t="e">
        <f ca="1">IF(H56="个人住宅",D57,D58)</f>
        <v>#REF!</v>
      </c>
      <c r="E56" s="1256" t="s">
        <v>1362</v>
      </c>
      <c r="F56" s="2340" t="str">
        <f>IF(H56="正常",F58,"免征")</f>
        <v>免征</v>
      </c>
      <c r="G56" s="2343" t="s">
        <v>1363</v>
      </c>
      <c r="H56" s="2344"/>
      <c r="I56" s="1670"/>
      <c r="J56" s="2310" t="str">
        <f>IF(项目基本情况!K6="上海银行",IF(J55="",4,J55+1),"")</f>
        <v/>
      </c>
      <c r="K56" s="3563" t="str">
        <f>IF(项目基本情况!K6="上海银行","其他处置费用","")</f>
        <v/>
      </c>
      <c r="L56" s="3564"/>
      <c r="M56" s="2312" t="str">
        <f>IF(项目基本情况!K6="上海银行",M69,"")</f>
        <v/>
      </c>
      <c r="N56" s="3563" t="str">
        <f>IF(项目基本情况!K6="上海银行","包含处置中涉及的律师、诉讼、拍卖、评估等费用","")</f>
        <v/>
      </c>
      <c r="O56" s="3566"/>
    </row>
    <row r="57" spans="1:35" ht="12.75">
      <c r="A57" s="2153" t="s">
        <v>1339</v>
      </c>
      <c r="B57" s="3501" t="s">
        <v>1364</v>
      </c>
      <c r="C57" s="3502"/>
      <c r="D57" s="1478">
        <v>0</v>
      </c>
      <c r="E57" s="316" t="s">
        <v>1341</v>
      </c>
      <c r="F57" s="294"/>
      <c r="G57" s="2341"/>
      <c r="H57" s="2345"/>
      <c r="I57" s="1670"/>
      <c r="J57" s="3540">
        <f>IF(AND(J55="",J56=""),4,IF(项目基本情况!K6="上海银行",结果表!J56+1,结果表!J55+1))</f>
        <v>5</v>
      </c>
      <c r="K57" s="3540" t="s">
        <v>1365</v>
      </c>
      <c r="L57" s="2317" t="s">
        <v>1366</v>
      </c>
      <c r="M57" s="2318"/>
      <c r="N57" s="2319">
        <f ca="1">SUMIF(M52:M56,"&lt;9e307")</f>
        <v>0</v>
      </c>
      <c r="O57" s="2320"/>
      <c r="P57" s="2465" t="e">
        <f ca="1">N57/M49</f>
        <v>#VALUE!</v>
      </c>
    </row>
    <row r="58" spans="1:35" ht="24.75">
      <c r="A58" s="2153" t="s">
        <v>1350</v>
      </c>
      <c r="B58" s="3501" t="s">
        <v>1367</v>
      </c>
      <c r="C58" s="3475"/>
      <c r="D58" s="12" t="e">
        <f ca="1">IF(H58="转让取得",C81,C97)</f>
        <v>#REF!</v>
      </c>
      <c r="E58" s="1256" t="s">
        <v>1362</v>
      </c>
      <c r="F58" s="294" t="s">
        <v>28</v>
      </c>
      <c r="G58" s="2341"/>
      <c r="H58" s="2344"/>
      <c r="I58" s="1670"/>
      <c r="J58" s="3540"/>
      <c r="K58" s="3540"/>
      <c r="L58" s="2317" t="s">
        <v>1368</v>
      </c>
      <c r="M58" s="2321"/>
      <c r="N58" s="2322" t="str">
        <f ca="1">NUMBERSTRING(INT(N57*10000),2)&amp;"元整"</f>
        <v>零元整</v>
      </c>
      <c r="O58" s="2323"/>
    </row>
    <row r="59" spans="1:35" ht="24.75" thickBot="1">
      <c r="A59" s="3543" t="s">
        <v>1369</v>
      </c>
      <c r="B59" s="3544"/>
      <c r="C59" s="3544"/>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41">
        <f>J57+1</f>
        <v>6</v>
      </c>
      <c r="K59" s="3540" t="s">
        <v>1370</v>
      </c>
      <c r="L59" s="2310" t="s">
        <v>1366</v>
      </c>
      <c r="M59" s="2324"/>
      <c r="N59" s="2325" t="e">
        <f ca="1">M49-N57</f>
        <v>#VALUE!</v>
      </c>
      <c r="O59" s="2326"/>
    </row>
    <row r="60" spans="1:35" ht="12" customHeight="1">
      <c r="A60" s="1671"/>
      <c r="B60" s="646"/>
      <c r="C60" s="646"/>
      <c r="D60" s="646"/>
      <c r="E60" s="1466"/>
      <c r="F60" s="1670"/>
      <c r="G60" s="1670"/>
      <c r="H60" s="151"/>
      <c r="I60" s="121"/>
      <c r="J60" s="3542"/>
      <c r="K60" s="3540"/>
      <c r="L60" s="2317" t="s">
        <v>1368</v>
      </c>
      <c r="M60" s="2321"/>
      <c r="N60" s="2322" t="e">
        <f ca="1">NUMBERSTRING(INT(N59*10000),2)&amp;"元整"</f>
        <v>#VALUE!</v>
      </c>
      <c r="O60" s="2323"/>
    </row>
    <row r="61" spans="1:35" ht="13.5" thickBot="1">
      <c r="A61" s="3488" t="s">
        <v>1371</v>
      </c>
      <c r="B61" s="3488"/>
      <c r="C61" s="3488"/>
      <c r="D61" s="3488"/>
      <c r="E61" s="3488"/>
      <c r="F61" s="1670"/>
      <c r="G61" s="1670"/>
      <c r="H61" s="151"/>
      <c r="I61" s="121"/>
      <c r="J61" s="2310">
        <f>J59+1</f>
        <v>7</v>
      </c>
      <c r="K61" s="3540" t="s">
        <v>1372</v>
      </c>
      <c r="L61" s="3540"/>
      <c r="M61" s="2327"/>
      <c r="N61" s="2328" t="e">
        <f ca="1">ROUND(N59*10000/'数据-汇总表'!E3,0)</f>
        <v>#VALUE!</v>
      </c>
      <c r="O61" s="2329"/>
    </row>
    <row r="62" spans="1:35" ht="12.75">
      <c r="A62" s="3506" t="s">
        <v>1373</v>
      </c>
      <c r="B62" s="3507"/>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565"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565"/>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565"/>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565"/>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565"/>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565"/>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565"/>
      <c r="K69" s="1245" t="s">
        <v>1391</v>
      </c>
      <c r="L69" s="1245"/>
      <c r="M69" s="294" t="e">
        <f>ROUND(SUM(M63:M68),0)</f>
        <v>#VALUE!</v>
      </c>
      <c r="N69" s="2332" t="e">
        <f>M69/M49</f>
        <v>#VALUE!</v>
      </c>
      <c r="Z69" s="1623"/>
      <c r="AI69" s="1561"/>
    </row>
    <row r="70" spans="1:35" s="642" customFormat="1" ht="15" thickBot="1">
      <c r="A70" s="3527" t="s">
        <v>1392</v>
      </c>
      <c r="B70" s="3528"/>
      <c r="C70" s="3528"/>
      <c r="D70" s="3528"/>
      <c r="E70" s="3528"/>
      <c r="F70" s="3528"/>
      <c r="G70" s="3528"/>
      <c r="H70" s="352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06" t="s">
        <v>1373</v>
      </c>
      <c r="B71" s="3507"/>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501" t="s">
        <v>1400</v>
      </c>
      <c r="F76" s="3475"/>
      <c r="G76" s="3475"/>
      <c r="H76" s="352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485" t="s">
        <v>1404</v>
      </c>
      <c r="F78" s="3486"/>
      <c r="G78" s="3486"/>
      <c r="H78" s="349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7" t="s">
        <v>1408</v>
      </c>
      <c r="B83" s="3528"/>
      <c r="C83" s="3528"/>
      <c r="D83" s="3528"/>
      <c r="E83" s="3528"/>
      <c r="F83" s="3528"/>
      <c r="G83" s="3528"/>
      <c r="H83" s="352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06" t="s">
        <v>1373</v>
      </c>
      <c r="B84" s="3507"/>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567" t="s">
        <v>2127</v>
      </c>
      <c r="H90" s="3568"/>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485" t="s">
        <v>1417</v>
      </c>
      <c r="F91" s="3486"/>
      <c r="G91" s="348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485" t="s">
        <v>1420</v>
      </c>
      <c r="F92" s="3486"/>
      <c r="G92" s="3486"/>
      <c r="H92" s="3495"/>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485" t="s">
        <v>1404</v>
      </c>
      <c r="F93" s="3486"/>
      <c r="G93" s="3486"/>
      <c r="H93" s="349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96" t="s">
        <v>1424</v>
      </c>
      <c r="F94" s="3497"/>
      <c r="G94" s="3497"/>
      <c r="H94" s="349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9" t="s">
        <v>1426</v>
      </c>
      <c r="B100" s="3470"/>
      <c r="C100" s="3470"/>
      <c r="D100" s="3487"/>
      <c r="E100" s="3470" t="s">
        <v>1427</v>
      </c>
      <c r="F100" s="3470"/>
      <c r="G100" s="3470"/>
      <c r="H100" s="3487"/>
      <c r="I100" s="121"/>
    </row>
    <row r="101" spans="1:35" ht="18.75" customHeight="1">
      <c r="A101" s="3548" t="s">
        <v>1428</v>
      </c>
      <c r="B101" s="3549"/>
      <c r="C101" s="2371">
        <f>C4</f>
        <v>0</v>
      </c>
      <c r="D101" s="2372">
        <f>D4</f>
        <v>0</v>
      </c>
      <c r="E101" s="3562" t="s">
        <v>1429</v>
      </c>
      <c r="F101" s="3519"/>
      <c r="G101" s="1687" t="s">
        <v>1430</v>
      </c>
      <c r="H101" s="2381" t="e">
        <f ca="1">H118</f>
        <v>#REF!</v>
      </c>
      <c r="I101" s="121"/>
    </row>
    <row r="102" spans="1:35" ht="18.75" customHeight="1">
      <c r="A102" s="3521" t="s">
        <v>1431</v>
      </c>
      <c r="B102" s="2370" t="s">
        <v>1430</v>
      </c>
      <c r="C102" s="2371" t="e">
        <f ca="1">IF(D32="楼面单价",ROUND(C19,0),C19)</f>
        <v>#REF!</v>
      </c>
      <c r="D102" s="2372" t="e">
        <f ca="1">IF(D32="楼面单价",ROUND(D19,0),D19)</f>
        <v>#REF!</v>
      </c>
      <c r="E102" s="3562"/>
      <c r="F102" s="3519"/>
      <c r="G102" s="1687" t="s">
        <v>1432</v>
      </c>
      <c r="H102" s="2341" t="e">
        <f ca="1">I118</f>
        <v>#REF!</v>
      </c>
      <c r="I102" s="121"/>
    </row>
    <row r="103" spans="1:35" ht="42.75" customHeight="1">
      <c r="A103" s="3521"/>
      <c r="B103" s="2370" t="s">
        <v>1432</v>
      </c>
      <c r="C103" s="2373" t="e">
        <f ca="1">C20</f>
        <v>#REF!</v>
      </c>
      <c r="D103" s="2374" t="e">
        <f ca="1">D20</f>
        <v>#REF!</v>
      </c>
      <c r="E103" s="3556" t="s">
        <v>1433</v>
      </c>
      <c r="F103" s="3557"/>
      <c r="G103" s="1688" t="s">
        <v>1434</v>
      </c>
      <c r="H103" s="2381">
        <f>IF(D36="正常操作",H104+H105+H106,H105+H106)</f>
        <v>0</v>
      </c>
      <c r="I103" s="121"/>
    </row>
    <row r="104" spans="1:35" ht="18.75" customHeight="1">
      <c r="A104" s="3521"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22"/>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8" t="str">
        <f>IF(项目基本情况!E8="已注销","——","3.房地产抵押价值")</f>
        <v>3.房地产抵押价值</v>
      </c>
      <c r="F107" s="3519"/>
      <c r="G107" s="1687" t="s">
        <v>1430</v>
      </c>
      <c r="H107" s="2381" t="e">
        <f ca="1">IF(E107="——","——",H101-H103)</f>
        <v>#REF!</v>
      </c>
      <c r="I107" s="121"/>
    </row>
    <row r="108" spans="1:35" ht="18.75" customHeight="1">
      <c r="A108" s="121"/>
      <c r="B108" s="121"/>
      <c r="C108" s="121"/>
      <c r="D108" s="121"/>
      <c r="E108" s="3518"/>
      <c r="F108" s="3519"/>
      <c r="G108" s="1687" t="s">
        <v>1432</v>
      </c>
      <c r="H108" s="2341">
        <f ca="1">IF(H107=H101,H102,ROUND(H107*10000/'数据-汇总表'!E3,0))</f>
        <v>0</v>
      </c>
      <c r="I108" s="121"/>
    </row>
    <row r="109" spans="1:35" ht="18.75" customHeight="1">
      <c r="A109" s="121"/>
      <c r="B109" s="121"/>
      <c r="C109" s="121"/>
      <c r="D109" s="121"/>
      <c r="E109" s="3518" t="str">
        <f>IF(项目基本情况!E8="已注销及未注销","4.抵押担保权已注销时的房地产抵押价值",IF(项目基本情况!E8="已注销","3.抵押担保权已注销时的房地产抵押价值","——"))</f>
        <v>——</v>
      </c>
      <c r="F109" s="3519"/>
      <c r="G109" s="1687" t="s">
        <v>1430</v>
      </c>
      <c r="H109" s="2384" t="str">
        <f>IF(E109="——","——",H101-H105-H106)</f>
        <v>——</v>
      </c>
      <c r="I109" s="121"/>
    </row>
    <row r="110" spans="1:35" ht="18.75" customHeight="1">
      <c r="A110" s="121"/>
      <c r="B110" s="121"/>
      <c r="C110" s="121"/>
      <c r="D110" s="121"/>
      <c r="E110" s="3518"/>
      <c r="F110" s="3519"/>
      <c r="G110" s="1687" t="s">
        <v>1432</v>
      </c>
      <c r="H110" s="2341" t="str">
        <f>IF(H109="——","——",ROUND(H109*10000/'数据-汇总表'!E3,0))</f>
        <v>——</v>
      </c>
      <c r="I110" s="121"/>
    </row>
    <row r="111" spans="1:35" ht="18.75" customHeight="1">
      <c r="A111" s="121"/>
      <c r="B111" s="121"/>
      <c r="C111" s="121"/>
      <c r="D111" s="121"/>
      <c r="E111" s="3550" t="str">
        <f>IF(项目基本情况!E9="抵押净值",IF(OR(项目基本情况!E8="已注销",项目基本情况!E8="房地产抵押价值"),"4.抵押净值","5.抵押净值"),"——")</f>
        <v>——</v>
      </c>
      <c r="F111" s="3520"/>
      <c r="G111" s="1687" t="s">
        <v>1430</v>
      </c>
      <c r="H111" s="2381" t="str">
        <f>IF(E111="——","——",N59)</f>
        <v>——</v>
      </c>
      <c r="I111" s="121"/>
    </row>
    <row r="112" spans="1:35" ht="18.75" customHeight="1" thickBot="1">
      <c r="A112" s="121"/>
      <c r="B112" s="121"/>
      <c r="C112" s="121"/>
      <c r="D112" s="121"/>
      <c r="E112" s="3551"/>
      <c r="F112" s="3552"/>
      <c r="G112" s="1690" t="s">
        <v>1432</v>
      </c>
      <c r="H112" s="2385" t="str">
        <f>IF(E111="——","——",N61)</f>
        <v>——</v>
      </c>
      <c r="I112" s="121"/>
    </row>
    <row r="113" spans="1:27" ht="18.75" customHeight="1">
      <c r="A113" s="121"/>
      <c r="B113" s="121"/>
      <c r="C113" s="121"/>
      <c r="D113" s="121"/>
      <c r="E113" s="3523" t="s">
        <v>1438</v>
      </c>
      <c r="F113" s="3523"/>
      <c r="G113" s="3523"/>
      <c r="H113" s="3523"/>
      <c r="I113" s="121"/>
    </row>
    <row r="114" spans="1:27" ht="3.75" customHeight="1">
      <c r="A114" s="646"/>
      <c r="B114" s="646"/>
      <c r="C114" s="646"/>
      <c r="D114" s="646"/>
      <c r="E114" s="1671"/>
      <c r="F114" s="1671"/>
      <c r="G114" s="1671"/>
      <c r="H114" s="1671"/>
      <c r="I114" s="646"/>
    </row>
    <row r="115" spans="1:27" ht="18.75" customHeight="1">
      <c r="A115" s="3533" t="s">
        <v>1440</v>
      </c>
      <c r="B115" s="3534"/>
      <c r="C115" s="3534"/>
      <c r="D115" s="3534"/>
      <c r="E115" s="3534"/>
      <c r="F115" s="3534"/>
      <c r="G115" s="3534"/>
      <c r="H115" s="3534"/>
      <c r="I115" s="3535"/>
    </row>
    <row r="116" spans="1:27" ht="27" customHeight="1">
      <c r="A116" s="3489" t="s">
        <v>1441</v>
      </c>
      <c r="B116" s="3524" t="s">
        <v>1442</v>
      </c>
      <c r="C116" s="3524" t="s">
        <v>1443</v>
      </c>
      <c r="D116" s="3537" t="s">
        <v>1444</v>
      </c>
      <c r="E116" s="3538"/>
      <c r="F116" s="3532" t="s">
        <v>1445</v>
      </c>
      <c r="G116" s="3532"/>
      <c r="H116" s="3489" t="s">
        <v>1446</v>
      </c>
      <c r="I116" s="3489"/>
    </row>
    <row r="117" spans="1:27" ht="18.75" customHeight="1">
      <c r="A117" s="3489"/>
      <c r="B117" s="3525"/>
      <c r="C117" s="3525"/>
      <c r="D117" s="2150" t="s">
        <v>1447</v>
      </c>
      <c r="E117" s="2150" t="s">
        <v>1448</v>
      </c>
      <c r="F117" s="2150" t="s">
        <v>1447</v>
      </c>
      <c r="G117" s="2150" t="s">
        <v>1449</v>
      </c>
      <c r="H117" s="2150" t="s">
        <v>1447</v>
      </c>
      <c r="I117" s="2150" t="s">
        <v>1449</v>
      </c>
    </row>
    <row r="118" spans="1:27" ht="24.75" customHeight="1">
      <c r="A118" s="2386" t="str">
        <f>项目基本情况!S2</f>
        <v>房地产</v>
      </c>
      <c r="B118" s="2150">
        <f>M18</f>
        <v>447.47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9" t="s">
        <v>1450</v>
      </c>
      <c r="B119" s="3489"/>
      <c r="C119" s="3489"/>
      <c r="D119" s="3529" t="e">
        <f ca="1">NUMBERSTRING(INT(D118*10000),2)&amp;"元整"</f>
        <v>#REF!</v>
      </c>
      <c r="E119" s="3531"/>
      <c r="F119" s="3529" t="e">
        <f ca="1">NUMBERSTRING(INT(F118*10000),2)&amp;"元整"</f>
        <v>#REF!</v>
      </c>
      <c r="G119" s="3531"/>
      <c r="H119" s="3529" t="e">
        <f ca="1">NUMBERSTRING(INT(H118*10000),2)&amp;"元整"</f>
        <v>#REF!</v>
      </c>
      <c r="I119" s="3531"/>
    </row>
    <row r="120" spans="1:27" ht="18.75" customHeight="1">
      <c r="A120" s="3553" t="str">
        <f>IF(项目基本情况!B9="房地产市场价值","",MID(E103,3,LEN(E103)-2))</f>
        <v/>
      </c>
      <c r="B120" s="3554"/>
      <c r="C120" s="3555"/>
      <c r="D120" s="3553">
        <f>H103</f>
        <v>0</v>
      </c>
      <c r="E120" s="3554"/>
      <c r="F120" s="3554"/>
      <c r="G120" s="3554"/>
      <c r="H120" s="3554"/>
      <c r="I120" s="355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529" t="s">
        <v>1450</v>
      </c>
      <c r="B121" s="3530"/>
      <c r="C121" s="3531"/>
      <c r="D121" s="3529" t="str">
        <f>IF(D120=0,"零元整",NUMBERSTRING(INT(D120*10000),2)&amp;"元整")</f>
        <v>零元整</v>
      </c>
      <c r="E121" s="3530"/>
      <c r="F121" s="3530"/>
      <c r="G121" s="3530"/>
      <c r="H121" s="3530"/>
      <c r="I121" s="3531"/>
      <c r="AA121" s="684"/>
    </row>
    <row r="122" spans="1:27" ht="18.75" customHeight="1">
      <c r="A122" s="3520" t="str">
        <f>IF(项目基本情况!B9="房地产市场价值","",MID(E107,3,LEN(E107)-2))</f>
        <v/>
      </c>
      <c r="B122" s="3520"/>
      <c r="C122" s="3520"/>
      <c r="D122" s="3553" t="e">
        <f ca="1">H107</f>
        <v>#REF!</v>
      </c>
      <c r="E122" s="3554"/>
      <c r="F122" s="3554"/>
      <c r="G122" s="3554"/>
      <c r="H122" s="3554"/>
      <c r="I122" s="3555"/>
      <c r="AA122" s="684"/>
    </row>
    <row r="123" spans="1:27" ht="18.75" customHeight="1">
      <c r="A123" s="3489" t="s">
        <v>1450</v>
      </c>
      <c r="B123" s="3489"/>
      <c r="C123" s="3489"/>
      <c r="D123" s="3529" t="e">
        <f ca="1">NUMBERSTRING(INT(D122*10000),2)&amp;"元整"</f>
        <v>#REF!</v>
      </c>
      <c r="E123" s="3530"/>
      <c r="F123" s="3530"/>
      <c r="G123" s="3530"/>
      <c r="H123" s="3530"/>
      <c r="I123" s="3531"/>
      <c r="AA123" s="684"/>
    </row>
    <row r="124" spans="1:27" ht="18.75" customHeight="1">
      <c r="A124" s="3520" t="str">
        <f>IF(项目基本情况!B9="房地产市场价值","",MID(E109,3,LEN(E109)-2))</f>
        <v/>
      </c>
      <c r="B124" s="3520"/>
      <c r="C124" s="3520"/>
      <c r="D124" s="3553" t="str">
        <f>H109</f>
        <v>——</v>
      </c>
      <c r="E124" s="3554"/>
      <c r="F124" s="3554"/>
      <c r="G124" s="3554"/>
      <c r="H124" s="3554"/>
      <c r="I124" s="3555"/>
      <c r="AA124" s="684"/>
    </row>
    <row r="125" spans="1:27" ht="18.75" customHeight="1">
      <c r="A125" s="3489" t="s">
        <v>1450</v>
      </c>
      <c r="B125" s="3489"/>
      <c r="C125" s="3489"/>
      <c r="D125" s="3529" t="e">
        <f>NUMBERSTRING(INT(D124*10000),2)&amp;"元整"</f>
        <v>#VALUE!</v>
      </c>
      <c r="E125" s="3530"/>
      <c r="F125" s="3530"/>
      <c r="G125" s="3530"/>
      <c r="H125" s="3530"/>
      <c r="I125" s="3531"/>
      <c r="AA125" s="684"/>
    </row>
    <row r="126" spans="1:27" ht="18.75" customHeight="1">
      <c r="A126" s="3520" t="str">
        <f>IF(项目基本情况!B9="房地产市场价值","",MID(E111,3,LEN(E111)-2))</f>
        <v/>
      </c>
      <c r="B126" s="3520"/>
      <c r="C126" s="3520"/>
      <c r="D126" s="3553" t="str">
        <f>H111</f>
        <v>——</v>
      </c>
      <c r="E126" s="3554"/>
      <c r="F126" s="3554"/>
      <c r="G126" s="3554"/>
      <c r="H126" s="3554"/>
      <c r="I126" s="3555"/>
      <c r="AA126" s="684"/>
    </row>
    <row r="127" spans="1:27" ht="18.75" customHeight="1">
      <c r="A127" s="3489" t="s">
        <v>1450</v>
      </c>
      <c r="B127" s="3489"/>
      <c r="C127" s="3489"/>
      <c r="D127" s="3529" t="e">
        <f>NUMBERSTRING(INT(D126*10000),2)&amp;"元整"</f>
        <v>#VALUE!</v>
      </c>
      <c r="E127" s="3530"/>
      <c r="F127" s="3530"/>
      <c r="G127" s="3530"/>
      <c r="H127" s="3530"/>
      <c r="I127" s="3531"/>
      <c r="AA127" s="684"/>
    </row>
    <row r="128" spans="1:27" ht="21.75" customHeight="1">
      <c r="A128" s="3536" t="s">
        <v>1451</v>
      </c>
      <c r="B128" s="3536"/>
      <c r="C128" s="3536"/>
      <c r="D128" s="3536"/>
      <c r="E128" s="3536"/>
      <c r="F128" s="3536"/>
      <c r="G128" s="3536"/>
      <c r="H128" s="3536"/>
      <c r="I128" s="3536"/>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D7">
    <cfRule type="cellIs" dxfId="142" priority="10" stopIfTrue="1" operator="equal">
      <formula>25</formula>
    </cfRule>
  </conditionalFormatting>
  <conditionalFormatting sqref="C8:D13">
    <cfRule type="cellIs" dxfId="141" priority="8" stopIfTrue="1" operator="equal">
      <formula>15</formula>
    </cfRule>
  </conditionalFormatting>
  <conditionalFormatting sqref="C14:D16">
    <cfRule type="cellIs" dxfId="140" priority="6" stopIfTrue="1" operator="equal">
      <formula>30</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38955</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870561</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447.47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447.47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1041">
        <f ca="1">ROUND(SUM(C23:C25),0)</f>
        <v>837</v>
      </c>
      <c r="D22" s="227">
        <f ca="1">C26</f>
        <v>4.0000000000000002E-4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4.0000000000000002E-4</v>
      </c>
      <c r="D26" s="230"/>
      <c r="E26" s="233"/>
      <c r="F26" s="231"/>
      <c r="G26" s="235"/>
    </row>
    <row r="27" spans="1:7" s="206" customFormat="1" ht="24.75">
      <c r="A27" s="247" t="s">
        <v>1510</v>
      </c>
      <c r="B27" s="236" t="s">
        <v>1511</v>
      </c>
      <c r="C27" s="237">
        <f ca="1">C28</f>
        <v>6450</v>
      </c>
      <c r="D27" s="227">
        <f ca="1">C29</f>
        <v>6.4000000000000003E-3</v>
      </c>
      <c r="E27" s="228" t="s">
        <v>1512</v>
      </c>
      <c r="F27" s="238">
        <f ca="1">IF(B1="",'数据-取费表'!Q16,INDIRECT("'数据-取费表'!q"&amp;$G$1))</f>
        <v>0.23</v>
      </c>
      <c r="G27" s="239" t="s">
        <v>1513</v>
      </c>
    </row>
    <row r="28" spans="1:7" s="206" customFormat="1" ht="13.5" customHeight="1">
      <c r="A28" s="734" t="s">
        <v>346</v>
      </c>
      <c r="B28" s="240" t="s">
        <v>1514</v>
      </c>
      <c r="C28" s="241">
        <f ca="1">ROUND((C5+C19+C20)*F27*'数据-取费表'!B21/'数据-取费表'!B20,0)</f>
        <v>6450</v>
      </c>
      <c r="D28" s="227"/>
      <c r="E28" s="228"/>
      <c r="F28" s="238"/>
      <c r="G28" s="239"/>
    </row>
    <row r="29" spans="1:7" s="206" customFormat="1" ht="13.5" customHeight="1">
      <c r="A29" s="734" t="s">
        <v>347</v>
      </c>
      <c r="B29" s="240" t="s">
        <v>1515</v>
      </c>
      <c r="C29" s="230">
        <f ca="1">ROUND(C21*F27*'数据-取费表'!B21/'数据-取费表'!B20,4)</f>
        <v>6.4000000000000003E-3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38743</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447.47</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2</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9" t="s">
        <v>1542</v>
      </c>
    </row>
    <row r="43" spans="1:7" ht="13.5" customHeight="1">
      <c r="A43" s="734" t="s">
        <v>347</v>
      </c>
      <c r="B43" s="207" t="s">
        <v>1543</v>
      </c>
      <c r="C43" s="230">
        <f ca="1">ROUND(IF('数据-取费表'!B22&lt;=1,C39*F22*'数据-取费表'!B21/2,C39*(POWER((1+F22),'数据-取费表'!B21/2)-1)),0)</f>
        <v>0</v>
      </c>
      <c r="D43" s="230"/>
      <c r="E43" s="230"/>
      <c r="F43" s="231"/>
      <c r="G43" s="3570"/>
    </row>
    <row r="44" spans="1:7" ht="13.5" customHeight="1">
      <c r="A44" s="734" t="s">
        <v>348</v>
      </c>
      <c r="B44" s="207" t="s">
        <v>1544</v>
      </c>
      <c r="C44" s="230">
        <f ca="1">ROUND(IF('数据-取费表'!B22&lt;=1,C40*F22*'数据-取费表'!B21/2,C40*(POWER((1+F22),'数据-取费表'!B21/2)-1)),4)</f>
        <v>4.0000000000000002E-4</v>
      </c>
      <c r="D44" s="230"/>
      <c r="E44" s="230"/>
      <c r="F44" s="231"/>
      <c r="G44" s="3571"/>
    </row>
    <row r="45" spans="1:7" s="206" customFormat="1" ht="13.5" customHeight="1">
      <c r="A45" s="247" t="s">
        <v>1545</v>
      </c>
      <c r="B45" s="236" t="s">
        <v>1511</v>
      </c>
      <c r="C45" s="237">
        <f ca="1">C46</f>
        <v>36</v>
      </c>
      <c r="D45" s="227">
        <f ca="1">C47</f>
        <v>6.4000000000000003E-3</v>
      </c>
      <c r="E45" s="228" t="s">
        <v>1537</v>
      </c>
      <c r="F45" s="238">
        <f ca="1">F27</f>
        <v>0.23</v>
      </c>
      <c r="G45" s="239" t="s">
        <v>1546</v>
      </c>
    </row>
    <row r="46" spans="1:7" s="206" customFormat="1" ht="13.5" customHeight="1">
      <c r="A46" s="734" t="s">
        <v>346</v>
      </c>
      <c r="B46" s="240" t="s">
        <v>1547</v>
      </c>
      <c r="C46" s="241">
        <f ca="1">ROUND((C33+C39)*F27,0)</f>
        <v>36</v>
      </c>
      <c r="D46" s="255"/>
      <c r="E46" s="228"/>
      <c r="F46" s="238"/>
      <c r="G46" s="239"/>
    </row>
    <row r="47" spans="1:7" s="206" customFormat="1" ht="13.5" customHeight="1">
      <c r="A47" s="734" t="s">
        <v>347</v>
      </c>
      <c r="B47" s="240" t="s">
        <v>1548</v>
      </c>
      <c r="C47" s="230">
        <f ca="1">ROUND(C40*F27,4)</f>
        <v>6.4000000000000003E-3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212</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212</v>
      </c>
      <c r="D51" s="224"/>
      <c r="E51" s="224"/>
      <c r="F51" s="256"/>
      <c r="G51" s="226" t="s">
        <v>1558</v>
      </c>
    </row>
    <row r="52" spans="1:7" s="200" customFormat="1" ht="16.5" thickBot="1">
      <c r="A52" s="257" t="s">
        <v>1559</v>
      </c>
      <c r="B52" s="258"/>
      <c r="C52" s="259">
        <f ca="1">C31+C51</f>
        <v>38955</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7" t="str">
        <f>项目基本情况!B1</f>
        <v>房地产市场价值预评估</v>
      </c>
      <c r="C37" s="3387"/>
      <c r="D37" s="3387"/>
      <c r="E37" s="3387"/>
      <c r="F37" s="3387"/>
      <c r="G37" s="3387"/>
      <c r="H37" s="3387"/>
      <c r="I37" s="338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33497</v>
      </c>
      <c r="C2" s="268" t="s">
        <v>1593</v>
      </c>
      <c r="D2" s="268"/>
      <c r="E2" s="2568"/>
      <c r="F2" s="2568"/>
      <c r="G2" s="2568"/>
      <c r="H2" s="2568"/>
      <c r="I2" s="2568"/>
      <c r="J2" s="2568"/>
      <c r="K2" s="2568"/>
    </row>
    <row r="3" spans="1:33" ht="18" customHeight="1" thickBot="1">
      <c r="A3" s="195" t="s">
        <v>1462</v>
      </c>
      <c r="B3" s="196">
        <f ca="1">ROUND(B2*10000/IF(C1="",'数据-汇总表'!E3,INDIRECT("'数据-取费表'!K"&amp;$K$1)),0)</f>
        <v>748586</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447.47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447.47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447.47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2.8000000000000001E-2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-6445</v>
      </c>
      <c r="D28" s="272">
        <f ca="1">C29</f>
        <v>0</v>
      </c>
      <c r="E28" s="274" t="s">
        <v>12</v>
      </c>
      <c r="F28" s="280">
        <f ca="1">IF(C1="",'数据-取费表'!Q16,INDIRECT("'数据-取费表'!q"&amp;$K$1))</f>
        <v>0.23</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-6445</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33497</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74" t="s">
        <v>694</v>
      </c>
      <c r="C6" s="1011">
        <f ca="1">ROUND(F6*F8*F7*(1-F9)/10000,0)</f>
        <v>0</v>
      </c>
      <c r="D6" s="147" t="s">
        <v>2107</v>
      </c>
      <c r="E6" s="294" t="s">
        <v>696</v>
      </c>
      <c r="F6" s="295">
        <f ca="1">INDIRECT("'数据-取费表'!u"&amp;$G$1)</f>
        <v>0</v>
      </c>
      <c r="G6" s="1292"/>
      <c r="H6" s="1006" t="s">
        <v>398</v>
      </c>
      <c r="I6" s="3574" t="s">
        <v>694</v>
      </c>
      <c r="J6" s="293">
        <f ca="1">ROUND(M6*M8*M7*(1-M9)/10000,0)</f>
        <v>0</v>
      </c>
      <c r="K6" s="147" t="s">
        <v>2106</v>
      </c>
      <c r="L6" s="294" t="s">
        <v>696</v>
      </c>
      <c r="M6" s="295">
        <f ca="1">INDIRECT("'数据-取费表'!z"&amp;$G$1)</f>
        <v>0</v>
      </c>
    </row>
    <row r="7" spans="1:37" ht="18" customHeight="1">
      <c r="A7" s="1010"/>
      <c r="B7" s="3575"/>
      <c r="C7" s="1012"/>
      <c r="D7" s="299"/>
      <c r="E7" s="1013" t="s">
        <v>697</v>
      </c>
      <c r="F7" s="295">
        <f ca="1">IF(INDIRECT("'数据-取费表'!ah"&amp;$G$1)="",INDIRECT("'数据-取费表'!k"&amp;$G$1),INDIRECT("'数据-取费表'!ah"&amp;$G$1))</f>
        <v>0</v>
      </c>
      <c r="G7" s="1292"/>
      <c r="H7" s="296"/>
      <c r="I7" s="3575"/>
      <c r="J7" s="298"/>
      <c r="K7" s="299"/>
      <c r="L7" s="294" t="s">
        <v>697</v>
      </c>
      <c r="M7" s="295">
        <f ca="1">F7</f>
        <v>0</v>
      </c>
    </row>
    <row r="8" spans="1:37" ht="18" customHeight="1">
      <c r="A8" s="296"/>
      <c r="B8" s="3575"/>
      <c r="C8" s="298"/>
      <c r="D8" s="299"/>
      <c r="E8" s="294" t="s">
        <v>698</v>
      </c>
      <c r="F8" s="295">
        <f ca="1">INDIRECT("'数据-取费表'!ai"&amp;$G$1)</f>
        <v>0</v>
      </c>
      <c r="G8" s="1292"/>
      <c r="H8" s="296"/>
      <c r="I8" s="3575"/>
      <c r="J8" s="298"/>
      <c r="K8" s="299"/>
      <c r="L8" s="294" t="s">
        <v>698</v>
      </c>
      <c r="M8" s="295">
        <f ca="1">INDIRECT("'数据-取费表'!ai"&amp;$G$1)</f>
        <v>0</v>
      </c>
    </row>
    <row r="9" spans="1:37" ht="18" customHeight="1">
      <c r="A9" s="296"/>
      <c r="B9" s="3576"/>
      <c r="C9" s="298"/>
      <c r="D9" s="299"/>
      <c r="E9" s="294" t="s">
        <v>699</v>
      </c>
      <c r="F9" s="304">
        <f ca="1">INDIRECT("'数据-取费表'!w"&amp;$G$1)</f>
        <v>0</v>
      </c>
      <c r="G9" s="1292"/>
      <c r="H9" s="296"/>
      <c r="I9" s="357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72" t="s">
        <v>837</v>
      </c>
      <c r="L53" s="3573"/>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7">
      <formula>$J$51&gt;$L$48</formula>
    </cfRule>
  </conditionalFormatting>
  <conditionalFormatting sqref="J11">
    <cfRule type="expression" dxfId="135" priority="2">
      <formula>$M$10="自定义"</formula>
    </cfRule>
  </conditionalFormatting>
  <conditionalFormatting sqref="K55 K60">
    <cfRule type="expression" dxfId="134"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74" t="s">
        <v>694</v>
      </c>
      <c r="C6" s="1011">
        <f ca="1">ROUND(F6*F8*F7*(1-F9),0)</f>
        <v>0</v>
      </c>
      <c r="D6" s="147" t="s">
        <v>2104</v>
      </c>
      <c r="E6" s="294" t="s">
        <v>696</v>
      </c>
      <c r="F6" s="295">
        <f ca="1">INDIRECT("'数据-取费表'!u"&amp;$G$1)</f>
        <v>0</v>
      </c>
      <c r="G6" s="1292"/>
      <c r="H6" s="1006" t="s">
        <v>398</v>
      </c>
      <c r="I6" s="3574" t="s">
        <v>694</v>
      </c>
      <c r="J6" s="293">
        <f ca="1">ROUND(M6*M8*M7*(1-M9),0)</f>
        <v>0</v>
      </c>
      <c r="K6" s="1284" t="s">
        <v>2105</v>
      </c>
      <c r="L6" s="294" t="s">
        <v>696</v>
      </c>
      <c r="M6" s="295">
        <f ca="1">INDIRECT("'数据-取费表'!z"&amp;$G$1)</f>
        <v>0</v>
      </c>
    </row>
    <row r="7" spans="1:37" ht="18" customHeight="1">
      <c r="A7" s="1010"/>
      <c r="B7" s="3575"/>
      <c r="C7" s="1012"/>
      <c r="D7" s="299"/>
      <c r="E7" s="1013" t="s">
        <v>697</v>
      </c>
      <c r="F7" s="295">
        <f ca="1">IF(INDIRECT("'数据-取费表'!ah"&amp;$G$1)="",INDIRECT("'数据-取费表'!k"&amp;$G$1),INDIRECT("'数据-取费表'!ah"&amp;$G$1))</f>
        <v>0</v>
      </c>
      <c r="G7" s="1292"/>
      <c r="H7" s="296"/>
      <c r="I7" s="3575"/>
      <c r="J7" s="298"/>
      <c r="K7" s="299"/>
      <c r="L7" s="294" t="s">
        <v>697</v>
      </c>
      <c r="M7" s="295">
        <f ca="1">F7</f>
        <v>0</v>
      </c>
    </row>
    <row r="8" spans="1:37" ht="18" customHeight="1">
      <c r="A8" s="296"/>
      <c r="B8" s="3575"/>
      <c r="C8" s="298"/>
      <c r="D8" s="299"/>
      <c r="E8" s="294" t="s">
        <v>698</v>
      </c>
      <c r="F8" s="295">
        <f ca="1">INDIRECT("'数据-取费表'!ai"&amp;$G$1)</f>
        <v>0</v>
      </c>
      <c r="G8" s="1292"/>
      <c r="H8" s="296"/>
      <c r="I8" s="3575"/>
      <c r="J8" s="298"/>
      <c r="K8" s="299"/>
      <c r="L8" s="294" t="s">
        <v>698</v>
      </c>
      <c r="M8" s="295">
        <f ca="1">INDIRECT("'数据-取费表'!ai"&amp;$G$1)</f>
        <v>0</v>
      </c>
    </row>
    <row r="9" spans="1:37" ht="18" customHeight="1">
      <c r="A9" s="296"/>
      <c r="B9" s="3576"/>
      <c r="C9" s="298"/>
      <c r="D9" s="299"/>
      <c r="E9" s="294" t="s">
        <v>699</v>
      </c>
      <c r="F9" s="304">
        <f ca="1">INDIRECT("'数据-取费表'!w"&amp;$G$1)</f>
        <v>0</v>
      </c>
      <c r="G9" s="1292"/>
      <c r="H9" s="296"/>
      <c r="I9" s="357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72" t="s">
        <v>837</v>
      </c>
      <c r="L53" s="3573"/>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83" t="s">
        <v>2315</v>
      </c>
      <c r="K2" s="3584"/>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85" t="s">
        <v>2325</v>
      </c>
      <c r="K3" s="3586"/>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85" t="s">
        <v>2327</v>
      </c>
      <c r="K4" s="3586"/>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91" t="s">
        <v>2331</v>
      </c>
      <c r="B6" s="3592"/>
      <c r="C6" s="3593"/>
      <c r="D6" s="2622"/>
      <c r="E6" s="2623"/>
      <c r="F6" s="2624"/>
      <c r="G6" s="2625"/>
      <c r="H6" s="2600"/>
      <c r="I6" s="2601"/>
      <c r="J6" s="3577">
        <v>1</v>
      </c>
      <c r="K6" s="3578"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77"/>
      <c r="K7" s="3579"/>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94" t="s">
        <v>2345</v>
      </c>
      <c r="C8" s="3595"/>
      <c r="D8" s="2641" t="s">
        <v>2346</v>
      </c>
      <c r="E8" s="2642" t="s">
        <v>2347</v>
      </c>
      <c r="F8" s="2643" t="s">
        <v>2348</v>
      </c>
      <c r="G8" s="2644"/>
      <c r="H8" s="2600"/>
      <c r="I8" s="2601"/>
      <c r="J8" s="3577"/>
      <c r="K8" s="3579"/>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94" t="s">
        <v>2351</v>
      </c>
      <c r="C9" s="3595"/>
      <c r="D9" s="2641">
        <f>ROUND(D6*E9,0)</f>
        <v>0</v>
      </c>
      <c r="E9" s="2645"/>
      <c r="F9" s="2646" t="s">
        <v>2352</v>
      </c>
      <c r="G9" s="2625"/>
      <c r="H9" s="2600"/>
      <c r="I9" s="2601"/>
      <c r="J9" s="3577"/>
      <c r="K9" s="3579"/>
      <c r="L9" s="2635" t="s">
        <v>2353</v>
      </c>
      <c r="M9" s="2636"/>
      <c r="N9" s="2612"/>
      <c r="O9" s="2637"/>
      <c r="P9" s="2637"/>
      <c r="Q9" s="2638">
        <v>365</v>
      </c>
      <c r="R9" s="2639">
        <f t="shared" si="0"/>
        <v>0</v>
      </c>
      <c r="S9" s="2593"/>
      <c r="T9" s="2593"/>
      <c r="U9" s="2593"/>
      <c r="V9" s="2601"/>
    </row>
    <row r="10" spans="1:22" s="2605" customFormat="1" ht="13.15" customHeight="1">
      <c r="A10" s="2640">
        <v>2</v>
      </c>
      <c r="B10" s="3594" t="s">
        <v>2354</v>
      </c>
      <c r="C10" s="3595"/>
      <c r="D10" s="2641">
        <f>ROUND(D6*E10,0)</f>
        <v>0</v>
      </c>
      <c r="E10" s="2645"/>
      <c r="F10" s="2646" t="s">
        <v>2355</v>
      </c>
      <c r="G10" s="2625"/>
      <c r="H10" s="2600"/>
      <c r="I10" s="2601"/>
      <c r="J10" s="3577"/>
      <c r="K10" s="3579"/>
      <c r="L10" s="2635" t="s">
        <v>2356</v>
      </c>
      <c r="M10" s="2636"/>
      <c r="N10" s="2612"/>
      <c r="O10" s="2637"/>
      <c r="P10" s="2637"/>
      <c r="Q10" s="2638">
        <v>365</v>
      </c>
      <c r="R10" s="2639">
        <f t="shared" si="0"/>
        <v>0</v>
      </c>
      <c r="S10" s="2593"/>
      <c r="T10" s="2593"/>
      <c r="U10" s="2593"/>
      <c r="V10" s="2601"/>
    </row>
    <row r="11" spans="1:22" s="2605" customFormat="1" ht="13.15" customHeight="1">
      <c r="A11" s="2640">
        <v>3</v>
      </c>
      <c r="B11" s="3594" t="s">
        <v>2357</v>
      </c>
      <c r="C11" s="3595"/>
      <c r="D11" s="2641">
        <f>D12+D14+D15+D16</f>
        <v>0</v>
      </c>
      <c r="E11" s="2647" t="e">
        <f>D11/D6</f>
        <v>#DIV/0!</v>
      </c>
      <c r="F11" s="2643"/>
      <c r="G11" s="2644"/>
      <c r="H11" s="2600"/>
      <c r="I11" s="2601"/>
      <c r="J11" s="3577"/>
      <c r="K11" s="3579"/>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7" t="s">
        <v>2360</v>
      </c>
      <c r="C12" s="3588"/>
      <c r="D12" s="2649">
        <f>ROUND(D13*1.2%*(1-30%),0)</f>
        <v>0</v>
      </c>
      <c r="E12" s="2650">
        <v>1.2E-2</v>
      </c>
      <c r="F12" s="2643" t="s">
        <v>2361</v>
      </c>
      <c r="G12" s="2644"/>
      <c r="H12" s="2600"/>
      <c r="I12" s="2601"/>
      <c r="J12" s="3577"/>
      <c r="K12" s="3579"/>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77"/>
      <c r="K13" s="3579"/>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7" t="s">
        <v>2366</v>
      </c>
      <c r="C14" s="3588"/>
      <c r="D14" s="2649">
        <f>ROUND(E14*B5/10000,0)</f>
        <v>0</v>
      </c>
      <c r="E14" s="2638"/>
      <c r="F14" s="2643" t="s">
        <v>2367</v>
      </c>
      <c r="G14" s="2644"/>
      <c r="H14" s="2600"/>
      <c r="I14" s="2601"/>
      <c r="J14" s="3577"/>
      <c r="K14" s="3580"/>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7" t="s">
        <v>2370</v>
      </c>
      <c r="C15" s="3588"/>
      <c r="D15" s="2649">
        <f>ROUND(D6*E15,0)</f>
        <v>0</v>
      </c>
      <c r="E15" s="2650">
        <v>5.5E-2</v>
      </c>
      <c r="F15" s="2643" t="s">
        <v>2371</v>
      </c>
      <c r="G15" s="2625"/>
      <c r="H15" s="2600"/>
      <c r="I15" s="2601"/>
      <c r="J15" s="3577">
        <v>2</v>
      </c>
      <c r="K15" s="3578"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7" t="s">
        <v>2379</v>
      </c>
      <c r="C16" s="3588"/>
      <c r="D16" s="2660">
        <f>D6*E16</f>
        <v>0</v>
      </c>
      <c r="E16" s="2661"/>
      <c r="F16" s="2646" t="s">
        <v>2380</v>
      </c>
      <c r="G16" s="2625"/>
      <c r="H16" s="2600"/>
      <c r="I16" s="2601"/>
      <c r="J16" s="3577"/>
      <c r="K16" s="3579"/>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89" t="s">
        <v>2382</v>
      </c>
      <c r="C17" s="3590"/>
      <c r="D17" s="2663">
        <f>ROUND(D6*E17,0)</f>
        <v>0</v>
      </c>
      <c r="E17" s="2664"/>
      <c r="F17" s="2665" t="s">
        <v>2383</v>
      </c>
      <c r="G17" s="2625"/>
      <c r="H17" s="2600"/>
      <c r="I17" s="2601"/>
      <c r="J17" s="3577"/>
      <c r="K17" s="3579"/>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77"/>
      <c r="K18" s="3579"/>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77"/>
      <c r="K19" s="3580"/>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77">
        <v>3</v>
      </c>
      <c r="K20" s="3578"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77"/>
      <c r="K21" s="3579"/>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77"/>
      <c r="K22" s="3579"/>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77"/>
      <c r="K23" s="3579"/>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77"/>
      <c r="K24" s="3580"/>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81">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8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83" t="s">
        <v>2315</v>
      </c>
      <c r="K32" s="3584"/>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85" t="s">
        <v>2325</v>
      </c>
      <c r="K33" s="3586"/>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85" t="s">
        <v>2327</v>
      </c>
      <c r="K34" s="358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77">
        <v>1</v>
      </c>
      <c r="K36" s="3578"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77"/>
      <c r="K37" s="3579"/>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77"/>
      <c r="K38" s="3579"/>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77"/>
      <c r="K39" s="3579"/>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77"/>
      <c r="K40" s="3580"/>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81">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8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6" t="s">
        <v>1652</v>
      </c>
      <c r="C5" s="3597"/>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447.47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6" t="s">
        <v>1665</v>
      </c>
      <c r="D4" s="3617"/>
      <c r="E4" s="3618" t="s">
        <v>1666</v>
      </c>
      <c r="F4" s="3619"/>
      <c r="G4" s="3616" t="s">
        <v>1667</v>
      </c>
      <c r="H4" s="3617"/>
      <c r="I4" s="3616" t="s">
        <v>1668</v>
      </c>
      <c r="J4" s="3617"/>
      <c r="K4" s="1744" t="s">
        <v>1669</v>
      </c>
      <c r="L4" s="2487"/>
      <c r="M4" s="2488"/>
      <c r="N4" s="2488"/>
      <c r="O4" s="2488"/>
      <c r="P4" s="3620" t="s">
        <v>1670</v>
      </c>
      <c r="Q4" s="3621"/>
      <c r="R4" s="3626" t="s">
        <v>1666</v>
      </c>
      <c r="S4" s="3627"/>
      <c r="T4" s="3626" t="s">
        <v>1667</v>
      </c>
      <c r="U4" s="3627"/>
      <c r="V4" s="3602" t="s">
        <v>1668</v>
      </c>
      <c r="W4" s="3602"/>
      <c r="X4" s="1265"/>
      <c r="Y4" s="3626" t="s">
        <v>1670</v>
      </c>
      <c r="Z4" s="3627"/>
      <c r="AA4" s="3613" t="s">
        <v>1666</v>
      </c>
      <c r="AB4" s="3613" t="s">
        <v>1667</v>
      </c>
      <c r="AC4" s="3613" t="s">
        <v>1668</v>
      </c>
    </row>
    <row r="5" spans="1:29" ht="15">
      <c r="A5" s="348"/>
      <c r="B5" s="349"/>
      <c r="C5" s="3634" t="s">
        <v>1671</v>
      </c>
      <c r="D5" s="3635"/>
      <c r="E5" s="3641" t="s">
        <v>1672</v>
      </c>
      <c r="F5" s="3642"/>
      <c r="G5" s="3634" t="s">
        <v>1673</v>
      </c>
      <c r="H5" s="3635"/>
      <c r="I5" s="3634" t="s">
        <v>1674</v>
      </c>
      <c r="J5" s="3635"/>
      <c r="K5" s="1745"/>
      <c r="L5" s="2487"/>
      <c r="M5" s="2488"/>
      <c r="N5" s="2488"/>
      <c r="O5" s="2488"/>
      <c r="P5" s="3622"/>
      <c r="Q5" s="3623"/>
      <c r="R5" s="3628"/>
      <c r="S5" s="3629"/>
      <c r="T5" s="3628"/>
      <c r="U5" s="3629"/>
      <c r="V5" s="3602"/>
      <c r="W5" s="3602"/>
      <c r="X5" s="1265"/>
      <c r="Y5" s="3628"/>
      <c r="Z5" s="3629"/>
      <c r="AA5" s="3614"/>
      <c r="AB5" s="3614"/>
      <c r="AC5" s="3614"/>
    </row>
    <row r="6" spans="1:29" ht="15.75" thickBot="1">
      <c r="A6" s="350"/>
      <c r="B6" s="351"/>
      <c r="C6" s="3632" t="s">
        <v>1675</v>
      </c>
      <c r="D6" s="3633"/>
      <c r="E6" s="3639" t="s">
        <v>1675</v>
      </c>
      <c r="F6" s="3640"/>
      <c r="G6" s="3632" t="s">
        <v>1675</v>
      </c>
      <c r="H6" s="3633"/>
      <c r="I6" s="3632" t="s">
        <v>1675</v>
      </c>
      <c r="J6" s="3633"/>
      <c r="K6" s="1745" t="s">
        <v>1676</v>
      </c>
      <c r="L6" s="2487"/>
      <c r="M6" s="2488"/>
      <c r="N6" s="2488"/>
      <c r="O6" s="2488"/>
      <c r="P6" s="3624"/>
      <c r="Q6" s="3625"/>
      <c r="R6" s="3628"/>
      <c r="S6" s="3629"/>
      <c r="T6" s="3630"/>
      <c r="U6" s="3631"/>
      <c r="V6" s="3602"/>
      <c r="W6" s="3602"/>
      <c r="X6" s="1265"/>
      <c r="Y6" s="3630"/>
      <c r="Z6" s="3631"/>
      <c r="AA6" s="3615"/>
      <c r="AB6" s="3615"/>
      <c r="AC6" s="3615"/>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636" t="s">
        <v>1678</v>
      </c>
      <c r="Q7" s="3638"/>
      <c r="R7" s="664" t="s">
        <v>20</v>
      </c>
      <c r="S7" s="665">
        <f t="shared" ref="S7:S15" si="0">F7</f>
        <v>0</v>
      </c>
      <c r="T7" s="664" t="s">
        <v>20</v>
      </c>
      <c r="U7" s="665">
        <f t="shared" ref="U7:U15" si="1">H7</f>
        <v>0</v>
      </c>
      <c r="V7" s="664" t="s">
        <v>20</v>
      </c>
      <c r="W7" s="665">
        <f t="shared" ref="W7:W15" si="2">J7</f>
        <v>0</v>
      </c>
      <c r="X7" s="666"/>
      <c r="Y7" s="3636" t="s">
        <v>1678</v>
      </c>
      <c r="Z7" s="3637"/>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636" t="s">
        <v>1681</v>
      </c>
      <c r="Q8" s="3637"/>
      <c r="R8" s="664" t="s">
        <v>20</v>
      </c>
      <c r="S8" s="665">
        <f t="shared" si="0"/>
        <v>100</v>
      </c>
      <c r="T8" s="664" t="s">
        <v>20</v>
      </c>
      <c r="U8" s="665">
        <f t="shared" si="1"/>
        <v>100</v>
      </c>
      <c r="V8" s="664" t="s">
        <v>20</v>
      </c>
      <c r="W8" s="665">
        <f t="shared" si="2"/>
        <v>100</v>
      </c>
      <c r="X8" s="666"/>
      <c r="Y8" s="3636" t="s">
        <v>1681</v>
      </c>
      <c r="Z8" s="3637"/>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12" t="s">
        <v>1684</v>
      </c>
      <c r="Q9" s="530" t="str">
        <f t="shared" ref="Q9:Q15" si="6">B9</f>
        <v>用途</v>
      </c>
      <c r="R9" s="664" t="s">
        <v>14</v>
      </c>
      <c r="S9" s="665">
        <f t="shared" si="0"/>
        <v>100</v>
      </c>
      <c r="T9" s="664" t="s">
        <v>14</v>
      </c>
      <c r="U9" s="665">
        <f t="shared" si="1"/>
        <v>100</v>
      </c>
      <c r="V9" s="664" t="s">
        <v>14</v>
      </c>
      <c r="W9" s="665">
        <f t="shared" si="2"/>
        <v>100</v>
      </c>
      <c r="X9" s="666"/>
      <c r="Y9" s="3476"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12"/>
      <c r="Q10" s="530" t="str">
        <f t="shared" si="6"/>
        <v>土地使用年限（年）</v>
      </c>
      <c r="R10" s="664" t="s">
        <v>14</v>
      </c>
      <c r="S10" s="665">
        <f t="shared" si="0"/>
        <v>100</v>
      </c>
      <c r="T10" s="664" t="s">
        <v>14</v>
      </c>
      <c r="U10" s="665">
        <f t="shared" si="1"/>
        <v>100</v>
      </c>
      <c r="V10" s="664" t="s">
        <v>14</v>
      </c>
      <c r="W10" s="665">
        <f t="shared" si="2"/>
        <v>100</v>
      </c>
      <c r="X10" s="666"/>
      <c r="Y10" s="3476"/>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12"/>
      <c r="Q11" s="530" t="str">
        <f t="shared" si="6"/>
        <v>容积率</v>
      </c>
      <c r="R11" s="664" t="s">
        <v>18</v>
      </c>
      <c r="S11" s="665" t="e">
        <f t="shared" si="0"/>
        <v>#N/A</v>
      </c>
      <c r="T11" s="664" t="s">
        <v>18</v>
      </c>
      <c r="U11" s="665" t="e">
        <f t="shared" si="1"/>
        <v>#N/A</v>
      </c>
      <c r="V11" s="664" t="s">
        <v>18</v>
      </c>
      <c r="W11" s="665" t="e">
        <f t="shared" si="2"/>
        <v>#N/A</v>
      </c>
      <c r="X11" s="666"/>
      <c r="Y11" s="347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12"/>
      <c r="Q12" s="530">
        <f t="shared" si="6"/>
        <v>111</v>
      </c>
      <c r="R12" s="664" t="s">
        <v>18</v>
      </c>
      <c r="S12" s="665">
        <f t="shared" si="0"/>
        <v>100</v>
      </c>
      <c r="T12" s="664" t="s">
        <v>18</v>
      </c>
      <c r="U12" s="665">
        <f t="shared" si="1"/>
        <v>100</v>
      </c>
      <c r="V12" s="664" t="s">
        <v>18</v>
      </c>
      <c r="W12" s="665">
        <f t="shared" si="2"/>
        <v>100</v>
      </c>
      <c r="X12" s="666"/>
      <c r="Y12" s="347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12"/>
      <c r="Q13" s="530">
        <f t="shared" si="6"/>
        <v>111</v>
      </c>
      <c r="R13" s="664" t="s">
        <v>18</v>
      </c>
      <c r="S13" s="665">
        <f t="shared" si="0"/>
        <v>100</v>
      </c>
      <c r="T13" s="664" t="s">
        <v>18</v>
      </c>
      <c r="U13" s="665">
        <f t="shared" si="1"/>
        <v>100</v>
      </c>
      <c r="V13" s="664" t="s">
        <v>18</v>
      </c>
      <c r="W13" s="665">
        <f t="shared" si="2"/>
        <v>100</v>
      </c>
      <c r="X13" s="666"/>
      <c r="Y13" s="347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12"/>
      <c r="Q14" s="530">
        <f t="shared" si="6"/>
        <v>111</v>
      </c>
      <c r="R14" s="664" t="s">
        <v>18</v>
      </c>
      <c r="S14" s="665">
        <f t="shared" si="0"/>
        <v>100</v>
      </c>
      <c r="T14" s="664" t="s">
        <v>18</v>
      </c>
      <c r="U14" s="665">
        <f t="shared" si="1"/>
        <v>100</v>
      </c>
      <c r="V14" s="664" t="s">
        <v>18</v>
      </c>
      <c r="W14" s="665">
        <f t="shared" si="2"/>
        <v>100</v>
      </c>
      <c r="X14" s="666"/>
      <c r="Y14" s="3476"/>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10" t="s">
        <v>1689</v>
      </c>
      <c r="Q15" s="1263" t="str">
        <f t="shared" si="6"/>
        <v>居住社区成熟度</v>
      </c>
      <c r="R15" s="667" t="s">
        <v>18</v>
      </c>
      <c r="S15" s="668">
        <f t="shared" si="0"/>
        <v>100</v>
      </c>
      <c r="T15" s="667" t="s">
        <v>18</v>
      </c>
      <c r="U15" s="668">
        <f t="shared" si="1"/>
        <v>100</v>
      </c>
      <c r="V15" s="667" t="s">
        <v>18</v>
      </c>
      <c r="W15" s="668">
        <f t="shared" si="2"/>
        <v>100</v>
      </c>
      <c r="X15" s="1265"/>
      <c r="Y15" s="3603"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11"/>
      <c r="Q16" s="1263"/>
      <c r="R16" s="667"/>
      <c r="S16" s="668"/>
      <c r="T16" s="667"/>
      <c r="U16" s="668"/>
      <c r="V16" s="667"/>
      <c r="W16" s="668"/>
      <c r="X16" s="1265"/>
      <c r="Y16" s="3604"/>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11"/>
      <c r="Q17" s="1263" t="str">
        <f>B17</f>
        <v>交通便捷度</v>
      </c>
      <c r="R17" s="667" t="s">
        <v>18</v>
      </c>
      <c r="S17" s="668">
        <f>F17</f>
        <v>100</v>
      </c>
      <c r="T17" s="667" t="s">
        <v>18</v>
      </c>
      <c r="U17" s="668">
        <f>H17</f>
        <v>100</v>
      </c>
      <c r="V17" s="667" t="s">
        <v>18</v>
      </c>
      <c r="W17" s="668">
        <f>J17</f>
        <v>100</v>
      </c>
      <c r="X17" s="1265"/>
      <c r="Y17" s="360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11"/>
      <c r="Q18" s="1263"/>
      <c r="R18" s="667"/>
      <c r="S18" s="668"/>
      <c r="T18" s="667"/>
      <c r="U18" s="668"/>
      <c r="V18" s="667"/>
      <c r="W18" s="668"/>
      <c r="X18" s="1265"/>
      <c r="Y18" s="3604"/>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11"/>
      <c r="Q19" s="1263" t="str">
        <f>B19</f>
        <v>公共配套设施</v>
      </c>
      <c r="R19" s="667" t="s">
        <v>18</v>
      </c>
      <c r="S19" s="668">
        <f>F19</f>
        <v>100</v>
      </c>
      <c r="T19" s="667" t="s">
        <v>18</v>
      </c>
      <c r="U19" s="668">
        <f>H19</f>
        <v>100</v>
      </c>
      <c r="V19" s="667" t="s">
        <v>18</v>
      </c>
      <c r="W19" s="668">
        <f>J19</f>
        <v>100</v>
      </c>
      <c r="X19" s="1265"/>
      <c r="Y19" s="360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11"/>
      <c r="Q20" s="1263"/>
      <c r="R20" s="667"/>
      <c r="S20" s="668"/>
      <c r="T20" s="667"/>
      <c r="U20" s="668"/>
      <c r="V20" s="667"/>
      <c r="W20" s="668"/>
      <c r="X20" s="1265"/>
      <c r="Y20" s="3604"/>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11"/>
      <c r="Q21" s="1263" t="str">
        <f>B21</f>
        <v>基础设施水平</v>
      </c>
      <c r="R21" s="667" t="s">
        <v>14</v>
      </c>
      <c r="S21" s="668">
        <f>F21</f>
        <v>100</v>
      </c>
      <c r="T21" s="667" t="s">
        <v>14</v>
      </c>
      <c r="U21" s="668">
        <f>H21</f>
        <v>100</v>
      </c>
      <c r="V21" s="667" t="s">
        <v>14</v>
      </c>
      <c r="W21" s="668">
        <f>J21</f>
        <v>100</v>
      </c>
      <c r="X21" s="1265"/>
      <c r="Y21" s="36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11"/>
      <c r="Q22" s="1263"/>
      <c r="R22" s="667"/>
      <c r="S22" s="668"/>
      <c r="T22" s="667"/>
      <c r="U22" s="668"/>
      <c r="V22" s="667"/>
      <c r="W22" s="668"/>
      <c r="X22" s="1265"/>
      <c r="Y22" s="3604"/>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11"/>
      <c r="Q23" s="1263" t="str">
        <f>B23</f>
        <v>自然及人文环境</v>
      </c>
      <c r="R23" s="667" t="s">
        <v>18</v>
      </c>
      <c r="S23" s="668">
        <f>F23</f>
        <v>100</v>
      </c>
      <c r="T23" s="667" t="s">
        <v>18</v>
      </c>
      <c r="U23" s="668">
        <f>H23</f>
        <v>100</v>
      </c>
      <c r="V23" s="667" t="s">
        <v>18</v>
      </c>
      <c r="W23" s="668">
        <f>J23</f>
        <v>100</v>
      </c>
      <c r="X23" s="1265"/>
      <c r="Y23" s="360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11"/>
      <c r="Q24" s="1263"/>
      <c r="R24" s="667"/>
      <c r="S24" s="668"/>
      <c r="T24" s="667"/>
      <c r="U24" s="668"/>
      <c r="V24" s="667"/>
      <c r="W24" s="668"/>
      <c r="X24" s="1265"/>
      <c r="Y24" s="3604"/>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1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604"/>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11"/>
      <c r="Q26" s="1263" t="str">
        <f t="shared" si="11"/>
        <v>朝向</v>
      </c>
      <c r="R26" s="667" t="s">
        <v>18</v>
      </c>
      <c r="S26" s="668">
        <f t="shared" si="12"/>
        <v>100</v>
      </c>
      <c r="T26" s="667" t="s">
        <v>18</v>
      </c>
      <c r="U26" s="668">
        <f t="shared" si="13"/>
        <v>100</v>
      </c>
      <c r="V26" s="667" t="s">
        <v>18</v>
      </c>
      <c r="W26" s="668">
        <f t="shared" si="14"/>
        <v>100</v>
      </c>
      <c r="X26" s="1265"/>
      <c r="Y26" s="360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11"/>
      <c r="Q27" s="530">
        <f t="shared" si="11"/>
        <v>111</v>
      </c>
      <c r="R27" s="664" t="s">
        <v>18</v>
      </c>
      <c r="S27" s="665">
        <f t="shared" si="12"/>
        <v>100</v>
      </c>
      <c r="T27" s="664" t="s">
        <v>18</v>
      </c>
      <c r="U27" s="665">
        <f t="shared" si="13"/>
        <v>100</v>
      </c>
      <c r="V27" s="664" t="s">
        <v>18</v>
      </c>
      <c r="W27" s="665">
        <f t="shared" si="14"/>
        <v>100</v>
      </c>
      <c r="X27" s="666"/>
      <c r="Y27" s="360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11"/>
      <c r="Q28" s="1263">
        <f t="shared" si="11"/>
        <v>111</v>
      </c>
      <c r="R28" s="667" t="s">
        <v>18</v>
      </c>
      <c r="S28" s="668">
        <f t="shared" si="12"/>
        <v>100</v>
      </c>
      <c r="T28" s="667" t="s">
        <v>18</v>
      </c>
      <c r="U28" s="668">
        <f t="shared" si="13"/>
        <v>100</v>
      </c>
      <c r="V28" s="667" t="s">
        <v>18</v>
      </c>
      <c r="W28" s="668">
        <f t="shared" si="14"/>
        <v>100</v>
      </c>
      <c r="X28" s="1265"/>
      <c r="Y28" s="360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11"/>
      <c r="Q29" s="1263">
        <f t="shared" si="11"/>
        <v>111</v>
      </c>
      <c r="R29" s="667" t="s">
        <v>18</v>
      </c>
      <c r="S29" s="668">
        <f t="shared" si="12"/>
        <v>100</v>
      </c>
      <c r="T29" s="667" t="s">
        <v>18</v>
      </c>
      <c r="U29" s="668">
        <f t="shared" si="13"/>
        <v>100</v>
      </c>
      <c r="V29" s="667" t="s">
        <v>18</v>
      </c>
      <c r="W29" s="668">
        <f t="shared" si="14"/>
        <v>100</v>
      </c>
      <c r="X29" s="1265"/>
      <c r="Y29" s="360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11"/>
      <c r="Q30" s="1263">
        <f t="shared" si="11"/>
        <v>111</v>
      </c>
      <c r="R30" s="667" t="s">
        <v>18</v>
      </c>
      <c r="S30" s="668">
        <f t="shared" si="12"/>
        <v>100</v>
      </c>
      <c r="T30" s="667" t="s">
        <v>18</v>
      </c>
      <c r="U30" s="668">
        <f t="shared" si="13"/>
        <v>100</v>
      </c>
      <c r="V30" s="667" t="s">
        <v>18</v>
      </c>
      <c r="W30" s="668">
        <f t="shared" si="14"/>
        <v>100</v>
      </c>
      <c r="X30" s="1265"/>
      <c r="Y30" s="360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11"/>
      <c r="Q31" s="1263">
        <f t="shared" si="11"/>
        <v>111</v>
      </c>
      <c r="R31" s="667" t="s">
        <v>18</v>
      </c>
      <c r="S31" s="668">
        <f t="shared" si="12"/>
        <v>100</v>
      </c>
      <c r="T31" s="667" t="s">
        <v>18</v>
      </c>
      <c r="U31" s="668">
        <f t="shared" si="13"/>
        <v>100</v>
      </c>
      <c r="V31" s="667" t="s">
        <v>18</v>
      </c>
      <c r="W31" s="668">
        <f t="shared" si="14"/>
        <v>100</v>
      </c>
      <c r="X31" s="1265"/>
      <c r="Y31" s="3604"/>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05" t="s">
        <v>1694</v>
      </c>
      <c r="Q32" s="1263" t="str">
        <f t="shared" si="11"/>
        <v>建筑类型</v>
      </c>
      <c r="R32" s="667" t="s">
        <v>18</v>
      </c>
      <c r="S32" s="668">
        <f t="shared" si="12"/>
        <v>100</v>
      </c>
      <c r="T32" s="667" t="s">
        <v>18</v>
      </c>
      <c r="U32" s="668">
        <f t="shared" si="13"/>
        <v>100</v>
      </c>
      <c r="V32" s="667" t="s">
        <v>18</v>
      </c>
      <c r="W32" s="668">
        <f t="shared" si="14"/>
        <v>100</v>
      </c>
      <c r="X32" s="1265"/>
      <c r="Y32" s="3608"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06"/>
      <c r="Q33" s="531" t="str">
        <f t="shared" si="11"/>
        <v>项目建筑规模</v>
      </c>
      <c r="R33" s="669" t="s">
        <v>18</v>
      </c>
      <c r="S33" s="670">
        <f t="shared" si="12"/>
        <v>100</v>
      </c>
      <c r="T33" s="669" t="s">
        <v>18</v>
      </c>
      <c r="U33" s="670">
        <f t="shared" si="13"/>
        <v>100</v>
      </c>
      <c r="V33" s="669" t="s">
        <v>18</v>
      </c>
      <c r="W33" s="670">
        <f t="shared" si="14"/>
        <v>100</v>
      </c>
      <c r="X33" s="671"/>
      <c r="Y33" s="3608"/>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06"/>
      <c r="Q34" s="1263" t="str">
        <f t="shared" si="11"/>
        <v>建筑结构</v>
      </c>
      <c r="R34" s="667" t="s">
        <v>18</v>
      </c>
      <c r="S34" s="668">
        <f t="shared" si="12"/>
        <v>100</v>
      </c>
      <c r="T34" s="667" t="s">
        <v>18</v>
      </c>
      <c r="U34" s="668">
        <f t="shared" si="13"/>
        <v>100</v>
      </c>
      <c r="V34" s="667" t="s">
        <v>18</v>
      </c>
      <c r="W34" s="668">
        <f t="shared" si="14"/>
        <v>100</v>
      </c>
      <c r="X34" s="1265"/>
      <c r="Y34" s="3608"/>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06"/>
      <c r="Q35" s="1263" t="str">
        <f t="shared" si="11"/>
        <v>建筑品质</v>
      </c>
      <c r="R35" s="667" t="s">
        <v>18</v>
      </c>
      <c r="S35" s="668">
        <f t="shared" si="12"/>
        <v>100</v>
      </c>
      <c r="T35" s="667" t="s">
        <v>18</v>
      </c>
      <c r="U35" s="668">
        <f t="shared" si="13"/>
        <v>100</v>
      </c>
      <c r="V35" s="667" t="s">
        <v>18</v>
      </c>
      <c r="W35" s="668">
        <f t="shared" si="14"/>
        <v>100</v>
      </c>
      <c r="X35" s="1265"/>
      <c r="Y35" s="3608"/>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06"/>
      <c r="Q36" s="1263" t="str">
        <f t="shared" si="11"/>
        <v>公共部分装修</v>
      </c>
      <c r="R36" s="667" t="s">
        <v>18</v>
      </c>
      <c r="S36" s="668">
        <f t="shared" si="12"/>
        <v>100</v>
      </c>
      <c r="T36" s="667" t="s">
        <v>18</v>
      </c>
      <c r="U36" s="668">
        <f t="shared" si="13"/>
        <v>100</v>
      </c>
      <c r="V36" s="667" t="s">
        <v>18</v>
      </c>
      <c r="W36" s="668">
        <f t="shared" si="14"/>
        <v>100</v>
      </c>
      <c r="X36" s="1265"/>
      <c r="Y36" s="3608"/>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06"/>
      <c r="Q37" s="530" t="str">
        <f t="shared" si="11"/>
        <v>成新度</v>
      </c>
      <c r="R37" s="664" t="s">
        <v>18</v>
      </c>
      <c r="S37" s="665" t="e">
        <f t="shared" si="12"/>
        <v>#N/A</v>
      </c>
      <c r="T37" s="664" t="s">
        <v>18</v>
      </c>
      <c r="U37" s="665" t="e">
        <f t="shared" si="13"/>
        <v>#N/A</v>
      </c>
      <c r="V37" s="664" t="s">
        <v>18</v>
      </c>
      <c r="W37" s="665" t="e">
        <f t="shared" si="14"/>
        <v>#N/A</v>
      </c>
      <c r="X37" s="666"/>
      <c r="Y37" s="3608"/>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06" t="s">
        <v>1694</v>
      </c>
      <c r="Q38" s="1263" t="str">
        <f t="shared" si="11"/>
        <v>物业管理</v>
      </c>
      <c r="R38" s="667" t="s">
        <v>18</v>
      </c>
      <c r="S38" s="668">
        <f t="shared" si="12"/>
        <v>100</v>
      </c>
      <c r="T38" s="667" t="s">
        <v>18</v>
      </c>
      <c r="U38" s="668">
        <f t="shared" si="13"/>
        <v>100</v>
      </c>
      <c r="V38" s="667" t="s">
        <v>18</v>
      </c>
      <c r="W38" s="668">
        <f t="shared" si="14"/>
        <v>100</v>
      </c>
      <c r="X38" s="1265"/>
      <c r="Y38" s="3608"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06"/>
      <c r="Q39" s="1263" t="str">
        <f t="shared" si="11"/>
        <v>市政基础设施</v>
      </c>
      <c r="R39" s="667" t="s">
        <v>18</v>
      </c>
      <c r="S39" s="668">
        <f t="shared" si="12"/>
        <v>100</v>
      </c>
      <c r="T39" s="667" t="s">
        <v>18</v>
      </c>
      <c r="U39" s="668">
        <f t="shared" si="13"/>
        <v>100</v>
      </c>
      <c r="V39" s="667" t="s">
        <v>18</v>
      </c>
      <c r="W39" s="668">
        <f t="shared" si="14"/>
        <v>100</v>
      </c>
      <c r="X39" s="1265"/>
      <c r="Y39" s="3608"/>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06"/>
      <c r="Q40" s="1263" t="str">
        <f t="shared" si="11"/>
        <v>房型</v>
      </c>
      <c r="R40" s="667" t="s">
        <v>18</v>
      </c>
      <c r="S40" s="668">
        <f t="shared" si="12"/>
        <v>100</v>
      </c>
      <c r="T40" s="667" t="s">
        <v>18</v>
      </c>
      <c r="U40" s="668">
        <f t="shared" si="13"/>
        <v>100</v>
      </c>
      <c r="V40" s="667" t="s">
        <v>18</v>
      </c>
      <c r="W40" s="668">
        <f t="shared" si="14"/>
        <v>100</v>
      </c>
      <c r="X40" s="1265"/>
      <c r="Y40" s="3608"/>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06"/>
      <c r="Q41" s="531" t="str">
        <f t="shared" si="11"/>
        <v>单套/主力户型建筑面积</v>
      </c>
      <c r="R41" s="669" t="s">
        <v>18</v>
      </c>
      <c r="S41" s="670">
        <f t="shared" si="12"/>
        <v>100</v>
      </c>
      <c r="T41" s="669" t="s">
        <v>18</v>
      </c>
      <c r="U41" s="670">
        <f t="shared" si="13"/>
        <v>100</v>
      </c>
      <c r="V41" s="669" t="s">
        <v>18</v>
      </c>
      <c r="W41" s="670">
        <f t="shared" si="14"/>
        <v>100</v>
      </c>
      <c r="X41" s="671"/>
      <c r="Y41" s="3608"/>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06"/>
      <c r="Q42" s="1263" t="str">
        <f t="shared" si="11"/>
        <v>内部装修</v>
      </c>
      <c r="R42" s="667" t="s">
        <v>18</v>
      </c>
      <c r="S42" s="668">
        <f t="shared" si="12"/>
        <v>100</v>
      </c>
      <c r="T42" s="667" t="s">
        <v>18</v>
      </c>
      <c r="U42" s="668">
        <f t="shared" si="13"/>
        <v>100</v>
      </c>
      <c r="V42" s="667" t="s">
        <v>18</v>
      </c>
      <c r="W42" s="668">
        <f t="shared" si="14"/>
        <v>100</v>
      </c>
      <c r="X42" s="1265"/>
      <c r="Y42" s="3608"/>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06"/>
      <c r="Q43" s="1263" t="str">
        <f t="shared" si="11"/>
        <v>内部装修维护情况</v>
      </c>
      <c r="R43" s="667" t="s">
        <v>18</v>
      </c>
      <c r="S43" s="668">
        <f t="shared" si="12"/>
        <v>100</v>
      </c>
      <c r="T43" s="667" t="s">
        <v>18</v>
      </c>
      <c r="U43" s="668">
        <f t="shared" si="13"/>
        <v>100</v>
      </c>
      <c r="V43" s="667" t="s">
        <v>18</v>
      </c>
      <c r="W43" s="668">
        <f t="shared" si="14"/>
        <v>100</v>
      </c>
      <c r="X43" s="1265"/>
      <c r="Y43" s="360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06"/>
      <c r="Q44" s="530">
        <f t="shared" si="11"/>
        <v>111</v>
      </c>
      <c r="R44" s="664" t="s">
        <v>18</v>
      </c>
      <c r="S44" s="665">
        <f t="shared" si="12"/>
        <v>100</v>
      </c>
      <c r="T44" s="664" t="s">
        <v>18</v>
      </c>
      <c r="U44" s="665">
        <f t="shared" si="13"/>
        <v>100</v>
      </c>
      <c r="V44" s="664" t="s">
        <v>18</v>
      </c>
      <c r="W44" s="665">
        <f t="shared" si="14"/>
        <v>100</v>
      </c>
      <c r="X44" s="666"/>
      <c r="Y44" s="360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06"/>
      <c r="Q45" s="1263">
        <f t="shared" si="11"/>
        <v>111</v>
      </c>
      <c r="R45" s="667" t="s">
        <v>18</v>
      </c>
      <c r="S45" s="668">
        <f t="shared" si="12"/>
        <v>100</v>
      </c>
      <c r="T45" s="667" t="s">
        <v>18</v>
      </c>
      <c r="U45" s="668">
        <f t="shared" si="13"/>
        <v>100</v>
      </c>
      <c r="V45" s="667" t="s">
        <v>18</v>
      </c>
      <c r="W45" s="668">
        <f t="shared" si="14"/>
        <v>100</v>
      </c>
      <c r="X45" s="1265"/>
      <c r="Y45" s="360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07"/>
      <c r="Q46" s="1263">
        <f t="shared" si="11"/>
        <v>111</v>
      </c>
      <c r="R46" s="667" t="s">
        <v>17</v>
      </c>
      <c r="S46" s="668">
        <f t="shared" si="12"/>
        <v>100</v>
      </c>
      <c r="T46" s="667" t="s">
        <v>17</v>
      </c>
      <c r="U46" s="668">
        <f t="shared" si="13"/>
        <v>100</v>
      </c>
      <c r="V46" s="667" t="s">
        <v>17</v>
      </c>
      <c r="W46" s="668">
        <f t="shared" si="14"/>
        <v>100</v>
      </c>
      <c r="X46" s="1265"/>
      <c r="Y46" s="3609"/>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601" t="str">
        <f>A47</f>
        <v>成交单价（元/平方米）</v>
      </c>
      <c r="Q47" s="3601"/>
      <c r="R47" s="3602">
        <f>E47</f>
        <v>0</v>
      </c>
      <c r="S47" s="3602"/>
      <c r="T47" s="3602">
        <f>G47</f>
        <v>0</v>
      </c>
      <c r="U47" s="3602"/>
      <c r="V47" s="3602">
        <f>I47</f>
        <v>0</v>
      </c>
      <c r="W47" s="3602"/>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601" t="str">
        <f>A48</f>
        <v>比较价值（元/平方米）</v>
      </c>
      <c r="Q48" s="3601"/>
      <c r="R48" s="3602" t="e">
        <f>IF(F1="售价",ROUND(PRODUCT(R47,AA7:AA46),0),ROUND(PRODUCT(R47,AA7:AA46),1))</f>
        <v>#DIV/0!</v>
      </c>
      <c r="S48" s="3602"/>
      <c r="T48" s="3602" t="e">
        <f>IF(F1="售价",ROUND(PRODUCT(T47,AB7:AB46),0),ROUND(PRODUCT(T47,AB7:AB46),1))</f>
        <v>#DIV/0!</v>
      </c>
      <c r="U48" s="3602"/>
      <c r="V48" s="3602" t="e">
        <f>IF(F1="售价",ROUND(PRODUCT(V47,AC7:AC46),0),ROUND(PRODUCT(V47,AC7:AC46),1))</f>
        <v>#DIV/0!</v>
      </c>
      <c r="W48" s="3602"/>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598" t="str">
        <f>A49</f>
        <v>估价对象XX用房的比较价值（楼面单价，元/平方米）</v>
      </c>
      <c r="Q49" s="3599"/>
      <c r="R49" s="3600" t="e">
        <f>IF(F1="售价",ROUND(IF(D48="简单平均",AVERAGE(R48:V48),R48*F48+T48*H48+V48*J48),0),ROUND(IF(D48="简单平均",AVERAGE(R48:V48),R48*F48+T48*H48+V48*J48),1))</f>
        <v>#DIV/0!</v>
      </c>
      <c r="S49" s="3600"/>
      <c r="T49" s="3600"/>
      <c r="U49" s="3600"/>
      <c r="V49" s="3600"/>
      <c r="W49" s="360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447.47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6" t="s">
        <v>1768</v>
      </c>
      <c r="D4" s="3617"/>
      <c r="E4" s="3618" t="s">
        <v>1769</v>
      </c>
      <c r="F4" s="3619"/>
      <c r="G4" s="3616" t="s">
        <v>1770</v>
      </c>
      <c r="H4" s="3617"/>
      <c r="I4" s="3616" t="s">
        <v>1771</v>
      </c>
      <c r="J4" s="3617"/>
      <c r="K4" s="537" t="s">
        <v>1772</v>
      </c>
      <c r="L4" s="2487"/>
      <c r="M4" s="2488"/>
      <c r="N4" s="2488"/>
      <c r="O4" s="2488"/>
      <c r="P4" s="3620" t="s">
        <v>1773</v>
      </c>
      <c r="Q4" s="3621"/>
      <c r="R4" s="3626" t="s">
        <v>1769</v>
      </c>
      <c r="S4" s="3627"/>
      <c r="T4" s="3626" t="s">
        <v>1770</v>
      </c>
      <c r="U4" s="3627"/>
      <c r="V4" s="3602" t="s">
        <v>1771</v>
      </c>
      <c r="W4" s="3602"/>
      <c r="X4" s="1265"/>
      <c r="Y4" s="3626" t="s">
        <v>1773</v>
      </c>
      <c r="Z4" s="3627"/>
      <c r="AA4" s="3613" t="s">
        <v>1769</v>
      </c>
      <c r="AB4" s="3602" t="s">
        <v>1770</v>
      </c>
      <c r="AC4" s="3613" t="s">
        <v>1771</v>
      </c>
    </row>
    <row r="5" spans="1:29" ht="15">
      <c r="A5" s="348"/>
      <c r="B5" s="349"/>
      <c r="C5" s="3634" t="s">
        <v>1671</v>
      </c>
      <c r="D5" s="3635"/>
      <c r="E5" s="3641" t="s">
        <v>1672</v>
      </c>
      <c r="F5" s="3642"/>
      <c r="G5" s="3634" t="s">
        <v>1673</v>
      </c>
      <c r="H5" s="3635"/>
      <c r="I5" s="3634" t="s">
        <v>1674</v>
      </c>
      <c r="J5" s="3635"/>
      <c r="K5" s="537"/>
      <c r="L5" s="2487"/>
      <c r="M5" s="2488"/>
      <c r="N5" s="2488"/>
      <c r="O5" s="2488"/>
      <c r="P5" s="3622"/>
      <c r="Q5" s="3623"/>
      <c r="R5" s="3628"/>
      <c r="S5" s="3629"/>
      <c r="T5" s="3628"/>
      <c r="U5" s="3629"/>
      <c r="V5" s="3602"/>
      <c r="W5" s="3602"/>
      <c r="X5" s="1265"/>
      <c r="Y5" s="3628"/>
      <c r="Z5" s="3629"/>
      <c r="AA5" s="3614"/>
      <c r="AB5" s="3602"/>
      <c r="AC5" s="3614"/>
    </row>
    <row r="6" spans="1:29" ht="15.75" thickBot="1">
      <c r="A6" s="350"/>
      <c r="B6" s="351"/>
      <c r="C6" s="3632" t="s">
        <v>1675</v>
      </c>
      <c r="D6" s="3633"/>
      <c r="E6" s="3639" t="s">
        <v>1675</v>
      </c>
      <c r="F6" s="3640"/>
      <c r="G6" s="3632" t="s">
        <v>1675</v>
      </c>
      <c r="H6" s="3633"/>
      <c r="I6" s="3632" t="s">
        <v>1675</v>
      </c>
      <c r="J6" s="3633"/>
      <c r="K6" s="537" t="s">
        <v>1676</v>
      </c>
      <c r="L6" s="2487"/>
      <c r="M6" s="2488"/>
      <c r="N6" s="2488"/>
      <c r="O6" s="2488"/>
      <c r="P6" s="3624"/>
      <c r="Q6" s="3625"/>
      <c r="R6" s="3628"/>
      <c r="S6" s="3629"/>
      <c r="T6" s="3630"/>
      <c r="U6" s="3631"/>
      <c r="V6" s="3602"/>
      <c r="W6" s="3602"/>
      <c r="X6" s="1265"/>
      <c r="Y6" s="3630"/>
      <c r="Z6" s="3631"/>
      <c r="AA6" s="3615"/>
      <c r="AB6" s="3602"/>
      <c r="AC6" s="3615"/>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636" t="s">
        <v>1678</v>
      </c>
      <c r="Q7" s="3638"/>
      <c r="R7" s="664" t="s">
        <v>14</v>
      </c>
      <c r="S7" s="665">
        <f t="shared" ref="S7:S15" si="0">F7</f>
        <v>0</v>
      </c>
      <c r="T7" s="664" t="s">
        <v>14</v>
      </c>
      <c r="U7" s="665">
        <f t="shared" ref="U7:U15" si="1">H7</f>
        <v>0</v>
      </c>
      <c r="V7" s="664" t="s">
        <v>14</v>
      </c>
      <c r="W7" s="665">
        <f t="shared" ref="W7:W15" si="2">J7</f>
        <v>0</v>
      </c>
      <c r="X7" s="666"/>
      <c r="Y7" s="3636" t="s">
        <v>1678</v>
      </c>
      <c r="Z7" s="3637"/>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636" t="s">
        <v>1681</v>
      </c>
      <c r="Q8" s="3637"/>
      <c r="R8" s="664" t="s">
        <v>14</v>
      </c>
      <c r="S8" s="665">
        <f t="shared" si="0"/>
        <v>100</v>
      </c>
      <c r="T8" s="664" t="s">
        <v>14</v>
      </c>
      <c r="U8" s="665">
        <f t="shared" si="1"/>
        <v>100</v>
      </c>
      <c r="V8" s="664" t="s">
        <v>14</v>
      </c>
      <c r="W8" s="665">
        <f t="shared" si="2"/>
        <v>100</v>
      </c>
      <c r="X8" s="666"/>
      <c r="Y8" s="3636" t="s">
        <v>1681</v>
      </c>
      <c r="Z8" s="3637"/>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12" t="s">
        <v>1684</v>
      </c>
      <c r="Q9" s="530" t="str">
        <f t="shared" ref="Q9:Q15" si="6">B9</f>
        <v>用途</v>
      </c>
      <c r="R9" s="664" t="s">
        <v>14</v>
      </c>
      <c r="S9" s="665">
        <f t="shared" si="0"/>
        <v>100</v>
      </c>
      <c r="T9" s="664" t="s">
        <v>14</v>
      </c>
      <c r="U9" s="665">
        <f t="shared" si="1"/>
        <v>100</v>
      </c>
      <c r="V9" s="664" t="s">
        <v>14</v>
      </c>
      <c r="W9" s="665">
        <f t="shared" si="2"/>
        <v>100</v>
      </c>
      <c r="X9" s="666"/>
      <c r="Y9" s="3476"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12"/>
      <c r="Q10" s="530" t="str">
        <f t="shared" si="6"/>
        <v>土地使用年限（年）</v>
      </c>
      <c r="R10" s="664" t="s">
        <v>14</v>
      </c>
      <c r="S10" s="665">
        <f t="shared" si="0"/>
        <v>100</v>
      </c>
      <c r="T10" s="664" t="s">
        <v>14</v>
      </c>
      <c r="U10" s="665">
        <f t="shared" si="1"/>
        <v>100</v>
      </c>
      <c r="V10" s="664" t="s">
        <v>14</v>
      </c>
      <c r="W10" s="665">
        <f t="shared" si="2"/>
        <v>100</v>
      </c>
      <c r="X10" s="666"/>
      <c r="Y10" s="3476"/>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12"/>
      <c r="Q11" s="530" t="str">
        <f t="shared" si="6"/>
        <v>容积率</v>
      </c>
      <c r="R11" s="664" t="s">
        <v>14</v>
      </c>
      <c r="S11" s="665" t="e">
        <f t="shared" si="0"/>
        <v>#N/A</v>
      </c>
      <c r="T11" s="664" t="s">
        <v>14</v>
      </c>
      <c r="U11" s="665" t="e">
        <f t="shared" si="1"/>
        <v>#N/A</v>
      </c>
      <c r="V11" s="664" t="s">
        <v>14</v>
      </c>
      <c r="W11" s="665" t="e">
        <f t="shared" si="2"/>
        <v>#N/A</v>
      </c>
      <c r="X11" s="666"/>
      <c r="Y11" s="347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12"/>
      <c r="Q12" s="530">
        <f t="shared" si="6"/>
        <v>111</v>
      </c>
      <c r="R12" s="664" t="s">
        <v>14</v>
      </c>
      <c r="S12" s="665">
        <f t="shared" si="0"/>
        <v>100</v>
      </c>
      <c r="T12" s="664" t="s">
        <v>14</v>
      </c>
      <c r="U12" s="665">
        <f t="shared" si="1"/>
        <v>100</v>
      </c>
      <c r="V12" s="664" t="s">
        <v>14</v>
      </c>
      <c r="W12" s="665">
        <f t="shared" si="2"/>
        <v>100</v>
      </c>
      <c r="X12" s="666"/>
      <c r="Y12" s="347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12"/>
      <c r="Q13" s="530">
        <f t="shared" si="6"/>
        <v>111</v>
      </c>
      <c r="R13" s="664" t="s">
        <v>14</v>
      </c>
      <c r="S13" s="665">
        <f t="shared" si="0"/>
        <v>100</v>
      </c>
      <c r="T13" s="664" t="s">
        <v>14</v>
      </c>
      <c r="U13" s="665">
        <f t="shared" si="1"/>
        <v>100</v>
      </c>
      <c r="V13" s="664" t="s">
        <v>14</v>
      </c>
      <c r="W13" s="665">
        <f t="shared" si="2"/>
        <v>100</v>
      </c>
      <c r="X13" s="666"/>
      <c r="Y13" s="347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12"/>
      <c r="Q14" s="530">
        <f t="shared" si="6"/>
        <v>111</v>
      </c>
      <c r="R14" s="664" t="s">
        <v>14</v>
      </c>
      <c r="S14" s="665">
        <f t="shared" si="0"/>
        <v>100</v>
      </c>
      <c r="T14" s="664" t="s">
        <v>14</v>
      </c>
      <c r="U14" s="665">
        <f t="shared" si="1"/>
        <v>100</v>
      </c>
      <c r="V14" s="664" t="s">
        <v>14</v>
      </c>
      <c r="W14" s="665">
        <f t="shared" si="2"/>
        <v>100</v>
      </c>
      <c r="X14" s="666"/>
      <c r="Y14" s="3476"/>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10" t="s">
        <v>1689</v>
      </c>
      <c r="Q15" s="1263" t="str">
        <f t="shared" si="6"/>
        <v>商业繁华度</v>
      </c>
      <c r="R15" s="667" t="s">
        <v>14</v>
      </c>
      <c r="S15" s="668">
        <f t="shared" si="0"/>
        <v>100</v>
      </c>
      <c r="T15" s="667" t="s">
        <v>14</v>
      </c>
      <c r="U15" s="668">
        <f t="shared" si="1"/>
        <v>100</v>
      </c>
      <c r="V15" s="667" t="s">
        <v>14</v>
      </c>
      <c r="W15" s="668">
        <f t="shared" si="2"/>
        <v>100</v>
      </c>
      <c r="X15" s="1265"/>
      <c r="Y15" s="3603"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11"/>
      <c r="Q16" s="1263"/>
      <c r="R16" s="667"/>
      <c r="S16" s="668"/>
      <c r="T16" s="667"/>
      <c r="U16" s="668"/>
      <c r="V16" s="667"/>
      <c r="W16" s="668"/>
      <c r="X16" s="1265"/>
      <c r="Y16" s="3604"/>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11"/>
      <c r="Q17" s="1263" t="str">
        <f>B17</f>
        <v>交通便捷度</v>
      </c>
      <c r="R17" s="667" t="s">
        <v>14</v>
      </c>
      <c r="S17" s="668">
        <f>F17</f>
        <v>100</v>
      </c>
      <c r="T17" s="667" t="s">
        <v>14</v>
      </c>
      <c r="U17" s="668">
        <f>H17</f>
        <v>100</v>
      </c>
      <c r="V17" s="667" t="s">
        <v>14</v>
      </c>
      <c r="W17" s="668">
        <f>J17</f>
        <v>100</v>
      </c>
      <c r="X17" s="1265"/>
      <c r="Y17" s="36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11"/>
      <c r="Q18" s="1263"/>
      <c r="R18" s="667"/>
      <c r="S18" s="668"/>
      <c r="T18" s="667"/>
      <c r="U18" s="668"/>
      <c r="V18" s="667"/>
      <c r="W18" s="668"/>
      <c r="X18" s="1265"/>
      <c r="Y18" s="3604"/>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11"/>
      <c r="Q19" s="1263" t="str">
        <f>B19</f>
        <v>公共配套设施</v>
      </c>
      <c r="R19" s="667" t="s">
        <v>14</v>
      </c>
      <c r="S19" s="668">
        <f>F19</f>
        <v>100</v>
      </c>
      <c r="T19" s="667" t="s">
        <v>14</v>
      </c>
      <c r="U19" s="668">
        <f>H19</f>
        <v>100</v>
      </c>
      <c r="V19" s="667" t="s">
        <v>14</v>
      </c>
      <c r="W19" s="668">
        <f>J19</f>
        <v>100</v>
      </c>
      <c r="X19" s="1265"/>
      <c r="Y19" s="36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11"/>
      <c r="Q20" s="1263"/>
      <c r="R20" s="667"/>
      <c r="S20" s="668"/>
      <c r="T20" s="667"/>
      <c r="U20" s="668"/>
      <c r="V20" s="667"/>
      <c r="W20" s="668"/>
      <c r="X20" s="1265"/>
      <c r="Y20" s="3604"/>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11"/>
      <c r="Q21" s="1263" t="str">
        <f>B21</f>
        <v>基础设施水平</v>
      </c>
      <c r="R21" s="667" t="s">
        <v>14</v>
      </c>
      <c r="S21" s="668">
        <f>F21</f>
        <v>100</v>
      </c>
      <c r="T21" s="667" t="s">
        <v>14</v>
      </c>
      <c r="U21" s="668">
        <f>H21</f>
        <v>100</v>
      </c>
      <c r="V21" s="667" t="s">
        <v>14</v>
      </c>
      <c r="W21" s="668">
        <f>J21</f>
        <v>100</v>
      </c>
      <c r="X21" s="1265"/>
      <c r="Y21" s="36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11"/>
      <c r="Q22" s="1263"/>
      <c r="R22" s="667"/>
      <c r="S22" s="668"/>
      <c r="T22" s="667"/>
      <c r="U22" s="668"/>
      <c r="V22" s="667"/>
      <c r="W22" s="668"/>
      <c r="X22" s="1265"/>
      <c r="Y22" s="3604"/>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11"/>
      <c r="Q23" s="1263" t="str">
        <f>B23</f>
        <v>自然及人文环境</v>
      </c>
      <c r="R23" s="667" t="s">
        <v>14</v>
      </c>
      <c r="S23" s="668">
        <f>F23</f>
        <v>100</v>
      </c>
      <c r="T23" s="667" t="s">
        <v>14</v>
      </c>
      <c r="U23" s="668">
        <f>H23</f>
        <v>100</v>
      </c>
      <c r="V23" s="667" t="s">
        <v>14</v>
      </c>
      <c r="W23" s="668">
        <f>J23</f>
        <v>100</v>
      </c>
      <c r="X23" s="1265"/>
      <c r="Y23" s="360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11"/>
      <c r="Q24" s="1263"/>
      <c r="R24" s="667"/>
      <c r="S24" s="668"/>
      <c r="T24" s="667"/>
      <c r="U24" s="668"/>
      <c r="V24" s="667"/>
      <c r="W24" s="668"/>
      <c r="X24" s="1265"/>
      <c r="Y24" s="3604"/>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11"/>
      <c r="Q25" s="1263" t="str">
        <f t="shared" ref="Q25:Q46" si="11">B25</f>
        <v>临街状况</v>
      </c>
      <c r="R25" s="667" t="s">
        <v>14</v>
      </c>
      <c r="S25" s="668">
        <f>F25</f>
        <v>100</v>
      </c>
      <c r="T25" s="667" t="s">
        <v>14</v>
      </c>
      <c r="U25" s="668">
        <f>H25</f>
        <v>100</v>
      </c>
      <c r="V25" s="667" t="s">
        <v>14</v>
      </c>
      <c r="W25" s="668">
        <f>J25</f>
        <v>100</v>
      </c>
      <c r="X25" s="1265"/>
      <c r="Y25" s="3604"/>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11"/>
      <c r="Q26" s="1263" t="str">
        <f t="shared" si="11"/>
        <v>平面位置/可视性</v>
      </c>
      <c r="R26" s="667" t="s">
        <v>14</v>
      </c>
      <c r="S26" s="668">
        <f>F26</f>
        <v>100</v>
      </c>
      <c r="T26" s="667" t="s">
        <v>14</v>
      </c>
      <c r="U26" s="668">
        <f>H26</f>
        <v>100</v>
      </c>
      <c r="V26" s="667" t="s">
        <v>14</v>
      </c>
      <c r="W26" s="668">
        <f>J26</f>
        <v>100</v>
      </c>
      <c r="X26" s="1265"/>
      <c r="Y26" s="3604"/>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11"/>
      <c r="Q27" s="530" t="str">
        <f t="shared" si="11"/>
        <v>人流量</v>
      </c>
      <c r="R27" s="664" t="s">
        <v>14</v>
      </c>
      <c r="S27" s="665">
        <f>F27</f>
        <v>100</v>
      </c>
      <c r="T27" s="664" t="s">
        <v>14</v>
      </c>
      <c r="U27" s="665">
        <f>H27</f>
        <v>100</v>
      </c>
      <c r="V27" s="664" t="s">
        <v>14</v>
      </c>
      <c r="W27" s="665">
        <f>J27</f>
        <v>100</v>
      </c>
      <c r="X27" s="666"/>
      <c r="Y27" s="3604"/>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1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60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11"/>
      <c r="Q29" s="1263">
        <f t="shared" si="11"/>
        <v>111</v>
      </c>
      <c r="R29" s="667" t="s">
        <v>14</v>
      </c>
      <c r="S29" s="668">
        <f t="shared" si="12"/>
        <v>100</v>
      </c>
      <c r="T29" s="667" t="s">
        <v>14</v>
      </c>
      <c r="U29" s="668">
        <f t="shared" si="13"/>
        <v>100</v>
      </c>
      <c r="V29" s="667" t="s">
        <v>14</v>
      </c>
      <c r="W29" s="668">
        <f t="shared" si="14"/>
        <v>100</v>
      </c>
      <c r="X29" s="1265"/>
      <c r="Y29" s="360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11"/>
      <c r="Q30" s="1263">
        <f t="shared" si="11"/>
        <v>111</v>
      </c>
      <c r="R30" s="667" t="s">
        <v>14</v>
      </c>
      <c r="S30" s="668">
        <f t="shared" si="12"/>
        <v>100</v>
      </c>
      <c r="T30" s="667" t="s">
        <v>14</v>
      </c>
      <c r="U30" s="668">
        <f t="shared" si="13"/>
        <v>100</v>
      </c>
      <c r="V30" s="667" t="s">
        <v>14</v>
      </c>
      <c r="W30" s="668">
        <f t="shared" si="14"/>
        <v>100</v>
      </c>
      <c r="X30" s="1265"/>
      <c r="Y30" s="360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11"/>
      <c r="Q31" s="1263">
        <f t="shared" si="11"/>
        <v>111</v>
      </c>
      <c r="R31" s="667" t="s">
        <v>14</v>
      </c>
      <c r="S31" s="668">
        <f t="shared" si="12"/>
        <v>100</v>
      </c>
      <c r="T31" s="667" t="s">
        <v>14</v>
      </c>
      <c r="U31" s="668">
        <f t="shared" si="13"/>
        <v>100</v>
      </c>
      <c r="V31" s="667" t="s">
        <v>14</v>
      </c>
      <c r="W31" s="668">
        <f t="shared" si="14"/>
        <v>100</v>
      </c>
      <c r="X31" s="1265"/>
      <c r="Y31" s="3604"/>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05" t="s">
        <v>1694</v>
      </c>
      <c r="Q32" s="1263" t="str">
        <f t="shared" si="11"/>
        <v>商业类型</v>
      </c>
      <c r="R32" s="667" t="s">
        <v>14</v>
      </c>
      <c r="S32" s="668">
        <f t="shared" si="12"/>
        <v>100</v>
      </c>
      <c r="T32" s="667" t="s">
        <v>14</v>
      </c>
      <c r="U32" s="668">
        <f t="shared" si="13"/>
        <v>100</v>
      </c>
      <c r="V32" s="667" t="s">
        <v>14</v>
      </c>
      <c r="W32" s="668">
        <f t="shared" si="14"/>
        <v>100</v>
      </c>
      <c r="X32" s="1265"/>
      <c r="Y32" s="3608"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06"/>
      <c r="Q33" s="531" t="str">
        <f t="shared" si="11"/>
        <v>项目建筑规模</v>
      </c>
      <c r="R33" s="669" t="s">
        <v>14</v>
      </c>
      <c r="S33" s="670" t="e">
        <f t="shared" si="12"/>
        <v>#N/A</v>
      </c>
      <c r="T33" s="669" t="s">
        <v>14</v>
      </c>
      <c r="U33" s="670" t="e">
        <f t="shared" si="13"/>
        <v>#N/A</v>
      </c>
      <c r="V33" s="669" t="s">
        <v>14</v>
      </c>
      <c r="W33" s="670" t="e">
        <f t="shared" si="14"/>
        <v>#N/A</v>
      </c>
      <c r="X33" s="671"/>
      <c r="Y33" s="3608"/>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06"/>
      <c r="Q34" s="1263" t="str">
        <f t="shared" si="11"/>
        <v>建筑结构</v>
      </c>
      <c r="R34" s="667" t="s">
        <v>14</v>
      </c>
      <c r="S34" s="668">
        <f t="shared" si="12"/>
        <v>100</v>
      </c>
      <c r="T34" s="667" t="s">
        <v>14</v>
      </c>
      <c r="U34" s="668">
        <f t="shared" si="13"/>
        <v>100</v>
      </c>
      <c r="V34" s="667" t="s">
        <v>14</v>
      </c>
      <c r="W34" s="668">
        <f t="shared" si="14"/>
        <v>100</v>
      </c>
      <c r="X34" s="1265"/>
      <c r="Y34" s="3608"/>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06"/>
      <c r="Q35" s="1263" t="str">
        <f t="shared" si="11"/>
        <v>公共部分装修</v>
      </c>
      <c r="R35" s="667" t="s">
        <v>14</v>
      </c>
      <c r="S35" s="668">
        <f t="shared" si="12"/>
        <v>100</v>
      </c>
      <c r="T35" s="667" t="s">
        <v>14</v>
      </c>
      <c r="U35" s="668">
        <f t="shared" si="13"/>
        <v>100</v>
      </c>
      <c r="V35" s="667" t="s">
        <v>14</v>
      </c>
      <c r="W35" s="668">
        <f t="shared" si="14"/>
        <v>100</v>
      </c>
      <c r="X35" s="1265"/>
      <c r="Y35" s="3608"/>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06"/>
      <c r="Q36" s="1263" t="str">
        <f t="shared" si="11"/>
        <v>成新度</v>
      </c>
      <c r="R36" s="667" t="s">
        <v>14</v>
      </c>
      <c r="S36" s="668" t="e">
        <f t="shared" si="12"/>
        <v>#N/A</v>
      </c>
      <c r="T36" s="667" t="s">
        <v>14</v>
      </c>
      <c r="U36" s="668" t="e">
        <f t="shared" si="13"/>
        <v>#N/A</v>
      </c>
      <c r="V36" s="667" t="s">
        <v>14</v>
      </c>
      <c r="W36" s="668" t="e">
        <f t="shared" si="14"/>
        <v>#N/A</v>
      </c>
      <c r="X36" s="1265"/>
      <c r="Y36" s="3608"/>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06"/>
      <c r="Q37" s="530" t="str">
        <f t="shared" si="11"/>
        <v>市政基础设施</v>
      </c>
      <c r="R37" s="664" t="s">
        <v>14</v>
      </c>
      <c r="S37" s="665">
        <f t="shared" si="12"/>
        <v>100</v>
      </c>
      <c r="T37" s="664" t="s">
        <v>14</v>
      </c>
      <c r="U37" s="665">
        <f t="shared" si="13"/>
        <v>100</v>
      </c>
      <c r="V37" s="664" t="s">
        <v>14</v>
      </c>
      <c r="W37" s="665">
        <f t="shared" si="14"/>
        <v>100</v>
      </c>
      <c r="X37" s="666"/>
      <c r="Y37" s="3608"/>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06" t="s">
        <v>1694</v>
      </c>
      <c r="Q38" s="1263" t="str">
        <f t="shared" si="11"/>
        <v>业态</v>
      </c>
      <c r="R38" s="667" t="s">
        <v>14</v>
      </c>
      <c r="S38" s="668">
        <f t="shared" si="12"/>
        <v>100</v>
      </c>
      <c r="T38" s="667" t="s">
        <v>14</v>
      </c>
      <c r="U38" s="668">
        <f t="shared" si="13"/>
        <v>100</v>
      </c>
      <c r="V38" s="667" t="s">
        <v>14</v>
      </c>
      <c r="W38" s="668">
        <f t="shared" si="14"/>
        <v>100</v>
      </c>
      <c r="X38" s="1265"/>
      <c r="Y38" s="3608"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06"/>
      <c r="Q39" s="1263" t="str">
        <f t="shared" si="11"/>
        <v>层高</v>
      </c>
      <c r="R39" s="667" t="s">
        <v>14</v>
      </c>
      <c r="S39" s="668">
        <f t="shared" si="12"/>
        <v>100</v>
      </c>
      <c r="T39" s="667" t="s">
        <v>14</v>
      </c>
      <c r="U39" s="668">
        <f t="shared" si="13"/>
        <v>100</v>
      </c>
      <c r="V39" s="667" t="s">
        <v>14</v>
      </c>
      <c r="W39" s="668">
        <f t="shared" si="14"/>
        <v>100</v>
      </c>
      <c r="X39" s="1265"/>
      <c r="Y39" s="3608"/>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06"/>
      <c r="Q40" s="1263" t="str">
        <f t="shared" si="11"/>
        <v>单套建筑面积</v>
      </c>
      <c r="R40" s="667" t="s">
        <v>14</v>
      </c>
      <c r="S40" s="668">
        <f t="shared" si="12"/>
        <v>100</v>
      </c>
      <c r="T40" s="667" t="s">
        <v>14</v>
      </c>
      <c r="U40" s="668">
        <f t="shared" si="13"/>
        <v>100</v>
      </c>
      <c r="V40" s="667" t="s">
        <v>14</v>
      </c>
      <c r="W40" s="668">
        <f t="shared" si="14"/>
        <v>100</v>
      </c>
      <c r="X40" s="1265"/>
      <c r="Y40" s="3608"/>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06"/>
      <c r="Q41" s="531" t="str">
        <f t="shared" si="11"/>
        <v>进深比</v>
      </c>
      <c r="R41" s="669" t="s">
        <v>14</v>
      </c>
      <c r="S41" s="670">
        <f t="shared" si="12"/>
        <v>100</v>
      </c>
      <c r="T41" s="669" t="s">
        <v>14</v>
      </c>
      <c r="U41" s="670">
        <f t="shared" si="13"/>
        <v>100</v>
      </c>
      <c r="V41" s="669" t="s">
        <v>14</v>
      </c>
      <c r="W41" s="670">
        <f t="shared" si="14"/>
        <v>100</v>
      </c>
      <c r="X41" s="671"/>
      <c r="Y41" s="3608"/>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06"/>
      <c r="Q42" s="1263" t="str">
        <f t="shared" si="11"/>
        <v>内部装修</v>
      </c>
      <c r="R42" s="667" t="s">
        <v>14</v>
      </c>
      <c r="S42" s="668">
        <f t="shared" si="12"/>
        <v>100</v>
      </c>
      <c r="T42" s="667" t="s">
        <v>14</v>
      </c>
      <c r="U42" s="668">
        <f t="shared" si="13"/>
        <v>100</v>
      </c>
      <c r="V42" s="667" t="s">
        <v>14</v>
      </c>
      <c r="W42" s="668">
        <f t="shared" si="14"/>
        <v>100</v>
      </c>
      <c r="X42" s="1265"/>
      <c r="Y42" s="3608"/>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06"/>
      <c r="Q43" s="1263" t="str">
        <f t="shared" si="11"/>
        <v>内部装修维护情况</v>
      </c>
      <c r="R43" s="667" t="s">
        <v>14</v>
      </c>
      <c r="S43" s="668">
        <f t="shared" si="12"/>
        <v>100</v>
      </c>
      <c r="T43" s="667" t="s">
        <v>14</v>
      </c>
      <c r="U43" s="668">
        <f t="shared" si="13"/>
        <v>100</v>
      </c>
      <c r="V43" s="667" t="s">
        <v>14</v>
      </c>
      <c r="W43" s="668">
        <f t="shared" si="14"/>
        <v>100</v>
      </c>
      <c r="X43" s="1265"/>
      <c r="Y43" s="360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06"/>
      <c r="Q44" s="530">
        <f t="shared" si="11"/>
        <v>111</v>
      </c>
      <c r="R44" s="664" t="s">
        <v>14</v>
      </c>
      <c r="S44" s="665">
        <f t="shared" si="12"/>
        <v>100</v>
      </c>
      <c r="T44" s="664" t="s">
        <v>14</v>
      </c>
      <c r="U44" s="665">
        <f t="shared" si="13"/>
        <v>100</v>
      </c>
      <c r="V44" s="664" t="s">
        <v>14</v>
      </c>
      <c r="W44" s="665">
        <f t="shared" si="14"/>
        <v>100</v>
      </c>
      <c r="X44" s="666"/>
      <c r="Y44" s="360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06"/>
      <c r="Q45" s="1263">
        <f t="shared" si="11"/>
        <v>111</v>
      </c>
      <c r="R45" s="667" t="s">
        <v>14</v>
      </c>
      <c r="S45" s="668">
        <f t="shared" si="12"/>
        <v>100</v>
      </c>
      <c r="T45" s="667" t="s">
        <v>14</v>
      </c>
      <c r="U45" s="668">
        <f t="shared" si="13"/>
        <v>100</v>
      </c>
      <c r="V45" s="667" t="s">
        <v>14</v>
      </c>
      <c r="W45" s="668">
        <f t="shared" si="14"/>
        <v>100</v>
      </c>
      <c r="X45" s="1265"/>
      <c r="Y45" s="360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07"/>
      <c r="Q46" s="1263">
        <f t="shared" si="11"/>
        <v>111</v>
      </c>
      <c r="R46" s="667" t="s">
        <v>14</v>
      </c>
      <c r="S46" s="668">
        <f t="shared" si="12"/>
        <v>100</v>
      </c>
      <c r="T46" s="667" t="s">
        <v>14</v>
      </c>
      <c r="U46" s="668">
        <f t="shared" si="13"/>
        <v>100</v>
      </c>
      <c r="V46" s="667" t="s">
        <v>14</v>
      </c>
      <c r="W46" s="668">
        <f t="shared" si="14"/>
        <v>100</v>
      </c>
      <c r="X46" s="1265"/>
      <c r="Y46" s="3609"/>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601" t="str">
        <f>A47</f>
        <v>成交单价（元/平方米）</v>
      </c>
      <c r="Q47" s="3601"/>
      <c r="R47" s="3602">
        <f>E47</f>
        <v>0</v>
      </c>
      <c r="S47" s="3602"/>
      <c r="T47" s="3602">
        <f>G47</f>
        <v>0</v>
      </c>
      <c r="U47" s="3602"/>
      <c r="V47" s="3602">
        <f>I47</f>
        <v>0</v>
      </c>
      <c r="W47" s="3602"/>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601" t="str">
        <f>A48</f>
        <v>比较价值（元/平方米）</v>
      </c>
      <c r="Q48" s="3601"/>
      <c r="R48" s="3602" t="e">
        <f>IF(F1="售价",ROUND(PRODUCT(R47,AA7:AA46),0),ROUND(PRODUCT(R47,AA7:AA46),1))</f>
        <v>#DIV/0!</v>
      </c>
      <c r="S48" s="3602"/>
      <c r="T48" s="3602" t="e">
        <f>IF(F1="售价",ROUND(PRODUCT(T47,AB7:AB46),0),ROUND(PRODUCT(T47,AB7:AB46),1))</f>
        <v>#DIV/0!</v>
      </c>
      <c r="U48" s="3602"/>
      <c r="V48" s="3602" t="e">
        <f>IF(F1="售价",ROUND(PRODUCT(V47,AC7:AC46),0),ROUND(PRODUCT(V47,AC7:AC46),1))</f>
        <v>#DIV/0!</v>
      </c>
      <c r="W48" s="3602"/>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598" t="str">
        <f>A49</f>
        <v>估价对象XX用房的比较价值（楼面单价，元/平方米）</v>
      </c>
      <c r="Q49" s="3599"/>
      <c r="R49" s="3600" t="e">
        <f>IF(F1="售价",ROUND(IF(D48="简单平均",AVERAGE(R48:V48),R48*F48+T48*H48+V48*J48),0),ROUND(IF(D48="简单平均",AVERAGE(R48:V48),R48*F48+T48*H48+V48*J48),1))</f>
        <v>#DIV/0!</v>
      </c>
      <c r="S49" s="3600"/>
      <c r="T49" s="3600"/>
      <c r="U49" s="3600"/>
      <c r="V49" s="3600"/>
      <c r="W49" s="360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cfRule type="containsText" dxfId="109" priority="17" stopIfTrue="1" operator="containsText" text="超过">
      <formula>NOT(ISERROR(SEARCH("超过",F52)))</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G54">
    <cfRule type="expression" dxfId="106" priority="13"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conditionalFormatting sqref="J52:J54">
    <cfRule type="containsText" dxfId="100"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447.47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6" t="s">
        <v>1768</v>
      </c>
      <c r="D4" s="3617"/>
      <c r="E4" s="3618" t="s">
        <v>1769</v>
      </c>
      <c r="F4" s="3619"/>
      <c r="G4" s="3616" t="s">
        <v>1770</v>
      </c>
      <c r="H4" s="3617"/>
      <c r="I4" s="3616" t="s">
        <v>1771</v>
      </c>
      <c r="J4" s="3617"/>
      <c r="K4" s="537" t="s">
        <v>1772</v>
      </c>
      <c r="L4" s="2487"/>
      <c r="M4" s="2488"/>
      <c r="N4" s="2488"/>
      <c r="O4" s="2488"/>
      <c r="P4" s="3649" t="s">
        <v>1773</v>
      </c>
      <c r="Q4" s="3650"/>
      <c r="R4" s="3653" t="s">
        <v>1769</v>
      </c>
      <c r="S4" s="3654"/>
      <c r="T4" s="3653" t="s">
        <v>1770</v>
      </c>
      <c r="U4" s="3654"/>
      <c r="V4" s="3655" t="s">
        <v>1771</v>
      </c>
      <c r="W4" s="3655"/>
      <c r="X4" s="1809"/>
      <c r="Y4" s="3653" t="s">
        <v>1773</v>
      </c>
      <c r="Z4" s="3654"/>
      <c r="AA4" s="3657" t="s">
        <v>1769</v>
      </c>
      <c r="AB4" s="3657" t="s">
        <v>1770</v>
      </c>
      <c r="AC4" s="3646" t="s">
        <v>1771</v>
      </c>
    </row>
    <row r="5" spans="1:29" ht="15">
      <c r="A5" s="348"/>
      <c r="B5" s="349"/>
      <c r="C5" s="3634" t="s">
        <v>1671</v>
      </c>
      <c r="D5" s="3635"/>
      <c r="E5" s="3641" t="s">
        <v>1672</v>
      </c>
      <c r="F5" s="3642"/>
      <c r="G5" s="3634" t="s">
        <v>1673</v>
      </c>
      <c r="H5" s="3635"/>
      <c r="I5" s="3634" t="s">
        <v>1674</v>
      </c>
      <c r="J5" s="3635"/>
      <c r="K5" s="537"/>
      <c r="L5" s="2487"/>
      <c r="M5" s="2488"/>
      <c r="N5" s="2488"/>
      <c r="O5" s="2488"/>
      <c r="P5" s="3651"/>
      <c r="Q5" s="3623"/>
      <c r="R5" s="3628"/>
      <c r="S5" s="3629"/>
      <c r="T5" s="3628"/>
      <c r="U5" s="3629"/>
      <c r="V5" s="3602"/>
      <c r="W5" s="3602"/>
      <c r="X5" s="1265"/>
      <c r="Y5" s="3628"/>
      <c r="Z5" s="3629"/>
      <c r="AA5" s="3614"/>
      <c r="AB5" s="3614"/>
      <c r="AC5" s="3647"/>
    </row>
    <row r="6" spans="1:29" ht="15.75" thickBot="1">
      <c r="A6" s="350"/>
      <c r="B6" s="351"/>
      <c r="C6" s="3632" t="s">
        <v>1675</v>
      </c>
      <c r="D6" s="3633"/>
      <c r="E6" s="3639" t="s">
        <v>1675</v>
      </c>
      <c r="F6" s="3640"/>
      <c r="G6" s="3632" t="s">
        <v>1675</v>
      </c>
      <c r="H6" s="3633"/>
      <c r="I6" s="3632" t="s">
        <v>1675</v>
      </c>
      <c r="J6" s="3633"/>
      <c r="K6" s="537" t="s">
        <v>1676</v>
      </c>
      <c r="L6" s="2487"/>
      <c r="M6" s="2488"/>
      <c r="N6" s="2488"/>
      <c r="O6" s="2488"/>
      <c r="P6" s="3652"/>
      <c r="Q6" s="3625"/>
      <c r="R6" s="3628"/>
      <c r="S6" s="3629"/>
      <c r="T6" s="3630"/>
      <c r="U6" s="3631"/>
      <c r="V6" s="3602"/>
      <c r="W6" s="3602"/>
      <c r="X6" s="1265"/>
      <c r="Y6" s="3630"/>
      <c r="Z6" s="3631"/>
      <c r="AA6" s="3615"/>
      <c r="AB6" s="3615"/>
      <c r="AC6" s="3648"/>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6" t="s">
        <v>1678</v>
      </c>
      <c r="Q7" s="3638"/>
      <c r="R7" s="664" t="s">
        <v>14</v>
      </c>
      <c r="S7" s="665">
        <f t="shared" ref="S7:S15" si="0">F7</f>
        <v>0</v>
      </c>
      <c r="T7" s="664" t="s">
        <v>14</v>
      </c>
      <c r="U7" s="665">
        <f t="shared" ref="U7:U15" si="1">H7</f>
        <v>0</v>
      </c>
      <c r="V7" s="664" t="s">
        <v>14</v>
      </c>
      <c r="W7" s="665">
        <f t="shared" ref="W7:W15" si="2">J7</f>
        <v>0</v>
      </c>
      <c r="X7" s="666"/>
      <c r="Y7" s="3636" t="s">
        <v>1678</v>
      </c>
      <c r="Z7" s="3637"/>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6" t="s">
        <v>1681</v>
      </c>
      <c r="Q8" s="3637"/>
      <c r="R8" s="664" t="s">
        <v>14</v>
      </c>
      <c r="S8" s="665">
        <f t="shared" si="0"/>
        <v>100</v>
      </c>
      <c r="T8" s="664" t="s">
        <v>14</v>
      </c>
      <c r="U8" s="665">
        <f t="shared" si="1"/>
        <v>100</v>
      </c>
      <c r="V8" s="664" t="s">
        <v>14</v>
      </c>
      <c r="W8" s="665">
        <f t="shared" si="2"/>
        <v>100</v>
      </c>
      <c r="X8" s="666"/>
      <c r="Y8" s="3636" t="s">
        <v>1681</v>
      </c>
      <c r="Z8" s="3637"/>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12" t="s">
        <v>1684</v>
      </c>
      <c r="Q9" s="530" t="str">
        <f t="shared" ref="Q9:Q15" si="6">B9</f>
        <v>用途</v>
      </c>
      <c r="R9" s="664" t="s">
        <v>14</v>
      </c>
      <c r="S9" s="665">
        <f t="shared" si="0"/>
        <v>100</v>
      </c>
      <c r="T9" s="664" t="s">
        <v>14</v>
      </c>
      <c r="U9" s="665">
        <f t="shared" si="1"/>
        <v>100</v>
      </c>
      <c r="V9" s="664" t="s">
        <v>14</v>
      </c>
      <c r="W9" s="665">
        <f t="shared" si="2"/>
        <v>100</v>
      </c>
      <c r="X9" s="666"/>
      <c r="Y9" s="3476"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12"/>
      <c r="Q10" s="530" t="str">
        <f t="shared" si="6"/>
        <v>土地使用年限（年）</v>
      </c>
      <c r="R10" s="664" t="s">
        <v>14</v>
      </c>
      <c r="S10" s="665">
        <f t="shared" si="0"/>
        <v>100</v>
      </c>
      <c r="T10" s="664" t="s">
        <v>14</v>
      </c>
      <c r="U10" s="665">
        <f t="shared" si="1"/>
        <v>100</v>
      </c>
      <c r="V10" s="664" t="s">
        <v>14</v>
      </c>
      <c r="W10" s="665">
        <f t="shared" si="2"/>
        <v>100</v>
      </c>
      <c r="X10" s="666"/>
      <c r="Y10" s="3476"/>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12"/>
      <c r="Q11" s="530" t="str">
        <f t="shared" si="6"/>
        <v>容积率</v>
      </c>
      <c r="R11" s="664" t="s">
        <v>14</v>
      </c>
      <c r="S11" s="665">
        <f t="shared" si="0"/>
        <v>100</v>
      </c>
      <c r="T11" s="664" t="s">
        <v>14</v>
      </c>
      <c r="U11" s="665">
        <f t="shared" si="1"/>
        <v>100</v>
      </c>
      <c r="V11" s="664" t="s">
        <v>14</v>
      </c>
      <c r="W11" s="665">
        <f t="shared" si="2"/>
        <v>100</v>
      </c>
      <c r="X11" s="666"/>
      <c r="Y11" s="347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12"/>
      <c r="Q12" s="530">
        <f t="shared" si="6"/>
        <v>111</v>
      </c>
      <c r="R12" s="664" t="s">
        <v>14</v>
      </c>
      <c r="S12" s="665">
        <f t="shared" si="0"/>
        <v>100</v>
      </c>
      <c r="T12" s="664" t="s">
        <v>14</v>
      </c>
      <c r="U12" s="665">
        <f t="shared" si="1"/>
        <v>100</v>
      </c>
      <c r="V12" s="664" t="s">
        <v>14</v>
      </c>
      <c r="W12" s="665">
        <f t="shared" si="2"/>
        <v>100</v>
      </c>
      <c r="X12" s="666"/>
      <c r="Y12" s="347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12"/>
      <c r="Q13" s="530">
        <f t="shared" si="6"/>
        <v>111</v>
      </c>
      <c r="R13" s="664" t="s">
        <v>14</v>
      </c>
      <c r="S13" s="665">
        <f t="shared" si="0"/>
        <v>100</v>
      </c>
      <c r="T13" s="664" t="s">
        <v>14</v>
      </c>
      <c r="U13" s="665">
        <f t="shared" si="1"/>
        <v>100</v>
      </c>
      <c r="V13" s="664" t="s">
        <v>14</v>
      </c>
      <c r="W13" s="665">
        <f t="shared" si="2"/>
        <v>100</v>
      </c>
      <c r="X13" s="666"/>
      <c r="Y13" s="347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12"/>
      <c r="Q14" s="530">
        <f t="shared" si="6"/>
        <v>111</v>
      </c>
      <c r="R14" s="664" t="s">
        <v>14</v>
      </c>
      <c r="S14" s="665">
        <f t="shared" si="0"/>
        <v>100</v>
      </c>
      <c r="T14" s="664" t="s">
        <v>14</v>
      </c>
      <c r="U14" s="665">
        <f t="shared" si="1"/>
        <v>100</v>
      </c>
      <c r="V14" s="664" t="s">
        <v>14</v>
      </c>
      <c r="W14" s="665">
        <f t="shared" si="2"/>
        <v>100</v>
      </c>
      <c r="X14" s="666"/>
      <c r="Y14" s="3476"/>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10" t="s">
        <v>1689</v>
      </c>
      <c r="Q15" s="1263" t="str">
        <f t="shared" si="6"/>
        <v>办公集聚程度</v>
      </c>
      <c r="R15" s="667" t="s">
        <v>14</v>
      </c>
      <c r="S15" s="668">
        <f t="shared" si="0"/>
        <v>100</v>
      </c>
      <c r="T15" s="667" t="s">
        <v>14</v>
      </c>
      <c r="U15" s="668">
        <f t="shared" si="1"/>
        <v>100</v>
      </c>
      <c r="V15" s="667" t="s">
        <v>14</v>
      </c>
      <c r="W15" s="668">
        <f t="shared" si="2"/>
        <v>100</v>
      </c>
      <c r="X15" s="1265"/>
      <c r="Y15" s="3603"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11"/>
      <c r="Q16" s="1263"/>
      <c r="R16" s="667"/>
      <c r="S16" s="668"/>
      <c r="T16" s="667"/>
      <c r="U16" s="668"/>
      <c r="V16" s="667"/>
      <c r="W16" s="668"/>
      <c r="X16" s="1265"/>
      <c r="Y16" s="3604"/>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11"/>
      <c r="Q17" s="1263" t="str">
        <f>B17</f>
        <v>交通便捷度</v>
      </c>
      <c r="R17" s="667" t="s">
        <v>14</v>
      </c>
      <c r="S17" s="668">
        <f>F17</f>
        <v>100</v>
      </c>
      <c r="T17" s="667" t="s">
        <v>14</v>
      </c>
      <c r="U17" s="668">
        <f>H17</f>
        <v>100</v>
      </c>
      <c r="V17" s="667" t="s">
        <v>14</v>
      </c>
      <c r="W17" s="668">
        <f>J17</f>
        <v>100</v>
      </c>
      <c r="X17" s="1265"/>
      <c r="Y17" s="360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11"/>
      <c r="Q18" s="1263"/>
      <c r="R18" s="667"/>
      <c r="S18" s="668"/>
      <c r="T18" s="667"/>
      <c r="U18" s="668"/>
      <c r="V18" s="667"/>
      <c r="W18" s="668"/>
      <c r="X18" s="1265"/>
      <c r="Y18" s="3604"/>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11"/>
      <c r="Q19" s="1263" t="str">
        <f>B19</f>
        <v>公共配套设施</v>
      </c>
      <c r="R19" s="667" t="s">
        <v>14</v>
      </c>
      <c r="S19" s="668">
        <f>F19</f>
        <v>100</v>
      </c>
      <c r="T19" s="667" t="s">
        <v>14</v>
      </c>
      <c r="U19" s="668">
        <f>H19</f>
        <v>100</v>
      </c>
      <c r="V19" s="667" t="s">
        <v>14</v>
      </c>
      <c r="W19" s="668">
        <f>J19</f>
        <v>100</v>
      </c>
      <c r="X19" s="1265"/>
      <c r="Y19" s="360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11"/>
      <c r="Q20" s="1263"/>
      <c r="R20" s="667"/>
      <c r="S20" s="668"/>
      <c r="T20" s="667"/>
      <c r="U20" s="668"/>
      <c r="V20" s="667"/>
      <c r="W20" s="668"/>
      <c r="X20" s="1265"/>
      <c r="Y20" s="3604"/>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11"/>
      <c r="Q21" s="1263" t="str">
        <f>B21</f>
        <v>基础设施水平</v>
      </c>
      <c r="R21" s="667" t="s">
        <v>14</v>
      </c>
      <c r="S21" s="668">
        <f>F21</f>
        <v>100</v>
      </c>
      <c r="T21" s="667" t="s">
        <v>14</v>
      </c>
      <c r="U21" s="668">
        <f>H21</f>
        <v>100</v>
      </c>
      <c r="V21" s="667" t="s">
        <v>14</v>
      </c>
      <c r="W21" s="668">
        <f>J21</f>
        <v>100</v>
      </c>
      <c r="X21" s="1265"/>
      <c r="Y21" s="360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11"/>
      <c r="Q22" s="1263"/>
      <c r="R22" s="667"/>
      <c r="S22" s="668"/>
      <c r="T22" s="667"/>
      <c r="U22" s="668"/>
      <c r="V22" s="667"/>
      <c r="W22" s="668"/>
      <c r="X22" s="1265"/>
      <c r="Y22" s="3604"/>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11"/>
      <c r="Q23" s="1263" t="str">
        <f>B23</f>
        <v>环境质量</v>
      </c>
      <c r="R23" s="667" t="s">
        <v>14</v>
      </c>
      <c r="S23" s="668">
        <f>F23</f>
        <v>100</v>
      </c>
      <c r="T23" s="667" t="s">
        <v>14</v>
      </c>
      <c r="U23" s="668">
        <f>H23</f>
        <v>100</v>
      </c>
      <c r="V23" s="667" t="s">
        <v>14</v>
      </c>
      <c r="W23" s="668">
        <f>J23</f>
        <v>100</v>
      </c>
      <c r="X23" s="1265"/>
      <c r="Y23" s="360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11"/>
      <c r="Q24" s="1263"/>
      <c r="R24" s="667"/>
      <c r="S24" s="668"/>
      <c r="T24" s="667"/>
      <c r="U24" s="668"/>
      <c r="V24" s="667"/>
      <c r="W24" s="668"/>
      <c r="X24" s="1265"/>
      <c r="Y24" s="3604"/>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11"/>
      <c r="Q25" s="1263" t="str">
        <f>B25</f>
        <v>毗邻道路的类型与等级</v>
      </c>
      <c r="R25" s="667" t="s">
        <v>14</v>
      </c>
      <c r="S25" s="668">
        <f>F25</f>
        <v>100</v>
      </c>
      <c r="T25" s="667" t="s">
        <v>14</v>
      </c>
      <c r="U25" s="668">
        <f>H25</f>
        <v>100</v>
      </c>
      <c r="V25" s="667" t="s">
        <v>14</v>
      </c>
      <c r="W25" s="668">
        <f>J25</f>
        <v>100</v>
      </c>
      <c r="X25" s="1265"/>
      <c r="Y25" s="360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11"/>
      <c r="Q26" s="1263"/>
      <c r="R26" s="667"/>
      <c r="S26" s="668"/>
      <c r="T26" s="667"/>
      <c r="U26" s="668"/>
      <c r="V26" s="667"/>
      <c r="W26" s="668"/>
      <c r="X26" s="1265"/>
      <c r="Y26" s="3604"/>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11"/>
      <c r="Q27" s="1263" t="str">
        <f t="shared" ref="Q27:Q47" si="11">B27</f>
        <v>楼层</v>
      </c>
      <c r="R27" s="667" t="s">
        <v>14</v>
      </c>
      <c r="S27" s="668">
        <f>F27</f>
        <v>100</v>
      </c>
      <c r="T27" s="667" t="s">
        <v>14</v>
      </c>
      <c r="U27" s="668">
        <f>H27</f>
        <v>100</v>
      </c>
      <c r="V27" s="667" t="s">
        <v>14</v>
      </c>
      <c r="W27" s="668">
        <f>J27</f>
        <v>100</v>
      </c>
      <c r="X27" s="1265"/>
      <c r="Y27" s="3604"/>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11"/>
      <c r="Q28" s="530" t="str">
        <f t="shared" si="11"/>
        <v>朝向</v>
      </c>
      <c r="R28" s="664" t="s">
        <v>14</v>
      </c>
      <c r="S28" s="665">
        <f>F28</f>
        <v>100</v>
      </c>
      <c r="T28" s="664" t="s">
        <v>14</v>
      </c>
      <c r="U28" s="665">
        <f>H28</f>
        <v>100</v>
      </c>
      <c r="V28" s="664" t="s">
        <v>14</v>
      </c>
      <c r="W28" s="665">
        <f>J28</f>
        <v>100</v>
      </c>
      <c r="X28" s="666"/>
      <c r="Y28" s="360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11"/>
      <c r="Q29" s="1263">
        <f t="shared" si="11"/>
        <v>111</v>
      </c>
      <c r="R29" s="667" t="s">
        <v>14</v>
      </c>
      <c r="S29" s="668">
        <f t="shared" ref="S29:S47" si="12">F29</f>
        <v>100</v>
      </c>
      <c r="T29" s="667" t="s">
        <v>14</v>
      </c>
      <c r="U29" s="668">
        <f t="shared" ref="U29:U47" si="13">H29</f>
        <v>100</v>
      </c>
      <c r="V29" s="667" t="s">
        <v>14</v>
      </c>
      <c r="W29" s="668">
        <f t="shared" ref="W29:W47" si="14">J29</f>
        <v>100</v>
      </c>
      <c r="X29" s="1265"/>
      <c r="Y29" s="360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11"/>
      <c r="Q30" s="1263">
        <f t="shared" si="11"/>
        <v>111</v>
      </c>
      <c r="R30" s="667" t="s">
        <v>14</v>
      </c>
      <c r="S30" s="668">
        <f t="shared" si="12"/>
        <v>100</v>
      </c>
      <c r="T30" s="667" t="s">
        <v>14</v>
      </c>
      <c r="U30" s="668">
        <f t="shared" si="13"/>
        <v>100</v>
      </c>
      <c r="V30" s="667" t="s">
        <v>14</v>
      </c>
      <c r="W30" s="668">
        <f t="shared" si="14"/>
        <v>100</v>
      </c>
      <c r="X30" s="1265"/>
      <c r="Y30" s="360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11"/>
      <c r="Q31" s="1263">
        <f t="shared" si="11"/>
        <v>111</v>
      </c>
      <c r="R31" s="667" t="s">
        <v>14</v>
      </c>
      <c r="S31" s="668">
        <f t="shared" si="12"/>
        <v>100</v>
      </c>
      <c r="T31" s="667" t="s">
        <v>14</v>
      </c>
      <c r="U31" s="668">
        <f t="shared" si="13"/>
        <v>100</v>
      </c>
      <c r="V31" s="667" t="s">
        <v>14</v>
      </c>
      <c r="W31" s="668">
        <f t="shared" si="14"/>
        <v>100</v>
      </c>
      <c r="X31" s="1265"/>
      <c r="Y31" s="360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11"/>
      <c r="Q32" s="1263">
        <f t="shared" si="11"/>
        <v>111</v>
      </c>
      <c r="R32" s="667" t="s">
        <v>14</v>
      </c>
      <c r="S32" s="668">
        <f t="shared" si="12"/>
        <v>100</v>
      </c>
      <c r="T32" s="667" t="s">
        <v>14</v>
      </c>
      <c r="U32" s="668">
        <f t="shared" si="13"/>
        <v>100</v>
      </c>
      <c r="V32" s="667" t="s">
        <v>14</v>
      </c>
      <c r="W32" s="668">
        <f t="shared" si="14"/>
        <v>100</v>
      </c>
      <c r="X32" s="1265"/>
      <c r="Y32" s="3604"/>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05" t="s">
        <v>1694</v>
      </c>
      <c r="Q33" s="1263" t="str">
        <f t="shared" si="11"/>
        <v>建筑类型</v>
      </c>
      <c r="R33" s="667" t="s">
        <v>14</v>
      </c>
      <c r="S33" s="668">
        <f t="shared" si="12"/>
        <v>100</v>
      </c>
      <c r="T33" s="667" t="s">
        <v>14</v>
      </c>
      <c r="U33" s="668">
        <f t="shared" si="13"/>
        <v>100</v>
      </c>
      <c r="V33" s="667" t="s">
        <v>14</v>
      </c>
      <c r="W33" s="668">
        <f t="shared" si="14"/>
        <v>100</v>
      </c>
      <c r="X33" s="1265"/>
      <c r="Y33" s="3608"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06"/>
      <c r="Q34" s="531" t="str">
        <f t="shared" si="11"/>
        <v>项目建筑规模</v>
      </c>
      <c r="R34" s="669" t="s">
        <v>14</v>
      </c>
      <c r="S34" s="670" t="e">
        <f t="shared" si="12"/>
        <v>#N/A</v>
      </c>
      <c r="T34" s="669" t="s">
        <v>14</v>
      </c>
      <c r="U34" s="670" t="e">
        <f t="shared" si="13"/>
        <v>#N/A</v>
      </c>
      <c r="V34" s="669" t="s">
        <v>14</v>
      </c>
      <c r="W34" s="670" t="e">
        <f t="shared" si="14"/>
        <v>#N/A</v>
      </c>
      <c r="X34" s="671"/>
      <c r="Y34" s="3608"/>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06"/>
      <c r="Q35" s="1263" t="str">
        <f t="shared" si="11"/>
        <v>建筑结构</v>
      </c>
      <c r="R35" s="667" t="s">
        <v>14</v>
      </c>
      <c r="S35" s="668">
        <f t="shared" si="12"/>
        <v>100</v>
      </c>
      <c r="T35" s="667" t="s">
        <v>14</v>
      </c>
      <c r="U35" s="668">
        <f t="shared" si="13"/>
        <v>100</v>
      </c>
      <c r="V35" s="667" t="s">
        <v>14</v>
      </c>
      <c r="W35" s="668">
        <f t="shared" si="14"/>
        <v>100</v>
      </c>
      <c r="X35" s="1265"/>
      <c r="Y35" s="3608"/>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06"/>
      <c r="Q36" s="1263" t="str">
        <f t="shared" si="11"/>
        <v>公共部分装修</v>
      </c>
      <c r="R36" s="667" t="s">
        <v>14</v>
      </c>
      <c r="S36" s="668">
        <f t="shared" si="12"/>
        <v>100</v>
      </c>
      <c r="T36" s="667" t="s">
        <v>14</v>
      </c>
      <c r="U36" s="668">
        <f t="shared" si="13"/>
        <v>100</v>
      </c>
      <c r="V36" s="667" t="s">
        <v>14</v>
      </c>
      <c r="W36" s="668">
        <f t="shared" si="14"/>
        <v>100</v>
      </c>
      <c r="X36" s="1265"/>
      <c r="Y36" s="3608"/>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06"/>
      <c r="Q37" s="1263" t="str">
        <f t="shared" si="11"/>
        <v>成新度</v>
      </c>
      <c r="R37" s="667" t="s">
        <v>14</v>
      </c>
      <c r="S37" s="668" t="e">
        <f t="shared" si="12"/>
        <v>#N/A</v>
      </c>
      <c r="T37" s="667" t="s">
        <v>14</v>
      </c>
      <c r="U37" s="668" t="e">
        <f t="shared" si="13"/>
        <v>#N/A</v>
      </c>
      <c r="V37" s="667" t="s">
        <v>14</v>
      </c>
      <c r="W37" s="668" t="e">
        <f t="shared" si="14"/>
        <v>#N/A</v>
      </c>
      <c r="X37" s="1265"/>
      <c r="Y37" s="3608"/>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06"/>
      <c r="Q38" s="530" t="str">
        <f t="shared" si="11"/>
        <v>写字楼等级</v>
      </c>
      <c r="R38" s="664" t="s">
        <v>14</v>
      </c>
      <c r="S38" s="665">
        <f t="shared" si="12"/>
        <v>100</v>
      </c>
      <c r="T38" s="664" t="s">
        <v>14</v>
      </c>
      <c r="U38" s="665">
        <f t="shared" si="13"/>
        <v>100</v>
      </c>
      <c r="V38" s="664" t="s">
        <v>14</v>
      </c>
      <c r="W38" s="665">
        <f t="shared" si="14"/>
        <v>100</v>
      </c>
      <c r="X38" s="666"/>
      <c r="Y38" s="3608"/>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06" t="s">
        <v>1694</v>
      </c>
      <c r="Q39" s="1263" t="str">
        <f t="shared" si="11"/>
        <v>物业管理</v>
      </c>
      <c r="R39" s="667" t="s">
        <v>14</v>
      </c>
      <c r="S39" s="668">
        <f t="shared" si="12"/>
        <v>100</v>
      </c>
      <c r="T39" s="667" t="s">
        <v>14</v>
      </c>
      <c r="U39" s="668">
        <f t="shared" si="13"/>
        <v>100</v>
      </c>
      <c r="V39" s="667" t="s">
        <v>14</v>
      </c>
      <c r="W39" s="668">
        <f t="shared" si="14"/>
        <v>100</v>
      </c>
      <c r="X39" s="1265"/>
      <c r="Y39" s="3608"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06"/>
      <c r="Q40" s="1263" t="str">
        <f t="shared" si="11"/>
        <v>市政基础设施</v>
      </c>
      <c r="R40" s="667" t="s">
        <v>14</v>
      </c>
      <c r="S40" s="668">
        <f t="shared" si="12"/>
        <v>100</v>
      </c>
      <c r="T40" s="667" t="s">
        <v>14</v>
      </c>
      <c r="U40" s="668">
        <f t="shared" si="13"/>
        <v>100</v>
      </c>
      <c r="V40" s="667" t="s">
        <v>14</v>
      </c>
      <c r="W40" s="668">
        <f t="shared" si="14"/>
        <v>100</v>
      </c>
      <c r="X40" s="1265"/>
      <c r="Y40" s="3608"/>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06"/>
      <c r="Q41" s="1263" t="str">
        <f t="shared" si="11"/>
        <v>层高</v>
      </c>
      <c r="R41" s="667" t="s">
        <v>14</v>
      </c>
      <c r="S41" s="668">
        <f t="shared" si="12"/>
        <v>100</v>
      </c>
      <c r="T41" s="667" t="s">
        <v>14</v>
      </c>
      <c r="U41" s="668">
        <f t="shared" si="13"/>
        <v>100</v>
      </c>
      <c r="V41" s="667" t="s">
        <v>14</v>
      </c>
      <c r="W41" s="668">
        <f t="shared" si="14"/>
        <v>100</v>
      </c>
      <c r="X41" s="1265"/>
      <c r="Y41" s="3608"/>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06"/>
      <c r="Q42" s="531" t="str">
        <f t="shared" si="11"/>
        <v>单套建筑面积</v>
      </c>
      <c r="R42" s="669" t="s">
        <v>14</v>
      </c>
      <c r="S42" s="670">
        <f t="shared" si="12"/>
        <v>100</v>
      </c>
      <c r="T42" s="669" t="s">
        <v>14</v>
      </c>
      <c r="U42" s="670">
        <f t="shared" si="13"/>
        <v>100</v>
      </c>
      <c r="V42" s="669" t="s">
        <v>14</v>
      </c>
      <c r="W42" s="670">
        <f t="shared" si="14"/>
        <v>100</v>
      </c>
      <c r="X42" s="671"/>
      <c r="Y42" s="3608"/>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06"/>
      <c r="Q43" s="1263" t="str">
        <f t="shared" si="11"/>
        <v>内部装修</v>
      </c>
      <c r="R43" s="667" t="s">
        <v>14</v>
      </c>
      <c r="S43" s="668">
        <f t="shared" si="12"/>
        <v>100</v>
      </c>
      <c r="T43" s="667" t="s">
        <v>14</v>
      </c>
      <c r="U43" s="668">
        <f t="shared" si="13"/>
        <v>100</v>
      </c>
      <c r="V43" s="667" t="s">
        <v>14</v>
      </c>
      <c r="W43" s="668">
        <f t="shared" si="14"/>
        <v>100</v>
      </c>
      <c r="X43" s="1265"/>
      <c r="Y43" s="3608"/>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06"/>
      <c r="Q44" s="1263" t="str">
        <f t="shared" si="11"/>
        <v>内部装修维护情况</v>
      </c>
      <c r="R44" s="667" t="s">
        <v>14</v>
      </c>
      <c r="S44" s="668">
        <f t="shared" si="12"/>
        <v>100</v>
      </c>
      <c r="T44" s="667" t="s">
        <v>14</v>
      </c>
      <c r="U44" s="668">
        <f t="shared" si="13"/>
        <v>100</v>
      </c>
      <c r="V44" s="667" t="s">
        <v>14</v>
      </c>
      <c r="W44" s="668">
        <f t="shared" si="14"/>
        <v>100</v>
      </c>
      <c r="X44" s="1265"/>
      <c r="Y44" s="360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06"/>
      <c r="Q45" s="530">
        <f t="shared" si="11"/>
        <v>111</v>
      </c>
      <c r="R45" s="664" t="s">
        <v>14</v>
      </c>
      <c r="S45" s="665">
        <f t="shared" si="12"/>
        <v>100</v>
      </c>
      <c r="T45" s="664" t="s">
        <v>14</v>
      </c>
      <c r="U45" s="665">
        <f t="shared" si="13"/>
        <v>100</v>
      </c>
      <c r="V45" s="664" t="s">
        <v>14</v>
      </c>
      <c r="W45" s="665">
        <f t="shared" si="14"/>
        <v>100</v>
      </c>
      <c r="X45" s="666"/>
      <c r="Y45" s="360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06"/>
      <c r="Q46" s="1263">
        <f t="shared" si="11"/>
        <v>111</v>
      </c>
      <c r="R46" s="667" t="s">
        <v>14</v>
      </c>
      <c r="S46" s="668">
        <f t="shared" si="12"/>
        <v>100</v>
      </c>
      <c r="T46" s="667" t="s">
        <v>14</v>
      </c>
      <c r="U46" s="668">
        <f t="shared" si="13"/>
        <v>100</v>
      </c>
      <c r="V46" s="667" t="s">
        <v>14</v>
      </c>
      <c r="W46" s="668">
        <f t="shared" si="14"/>
        <v>100</v>
      </c>
      <c r="X46" s="1265"/>
      <c r="Y46" s="360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07"/>
      <c r="Q47" s="1263">
        <f t="shared" si="11"/>
        <v>111</v>
      </c>
      <c r="R47" s="667" t="s">
        <v>14</v>
      </c>
      <c r="S47" s="668">
        <f t="shared" si="12"/>
        <v>100</v>
      </c>
      <c r="T47" s="667" t="s">
        <v>14</v>
      </c>
      <c r="U47" s="668">
        <f t="shared" si="13"/>
        <v>100</v>
      </c>
      <c r="V47" s="667" t="s">
        <v>14</v>
      </c>
      <c r="W47" s="668">
        <f t="shared" si="14"/>
        <v>100</v>
      </c>
      <c r="X47" s="1265"/>
      <c r="Y47" s="3609"/>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12" t="str">
        <f>A48</f>
        <v>成交单价（元/平方米）</v>
      </c>
      <c r="Q48" s="3601"/>
      <c r="R48" s="3602">
        <f>E48</f>
        <v>0</v>
      </c>
      <c r="S48" s="3602"/>
      <c r="T48" s="3602">
        <f>G48</f>
        <v>0</v>
      </c>
      <c r="U48" s="3602"/>
      <c r="V48" s="3602">
        <f>I48</f>
        <v>0</v>
      </c>
      <c r="W48" s="3602"/>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12" t="str">
        <f>A49</f>
        <v>比较价值（元/平方米）</v>
      </c>
      <c r="Q49" s="3601"/>
      <c r="R49" s="3602" t="e">
        <f>IF(F1="售价",ROUND(PRODUCT(R48,AA7:AA47),0),ROUND(PRODUCT(R48,AA7:AA47),1))</f>
        <v>#DIV/0!</v>
      </c>
      <c r="S49" s="3602"/>
      <c r="T49" s="3602" t="e">
        <f>IF(F1="售价",ROUND(PRODUCT(T48,AB7:AB47),0),ROUND(PRODUCT(T48,AB7:AB47),1))</f>
        <v>#DIV/0!</v>
      </c>
      <c r="U49" s="3602"/>
      <c r="V49" s="3602" t="e">
        <f>IF(F1="售价",ROUND(PRODUCT(V48,AC7:AC47),0),ROUND(PRODUCT(V48,AC7:AC47),1))</f>
        <v>#DIV/0!</v>
      </c>
      <c r="W49" s="3602"/>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43" t="str">
        <f>A50</f>
        <v>估价对象XX用房的比较价值（楼面单价，元/平方米）</v>
      </c>
      <c r="Q50" s="3644"/>
      <c r="R50" s="3645" t="e">
        <f>IF(F1="售价",ROUND(IF(D49="简单平均",AVERAGE(R49:V49),R49*F49+T49*H49+V49*J49),0),ROUND(IF(D49="简单平均",AVERAGE(R49:V49),R49*F49+T49*H49+V49*J49),1))</f>
        <v>#DIV/0!</v>
      </c>
      <c r="S50" s="3645"/>
      <c r="T50" s="3645"/>
      <c r="U50" s="3645"/>
      <c r="V50" s="3645"/>
      <c r="W50" s="364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F7:F47 H7:H47 J7:J47">
    <cfRule type="cellIs" dxfId="96" priority="1" operator="notEqual">
      <formula>100</formula>
    </cfRule>
  </conditionalFormatting>
  <conditionalFormatting sqref="F49">
    <cfRule type="expression" dxfId="95" priority="4">
      <formula>$D$49="简单平均"</formula>
    </cfRule>
  </conditionalFormatting>
  <conditionalFormatting sqref="F53:F55 H53:H55">
    <cfRule type="containsText" dxfId="94" priority="17" stopIfTrue="1" operator="containsText" text="超过">
      <formula>NOT(ISERROR(SEARCH("超过",F53)))</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G55">
    <cfRule type="expression" dxfId="91" priority="13" stopIfTrue="1">
      <formula>$H$55="超过30%"</formula>
    </cfRule>
  </conditionalFormatting>
  <conditionalFormatting sqref="H49">
    <cfRule type="expression" dxfId="90" priority="3">
      <formula>$D$49="简单平均"</formula>
    </cfRule>
  </conditionalFormatting>
  <conditionalFormatting sqref="I53">
    <cfRule type="expression" dxfId="89" priority="7" stopIfTrue="1">
      <formula>$J$53="超过30%"</formula>
    </cfRule>
  </conditionalFormatting>
  <conditionalFormatting sqref="I54">
    <cfRule type="expression" dxfId="88" priority="6" stopIfTrue="1">
      <formula>$J$53+$J$54="超过20%"</formula>
    </cfRule>
  </conditionalFormatting>
  <conditionalFormatting sqref="I55">
    <cfRule type="expression" dxfId="87" priority="5" stopIfTrue="1">
      <formula>$J$55="超过30%"</formula>
    </cfRule>
  </conditionalFormatting>
  <conditionalFormatting sqref="J49">
    <cfRule type="expression" dxfId="86" priority="2">
      <formula>$D$49="简单平均"</formula>
    </cfRule>
  </conditionalFormatting>
  <conditionalFormatting sqref="J53:J55">
    <cfRule type="containsText" dxfId="85"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447.47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6" t="s">
        <v>1768</v>
      </c>
      <c r="D4" s="3617"/>
      <c r="E4" s="3618" t="s">
        <v>1769</v>
      </c>
      <c r="F4" s="3619"/>
      <c r="G4" s="3616" t="s">
        <v>1770</v>
      </c>
      <c r="H4" s="3617"/>
      <c r="I4" s="3616" t="s">
        <v>1771</v>
      </c>
      <c r="J4" s="3617"/>
      <c r="K4" s="537" t="s">
        <v>1772</v>
      </c>
      <c r="L4" s="860"/>
      <c r="M4" s="861"/>
      <c r="N4" s="861"/>
      <c r="O4" s="861"/>
      <c r="P4" s="3620" t="s">
        <v>1773</v>
      </c>
      <c r="Q4" s="3621"/>
      <c r="R4" s="3626" t="s">
        <v>1769</v>
      </c>
      <c r="S4" s="3627"/>
      <c r="T4" s="3626" t="s">
        <v>1770</v>
      </c>
      <c r="U4" s="3627"/>
      <c r="V4" s="3602" t="s">
        <v>1771</v>
      </c>
      <c r="W4" s="3602"/>
      <c r="X4" s="1265"/>
      <c r="Y4" s="3626" t="s">
        <v>1773</v>
      </c>
      <c r="Z4" s="3627"/>
      <c r="AA4" s="3613" t="s">
        <v>1769</v>
      </c>
      <c r="AB4" s="3614" t="s">
        <v>1770</v>
      </c>
      <c r="AC4" s="3613" t="s">
        <v>1771</v>
      </c>
    </row>
    <row r="5" spans="1:29" ht="15">
      <c r="A5" s="348"/>
      <c r="B5" s="349"/>
      <c r="C5" s="3634" t="s">
        <v>1671</v>
      </c>
      <c r="D5" s="3635"/>
      <c r="E5" s="3641" t="s">
        <v>1672</v>
      </c>
      <c r="F5" s="3642"/>
      <c r="G5" s="3634" t="s">
        <v>1673</v>
      </c>
      <c r="H5" s="3635"/>
      <c r="I5" s="3634" t="s">
        <v>1674</v>
      </c>
      <c r="J5" s="3635"/>
      <c r="K5" s="537"/>
      <c r="L5" s="860"/>
      <c r="M5" s="861"/>
      <c r="N5" s="861"/>
      <c r="O5" s="861"/>
      <c r="P5" s="3622"/>
      <c r="Q5" s="3623"/>
      <c r="R5" s="3628"/>
      <c r="S5" s="3629"/>
      <c r="T5" s="3628"/>
      <c r="U5" s="3629"/>
      <c r="V5" s="3602"/>
      <c r="W5" s="3602"/>
      <c r="X5" s="1265"/>
      <c r="Y5" s="3628"/>
      <c r="Z5" s="3629"/>
      <c r="AA5" s="3614"/>
      <c r="AB5" s="3614"/>
      <c r="AC5" s="3614"/>
    </row>
    <row r="6" spans="1:29" ht="15.75" thickBot="1">
      <c r="A6" s="350"/>
      <c r="B6" s="351"/>
      <c r="C6" s="3632" t="s">
        <v>1675</v>
      </c>
      <c r="D6" s="3633"/>
      <c r="E6" s="3639" t="s">
        <v>1675</v>
      </c>
      <c r="F6" s="3640"/>
      <c r="G6" s="3632" t="s">
        <v>1675</v>
      </c>
      <c r="H6" s="3633"/>
      <c r="I6" s="3632" t="s">
        <v>1675</v>
      </c>
      <c r="J6" s="3633"/>
      <c r="K6" s="537" t="s">
        <v>1676</v>
      </c>
      <c r="L6" s="860"/>
      <c r="M6" s="861"/>
      <c r="N6" s="861"/>
      <c r="O6" s="861"/>
      <c r="P6" s="3624"/>
      <c r="Q6" s="3625"/>
      <c r="R6" s="3628"/>
      <c r="S6" s="3629"/>
      <c r="T6" s="3630"/>
      <c r="U6" s="3631"/>
      <c r="V6" s="3602"/>
      <c r="W6" s="3602"/>
      <c r="X6" s="1265"/>
      <c r="Y6" s="3630"/>
      <c r="Z6" s="3631"/>
      <c r="AA6" s="3615"/>
      <c r="AB6" s="3615"/>
      <c r="AC6" s="3615"/>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636" t="s">
        <v>1678</v>
      </c>
      <c r="Q7" s="3638"/>
      <c r="R7" s="664" t="s">
        <v>14</v>
      </c>
      <c r="S7" s="665">
        <f t="shared" ref="S7:S15" si="0">F7</f>
        <v>0</v>
      </c>
      <c r="T7" s="664" t="s">
        <v>14</v>
      </c>
      <c r="U7" s="665">
        <f t="shared" ref="U7:U15" si="1">H7</f>
        <v>0</v>
      </c>
      <c r="V7" s="664" t="s">
        <v>14</v>
      </c>
      <c r="W7" s="665">
        <f t="shared" ref="W7:W15" si="2">J7</f>
        <v>0</v>
      </c>
      <c r="X7" s="666"/>
      <c r="Y7" s="3636" t="s">
        <v>1678</v>
      </c>
      <c r="Z7" s="3637"/>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636" t="s">
        <v>1681</v>
      </c>
      <c r="Q8" s="3637"/>
      <c r="R8" s="664" t="s">
        <v>14</v>
      </c>
      <c r="S8" s="665">
        <f t="shared" si="0"/>
        <v>100</v>
      </c>
      <c r="T8" s="664" t="s">
        <v>14</v>
      </c>
      <c r="U8" s="665">
        <f t="shared" si="1"/>
        <v>100</v>
      </c>
      <c r="V8" s="664" t="s">
        <v>14</v>
      </c>
      <c r="W8" s="665">
        <f t="shared" si="2"/>
        <v>100</v>
      </c>
      <c r="X8" s="666"/>
      <c r="Y8" s="3636" t="s">
        <v>1681</v>
      </c>
      <c r="Z8" s="3637"/>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601" t="s">
        <v>1684</v>
      </c>
      <c r="Q9" s="530" t="str">
        <f t="shared" ref="Q9:Q15" si="6">B9</f>
        <v>用途</v>
      </c>
      <c r="R9" s="664" t="s">
        <v>14</v>
      </c>
      <c r="S9" s="665">
        <f t="shared" si="0"/>
        <v>100</v>
      </c>
      <c r="T9" s="664" t="s">
        <v>14</v>
      </c>
      <c r="U9" s="665">
        <f t="shared" si="1"/>
        <v>100</v>
      </c>
      <c r="V9" s="664" t="s">
        <v>14</v>
      </c>
      <c r="W9" s="665">
        <f t="shared" si="2"/>
        <v>100</v>
      </c>
      <c r="X9" s="666"/>
      <c r="Y9" s="3476"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601"/>
      <c r="Q10" s="530" t="str">
        <f t="shared" si="6"/>
        <v>土地使用年限（年）</v>
      </c>
      <c r="R10" s="664" t="s">
        <v>14</v>
      </c>
      <c r="S10" s="665">
        <f t="shared" si="0"/>
        <v>100</v>
      </c>
      <c r="T10" s="664" t="s">
        <v>14</v>
      </c>
      <c r="U10" s="665">
        <f t="shared" si="1"/>
        <v>100</v>
      </c>
      <c r="V10" s="664" t="s">
        <v>14</v>
      </c>
      <c r="W10" s="665">
        <f t="shared" si="2"/>
        <v>100</v>
      </c>
      <c r="X10" s="666"/>
      <c r="Y10" s="3476"/>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601"/>
      <c r="Q11" s="530" t="str">
        <f t="shared" si="6"/>
        <v>容积率</v>
      </c>
      <c r="R11" s="664" t="s">
        <v>14</v>
      </c>
      <c r="S11" s="665">
        <f t="shared" si="0"/>
        <v>100</v>
      </c>
      <c r="T11" s="664" t="s">
        <v>14</v>
      </c>
      <c r="U11" s="665">
        <f t="shared" si="1"/>
        <v>100</v>
      </c>
      <c r="V11" s="664" t="s">
        <v>14</v>
      </c>
      <c r="W11" s="665">
        <f t="shared" si="2"/>
        <v>100</v>
      </c>
      <c r="X11" s="666"/>
      <c r="Y11" s="347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601"/>
      <c r="Q12" s="530">
        <f t="shared" si="6"/>
        <v>111</v>
      </c>
      <c r="R12" s="664" t="s">
        <v>14</v>
      </c>
      <c r="S12" s="665">
        <f t="shared" si="0"/>
        <v>100</v>
      </c>
      <c r="T12" s="664" t="s">
        <v>14</v>
      </c>
      <c r="U12" s="665">
        <f t="shared" si="1"/>
        <v>100</v>
      </c>
      <c r="V12" s="664" t="s">
        <v>14</v>
      </c>
      <c r="W12" s="665">
        <f t="shared" si="2"/>
        <v>100</v>
      </c>
      <c r="X12" s="666"/>
      <c r="Y12" s="347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601"/>
      <c r="Q13" s="530">
        <f t="shared" si="6"/>
        <v>111</v>
      </c>
      <c r="R13" s="664" t="s">
        <v>14</v>
      </c>
      <c r="S13" s="665">
        <f t="shared" si="0"/>
        <v>100</v>
      </c>
      <c r="T13" s="664" t="s">
        <v>14</v>
      </c>
      <c r="U13" s="665">
        <f t="shared" si="1"/>
        <v>100</v>
      </c>
      <c r="V13" s="664" t="s">
        <v>14</v>
      </c>
      <c r="W13" s="665">
        <f t="shared" si="2"/>
        <v>100</v>
      </c>
      <c r="X13" s="666"/>
      <c r="Y13" s="347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601"/>
      <c r="Q14" s="530">
        <f t="shared" si="6"/>
        <v>111</v>
      </c>
      <c r="R14" s="664" t="s">
        <v>14</v>
      </c>
      <c r="S14" s="665">
        <f t="shared" si="0"/>
        <v>100</v>
      </c>
      <c r="T14" s="664" t="s">
        <v>14</v>
      </c>
      <c r="U14" s="665">
        <f t="shared" si="1"/>
        <v>100</v>
      </c>
      <c r="V14" s="664" t="s">
        <v>14</v>
      </c>
      <c r="W14" s="665">
        <f t="shared" si="2"/>
        <v>100</v>
      </c>
      <c r="X14" s="666"/>
      <c r="Y14" s="3476"/>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603" t="s">
        <v>1689</v>
      </c>
      <c r="Q15" s="1263" t="str">
        <f t="shared" si="6"/>
        <v>产业集聚程度</v>
      </c>
      <c r="R15" s="667" t="s">
        <v>14</v>
      </c>
      <c r="S15" s="668">
        <f t="shared" si="0"/>
        <v>100</v>
      </c>
      <c r="T15" s="667" t="s">
        <v>14</v>
      </c>
      <c r="U15" s="668">
        <f t="shared" si="1"/>
        <v>100</v>
      </c>
      <c r="V15" s="667" t="s">
        <v>14</v>
      </c>
      <c r="W15" s="668">
        <f t="shared" si="2"/>
        <v>100</v>
      </c>
      <c r="X15" s="1265"/>
      <c r="Y15" s="3603"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604"/>
      <c r="Q16" s="1263"/>
      <c r="R16" s="667"/>
      <c r="S16" s="668"/>
      <c r="T16" s="667"/>
      <c r="U16" s="668"/>
      <c r="V16" s="667"/>
      <c r="W16" s="668"/>
      <c r="X16" s="1265"/>
      <c r="Y16" s="3604"/>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604"/>
      <c r="Q17" s="1263" t="str">
        <f>B17</f>
        <v>交通便捷度</v>
      </c>
      <c r="R17" s="667" t="s">
        <v>14</v>
      </c>
      <c r="S17" s="668">
        <f>F17</f>
        <v>100</v>
      </c>
      <c r="T17" s="667" t="s">
        <v>14</v>
      </c>
      <c r="U17" s="668">
        <f>H17</f>
        <v>100</v>
      </c>
      <c r="V17" s="667" t="s">
        <v>14</v>
      </c>
      <c r="W17" s="668">
        <f>J17</f>
        <v>100</v>
      </c>
      <c r="X17" s="1265"/>
      <c r="Y17" s="36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604"/>
      <c r="Q18" s="1263"/>
      <c r="R18" s="667"/>
      <c r="S18" s="668"/>
      <c r="T18" s="667"/>
      <c r="U18" s="668"/>
      <c r="V18" s="667"/>
      <c r="W18" s="668"/>
      <c r="X18" s="1265"/>
      <c r="Y18" s="3604"/>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604"/>
      <c r="Q19" s="1263" t="str">
        <f>B19</f>
        <v>公共配套设施</v>
      </c>
      <c r="R19" s="667" t="s">
        <v>14</v>
      </c>
      <c r="S19" s="668">
        <f>F19</f>
        <v>100</v>
      </c>
      <c r="T19" s="667" t="s">
        <v>14</v>
      </c>
      <c r="U19" s="668">
        <f>H19</f>
        <v>100</v>
      </c>
      <c r="V19" s="667" t="s">
        <v>14</v>
      </c>
      <c r="W19" s="668">
        <f>J19</f>
        <v>100</v>
      </c>
      <c r="X19" s="1265"/>
      <c r="Y19" s="36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604"/>
      <c r="Q20" s="1263"/>
      <c r="R20" s="667"/>
      <c r="S20" s="668"/>
      <c r="T20" s="667"/>
      <c r="U20" s="668"/>
      <c r="V20" s="667"/>
      <c r="W20" s="668"/>
      <c r="X20" s="1265"/>
      <c r="Y20" s="3604"/>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604"/>
      <c r="Q21" s="1263" t="str">
        <f>B21</f>
        <v>基础设施水平</v>
      </c>
      <c r="R21" s="667" t="s">
        <v>14</v>
      </c>
      <c r="S21" s="668">
        <f>F21</f>
        <v>100</v>
      </c>
      <c r="T21" s="667" t="s">
        <v>14</v>
      </c>
      <c r="U21" s="668">
        <f>H21</f>
        <v>100</v>
      </c>
      <c r="V21" s="667" t="s">
        <v>14</v>
      </c>
      <c r="W21" s="668">
        <f>J21</f>
        <v>100</v>
      </c>
      <c r="X21" s="1265"/>
      <c r="Y21" s="36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604"/>
      <c r="Q22" s="1263"/>
      <c r="R22" s="667"/>
      <c r="S22" s="668"/>
      <c r="T22" s="667"/>
      <c r="U22" s="668"/>
      <c r="V22" s="667"/>
      <c r="W22" s="668"/>
      <c r="X22" s="1265"/>
      <c r="Y22" s="3604"/>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604"/>
      <c r="Q23" s="1263" t="str">
        <f>B23</f>
        <v>环境质量</v>
      </c>
      <c r="R23" s="667" t="s">
        <v>14</v>
      </c>
      <c r="S23" s="668">
        <f>F23</f>
        <v>100</v>
      </c>
      <c r="T23" s="667" t="s">
        <v>14</v>
      </c>
      <c r="U23" s="668">
        <f>H23</f>
        <v>100</v>
      </c>
      <c r="V23" s="667" t="s">
        <v>14</v>
      </c>
      <c r="W23" s="668">
        <f>J23</f>
        <v>100</v>
      </c>
      <c r="X23" s="1265"/>
      <c r="Y23" s="360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604"/>
      <c r="Q24" s="1263"/>
      <c r="R24" s="667"/>
      <c r="S24" s="668"/>
      <c r="T24" s="667"/>
      <c r="U24" s="668"/>
      <c r="V24" s="667"/>
      <c r="W24" s="668"/>
      <c r="X24" s="1265"/>
      <c r="Y24" s="360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604"/>
      <c r="Q25" s="1263">
        <f>B25</f>
        <v>111</v>
      </c>
      <c r="R25" s="667" t="s">
        <v>14</v>
      </c>
      <c r="S25" s="668">
        <f>F25</f>
        <v>100</v>
      </c>
      <c r="T25" s="667" t="s">
        <v>14</v>
      </c>
      <c r="U25" s="668">
        <f>H25</f>
        <v>100</v>
      </c>
      <c r="V25" s="667" t="s">
        <v>14</v>
      </c>
      <c r="W25" s="668">
        <f>J25</f>
        <v>100</v>
      </c>
      <c r="X25" s="1265"/>
      <c r="Y25" s="360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604"/>
      <c r="Q26" s="1263">
        <f t="shared" ref="Q26:Q40" si="11">B26</f>
        <v>111</v>
      </c>
      <c r="R26" s="667" t="s">
        <v>14</v>
      </c>
      <c r="S26" s="668">
        <f>F26</f>
        <v>100</v>
      </c>
      <c r="T26" s="667" t="s">
        <v>14</v>
      </c>
      <c r="U26" s="668">
        <f>H26</f>
        <v>100</v>
      </c>
      <c r="V26" s="667" t="s">
        <v>14</v>
      </c>
      <c r="W26" s="668">
        <f>J26</f>
        <v>100</v>
      </c>
      <c r="X26" s="1265"/>
      <c r="Y26" s="360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604"/>
      <c r="Q27" s="530">
        <f t="shared" si="11"/>
        <v>111</v>
      </c>
      <c r="R27" s="664" t="s">
        <v>14</v>
      </c>
      <c r="S27" s="665">
        <f>F27</f>
        <v>100</v>
      </c>
      <c r="T27" s="664" t="s">
        <v>14</v>
      </c>
      <c r="U27" s="665">
        <f>H27</f>
        <v>100</v>
      </c>
      <c r="V27" s="664" t="s">
        <v>14</v>
      </c>
      <c r="W27" s="665">
        <f>J27</f>
        <v>100</v>
      </c>
      <c r="X27" s="666"/>
      <c r="Y27" s="360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604"/>
      <c r="Q28" s="1263">
        <f t="shared" si="11"/>
        <v>111</v>
      </c>
      <c r="R28" s="667" t="s">
        <v>14</v>
      </c>
      <c r="S28" s="668">
        <f t="shared" ref="S28:S40" si="12">F28</f>
        <v>100</v>
      </c>
      <c r="T28" s="667" t="s">
        <v>14</v>
      </c>
      <c r="U28" s="668">
        <f t="shared" ref="U28:U40" si="13">H28</f>
        <v>100</v>
      </c>
      <c r="V28" s="667" t="s">
        <v>14</v>
      </c>
      <c r="W28" s="668">
        <f t="shared" ref="W28:W40" si="14">J28</f>
        <v>100</v>
      </c>
      <c r="X28" s="1265"/>
      <c r="Y28" s="3604"/>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8" t="s">
        <v>1694</v>
      </c>
      <c r="Q29" s="1263" t="str">
        <f t="shared" si="11"/>
        <v>建筑类型</v>
      </c>
      <c r="R29" s="667" t="s">
        <v>14</v>
      </c>
      <c r="S29" s="668">
        <f t="shared" si="12"/>
        <v>100</v>
      </c>
      <c r="T29" s="667" t="s">
        <v>14</v>
      </c>
      <c r="U29" s="668">
        <f t="shared" si="13"/>
        <v>100</v>
      </c>
      <c r="V29" s="667" t="s">
        <v>14</v>
      </c>
      <c r="W29" s="668">
        <f t="shared" si="14"/>
        <v>100</v>
      </c>
      <c r="X29" s="1265"/>
      <c r="Y29" s="3608"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08"/>
      <c r="Q30" s="531" t="str">
        <f t="shared" si="11"/>
        <v>项目建筑规模</v>
      </c>
      <c r="R30" s="669" t="s">
        <v>14</v>
      </c>
      <c r="S30" s="670" t="e">
        <f t="shared" si="12"/>
        <v>#N/A</v>
      </c>
      <c r="T30" s="669" t="s">
        <v>14</v>
      </c>
      <c r="U30" s="670" t="e">
        <f t="shared" si="13"/>
        <v>#N/A</v>
      </c>
      <c r="V30" s="669" t="s">
        <v>14</v>
      </c>
      <c r="W30" s="670" t="e">
        <f t="shared" si="14"/>
        <v>#N/A</v>
      </c>
      <c r="X30" s="671"/>
      <c r="Y30" s="3608"/>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08"/>
      <c r="Q31" s="1263" t="str">
        <f t="shared" si="11"/>
        <v>建筑结构</v>
      </c>
      <c r="R31" s="667" t="s">
        <v>14</v>
      </c>
      <c r="S31" s="668">
        <f t="shared" si="12"/>
        <v>100</v>
      </c>
      <c r="T31" s="667" t="s">
        <v>14</v>
      </c>
      <c r="U31" s="668">
        <f t="shared" si="13"/>
        <v>100</v>
      </c>
      <c r="V31" s="667" t="s">
        <v>14</v>
      </c>
      <c r="W31" s="668">
        <f t="shared" si="14"/>
        <v>100</v>
      </c>
      <c r="X31" s="1265"/>
      <c r="Y31" s="3608"/>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08"/>
      <c r="Q32" s="1263" t="str">
        <f t="shared" si="11"/>
        <v>公共部分装修</v>
      </c>
      <c r="R32" s="667" t="s">
        <v>14</v>
      </c>
      <c r="S32" s="668">
        <f t="shared" si="12"/>
        <v>100</v>
      </c>
      <c r="T32" s="667" t="s">
        <v>14</v>
      </c>
      <c r="U32" s="668">
        <f t="shared" si="13"/>
        <v>100</v>
      </c>
      <c r="V32" s="667" t="s">
        <v>14</v>
      </c>
      <c r="W32" s="668">
        <f t="shared" si="14"/>
        <v>100</v>
      </c>
      <c r="X32" s="1265"/>
      <c r="Y32" s="3608"/>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08"/>
      <c r="Q33" s="1263" t="str">
        <f t="shared" si="11"/>
        <v>成新度</v>
      </c>
      <c r="R33" s="667" t="s">
        <v>14</v>
      </c>
      <c r="S33" s="668" t="e">
        <f t="shared" si="12"/>
        <v>#N/A</v>
      </c>
      <c r="T33" s="667" t="s">
        <v>14</v>
      </c>
      <c r="U33" s="668" t="e">
        <f t="shared" si="13"/>
        <v>#N/A</v>
      </c>
      <c r="V33" s="667" t="s">
        <v>14</v>
      </c>
      <c r="W33" s="668" t="e">
        <f t="shared" si="14"/>
        <v>#N/A</v>
      </c>
      <c r="X33" s="1265"/>
      <c r="Y33" s="3608"/>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08"/>
      <c r="Q34" s="530" t="str">
        <f t="shared" si="11"/>
        <v>物业管理</v>
      </c>
      <c r="R34" s="664" t="s">
        <v>14</v>
      </c>
      <c r="S34" s="665">
        <f t="shared" si="12"/>
        <v>100</v>
      </c>
      <c r="T34" s="664" t="s">
        <v>14</v>
      </c>
      <c r="U34" s="665">
        <f t="shared" si="13"/>
        <v>100</v>
      </c>
      <c r="V34" s="664" t="s">
        <v>14</v>
      </c>
      <c r="W34" s="665">
        <f t="shared" si="14"/>
        <v>100</v>
      </c>
      <c r="X34" s="666"/>
      <c r="Y34" s="3608"/>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08" t="s">
        <v>1694</v>
      </c>
      <c r="Q35" s="1263" t="str">
        <f t="shared" si="11"/>
        <v>市政基础设施</v>
      </c>
      <c r="R35" s="667" t="s">
        <v>14</v>
      </c>
      <c r="S35" s="668">
        <f t="shared" si="12"/>
        <v>100</v>
      </c>
      <c r="T35" s="667" t="s">
        <v>14</v>
      </c>
      <c r="U35" s="668">
        <f t="shared" si="13"/>
        <v>100</v>
      </c>
      <c r="V35" s="667" t="s">
        <v>14</v>
      </c>
      <c r="W35" s="668">
        <f t="shared" si="14"/>
        <v>100</v>
      </c>
      <c r="X35" s="1265"/>
      <c r="Y35" s="3608"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08"/>
      <c r="Q36" s="1263" t="str">
        <f t="shared" si="11"/>
        <v>内部装修</v>
      </c>
      <c r="R36" s="667" t="s">
        <v>14</v>
      </c>
      <c r="S36" s="668">
        <f t="shared" si="12"/>
        <v>100</v>
      </c>
      <c r="T36" s="667" t="s">
        <v>14</v>
      </c>
      <c r="U36" s="668">
        <f t="shared" si="13"/>
        <v>100</v>
      </c>
      <c r="V36" s="667" t="s">
        <v>14</v>
      </c>
      <c r="W36" s="668">
        <f t="shared" si="14"/>
        <v>100</v>
      </c>
      <c r="X36" s="1265"/>
      <c r="Y36" s="3608"/>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08"/>
      <c r="Q37" s="1263" t="str">
        <f t="shared" si="11"/>
        <v>内部装修状况</v>
      </c>
      <c r="R37" s="667" t="s">
        <v>14</v>
      </c>
      <c r="S37" s="668">
        <f t="shared" si="12"/>
        <v>100</v>
      </c>
      <c r="T37" s="667" t="s">
        <v>14</v>
      </c>
      <c r="U37" s="668">
        <f t="shared" si="13"/>
        <v>100</v>
      </c>
      <c r="V37" s="667" t="s">
        <v>14</v>
      </c>
      <c r="W37" s="668">
        <f t="shared" si="14"/>
        <v>100</v>
      </c>
      <c r="X37" s="1265"/>
      <c r="Y37" s="360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08"/>
      <c r="Q38" s="531">
        <f t="shared" si="11"/>
        <v>111</v>
      </c>
      <c r="R38" s="669" t="s">
        <v>14</v>
      </c>
      <c r="S38" s="670">
        <f t="shared" si="12"/>
        <v>100</v>
      </c>
      <c r="T38" s="669" t="s">
        <v>14</v>
      </c>
      <c r="U38" s="670">
        <f t="shared" si="13"/>
        <v>100</v>
      </c>
      <c r="V38" s="669" t="s">
        <v>14</v>
      </c>
      <c r="W38" s="670">
        <f t="shared" si="14"/>
        <v>100</v>
      </c>
      <c r="X38" s="671"/>
      <c r="Y38" s="360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08"/>
      <c r="Q39" s="1263">
        <f t="shared" si="11"/>
        <v>111</v>
      </c>
      <c r="R39" s="667" t="s">
        <v>14</v>
      </c>
      <c r="S39" s="668">
        <f t="shared" si="12"/>
        <v>100</v>
      </c>
      <c r="T39" s="667" t="s">
        <v>14</v>
      </c>
      <c r="U39" s="668">
        <f t="shared" si="13"/>
        <v>100</v>
      </c>
      <c r="V39" s="667" t="s">
        <v>14</v>
      </c>
      <c r="W39" s="668">
        <f t="shared" si="14"/>
        <v>100</v>
      </c>
      <c r="X39" s="1265"/>
      <c r="Y39" s="360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09"/>
      <c r="Q40" s="1263">
        <f t="shared" si="11"/>
        <v>111</v>
      </c>
      <c r="R40" s="667" t="s">
        <v>14</v>
      </c>
      <c r="S40" s="668">
        <f t="shared" si="12"/>
        <v>100</v>
      </c>
      <c r="T40" s="667" t="s">
        <v>14</v>
      </c>
      <c r="U40" s="668">
        <f t="shared" si="13"/>
        <v>100</v>
      </c>
      <c r="V40" s="667" t="s">
        <v>14</v>
      </c>
      <c r="W40" s="668">
        <f t="shared" si="14"/>
        <v>100</v>
      </c>
      <c r="X40" s="1265"/>
      <c r="Y40" s="3609"/>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601" t="str">
        <f>A41</f>
        <v>成交单价（元/平方米）</v>
      </c>
      <c r="Q41" s="3601"/>
      <c r="R41" s="3602">
        <f>E41</f>
        <v>0</v>
      </c>
      <c r="S41" s="3602"/>
      <c r="T41" s="3602">
        <f>G41</f>
        <v>0</v>
      </c>
      <c r="U41" s="3602"/>
      <c r="V41" s="3602">
        <f>I41</f>
        <v>0</v>
      </c>
      <c r="W41" s="3602"/>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601" t="str">
        <f>A42</f>
        <v>比较价值（元/平方米）</v>
      </c>
      <c r="Q42" s="3601"/>
      <c r="R42" s="3602" t="e">
        <f>IF(F1="售价",ROUND(PRODUCT(R41,AA7:AA40),0),ROUND(PRODUCT(R41,AA7:AA40),1))</f>
        <v>#DIV/0!</v>
      </c>
      <c r="S42" s="3602"/>
      <c r="T42" s="3602" t="e">
        <f>IF(F1="售价",ROUND(PRODUCT(T41,AB7:AB40),0),ROUND(PRODUCT(T41,AB7:AB40),1))</f>
        <v>#DIV/0!</v>
      </c>
      <c r="U42" s="3602"/>
      <c r="V42" s="3602" t="e">
        <f>IF(F1="售价",ROUND(PRODUCT(V41,AC7:AC40),0),ROUND(PRODUCT(V41,AC7:AC40),1))</f>
        <v>#DIV/0!</v>
      </c>
      <c r="W42" s="3602"/>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598" t="str">
        <f>A43</f>
        <v>估价对象XX用房的比较价值（楼面单价，元/平方米）</v>
      </c>
      <c r="Q43" s="3599"/>
      <c r="R43" s="3600" t="e">
        <f>IF(F1="售价",ROUND(IF(D42="简单平均",AVERAGE(R42:V42),R42*F42+T42*H42+V42*J42),0),ROUND(IF(D42="简单平均",AVERAGE(R42:V42),R42*F42+T42*H42+V42*J42),1))</f>
        <v>#DIV/0!</v>
      </c>
      <c r="S43" s="3600"/>
      <c r="T43" s="3600"/>
      <c r="U43" s="3600"/>
      <c r="V43" s="3600"/>
      <c r="W43" s="360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F7:F40 H7:H40 J7:J40">
    <cfRule type="cellIs" dxfId="81" priority="1" operator="notEqual">
      <formula>100</formula>
    </cfRule>
  </conditionalFormatting>
  <conditionalFormatting sqref="F42">
    <cfRule type="expression" dxfId="80" priority="4">
      <formula>$D$42="简单平均"</formula>
    </cfRule>
  </conditionalFormatting>
  <conditionalFormatting sqref="F46:F48 H46:H48">
    <cfRule type="containsText" dxfId="79" priority="17" stopIfTrue="1" operator="containsText" text="超过">
      <formula>NOT(ISERROR(SEARCH("超过",F46)))</formula>
    </cfRule>
  </conditionalFormatting>
  <conditionalFormatting sqref="G46">
    <cfRule type="expression" dxfId="78" priority="12" stopIfTrue="1">
      <formula>$H$46="超过30%"</formula>
    </cfRule>
  </conditionalFormatting>
  <conditionalFormatting sqref="G47">
    <cfRule type="expression" dxfId="77" priority="11" stopIfTrue="1">
      <formula>$H$47="超过20%"</formula>
    </cfRule>
  </conditionalFormatting>
  <conditionalFormatting sqref="G48">
    <cfRule type="expression" dxfId="76" priority="13" stopIfTrue="1">
      <formula>$H$48="超过30%"</formula>
    </cfRule>
  </conditionalFormatting>
  <conditionalFormatting sqref="H42">
    <cfRule type="expression" dxfId="75" priority="3">
      <formula>$D$42="简单平均"</formula>
    </cfRule>
  </conditionalFormatting>
  <conditionalFormatting sqref="I46">
    <cfRule type="expression" dxfId="74" priority="7" stopIfTrue="1">
      <formula>$J$46="超过30%"</formula>
    </cfRule>
  </conditionalFormatting>
  <conditionalFormatting sqref="I47">
    <cfRule type="expression" dxfId="73" priority="6" stopIfTrue="1">
      <formula>$J$47="超过20%"</formula>
    </cfRule>
  </conditionalFormatting>
  <conditionalFormatting sqref="I48">
    <cfRule type="expression" dxfId="72" priority="5" stopIfTrue="1">
      <formula>$J$48="超过30%"</formula>
    </cfRule>
  </conditionalFormatting>
  <conditionalFormatting sqref="J42">
    <cfRule type="expression" dxfId="71" priority="2">
      <formula>$D$42="简单平均"</formula>
    </cfRule>
  </conditionalFormatting>
  <conditionalFormatting sqref="J46:J48">
    <cfRule type="containsText" dxfId="70"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6" t="s">
        <v>1768</v>
      </c>
      <c r="D4" s="3617"/>
      <c r="E4" s="3618" t="s">
        <v>1769</v>
      </c>
      <c r="F4" s="3619"/>
      <c r="G4" s="3616" t="s">
        <v>1770</v>
      </c>
      <c r="H4" s="3617"/>
      <c r="I4" s="3616" t="s">
        <v>1771</v>
      </c>
      <c r="J4" s="3617"/>
      <c r="K4" s="537" t="s">
        <v>1772</v>
      </c>
      <c r="L4" s="2487"/>
      <c r="M4" s="2488"/>
      <c r="N4" s="2488"/>
      <c r="O4" s="2488"/>
      <c r="P4" s="3620" t="s">
        <v>1773</v>
      </c>
      <c r="Q4" s="3621"/>
      <c r="R4" s="3626" t="s">
        <v>1769</v>
      </c>
      <c r="S4" s="3627"/>
      <c r="T4" s="3626" t="s">
        <v>1770</v>
      </c>
      <c r="U4" s="3627"/>
      <c r="V4" s="3602" t="s">
        <v>1771</v>
      </c>
      <c r="W4" s="3602"/>
      <c r="X4" s="1265"/>
      <c r="Y4" s="3626" t="s">
        <v>1773</v>
      </c>
      <c r="Z4" s="3627"/>
      <c r="AA4" s="3613" t="s">
        <v>1769</v>
      </c>
      <c r="AB4" s="3614" t="s">
        <v>1770</v>
      </c>
      <c r="AC4" s="3613" t="s">
        <v>1771</v>
      </c>
    </row>
    <row r="5" spans="1:29" ht="15">
      <c r="A5" s="348"/>
      <c r="B5" s="349"/>
      <c r="C5" s="3634" t="s">
        <v>1671</v>
      </c>
      <c r="D5" s="3635"/>
      <c r="E5" s="3641" t="s">
        <v>1672</v>
      </c>
      <c r="F5" s="3642"/>
      <c r="G5" s="3634" t="s">
        <v>1673</v>
      </c>
      <c r="H5" s="3635"/>
      <c r="I5" s="3634" t="s">
        <v>1674</v>
      </c>
      <c r="J5" s="3635"/>
      <c r="K5" s="537"/>
      <c r="L5" s="2487"/>
      <c r="M5" s="2488"/>
      <c r="N5" s="2488"/>
      <c r="O5" s="2488"/>
      <c r="P5" s="3622"/>
      <c r="Q5" s="3623"/>
      <c r="R5" s="3628"/>
      <c r="S5" s="3629"/>
      <c r="T5" s="3628"/>
      <c r="U5" s="3629"/>
      <c r="V5" s="3602"/>
      <c r="W5" s="3602"/>
      <c r="X5" s="1265"/>
      <c r="Y5" s="3628"/>
      <c r="Z5" s="3629"/>
      <c r="AA5" s="3614"/>
      <c r="AB5" s="3614"/>
      <c r="AC5" s="3614"/>
    </row>
    <row r="6" spans="1:29" ht="15.75" thickBot="1">
      <c r="A6" s="350"/>
      <c r="B6" s="351"/>
      <c r="C6" s="3632" t="s">
        <v>1675</v>
      </c>
      <c r="D6" s="3633"/>
      <c r="E6" s="3639" t="s">
        <v>1675</v>
      </c>
      <c r="F6" s="3640"/>
      <c r="G6" s="3632" t="s">
        <v>1675</v>
      </c>
      <c r="H6" s="3633"/>
      <c r="I6" s="3632" t="s">
        <v>1675</v>
      </c>
      <c r="J6" s="3633"/>
      <c r="K6" s="537" t="s">
        <v>1676</v>
      </c>
      <c r="L6" s="2487"/>
      <c r="M6" s="2488"/>
      <c r="N6" s="2488"/>
      <c r="O6" s="2488"/>
      <c r="P6" s="3624"/>
      <c r="Q6" s="3625"/>
      <c r="R6" s="3628"/>
      <c r="S6" s="3629"/>
      <c r="T6" s="3630"/>
      <c r="U6" s="3631"/>
      <c r="V6" s="3602"/>
      <c r="W6" s="3602"/>
      <c r="X6" s="1265"/>
      <c r="Y6" s="3630"/>
      <c r="Z6" s="3631"/>
      <c r="AA6" s="3615"/>
      <c r="AB6" s="3615"/>
      <c r="AC6" s="3615"/>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636" t="s">
        <v>1678</v>
      </c>
      <c r="Q7" s="3638"/>
      <c r="R7" s="664" t="s">
        <v>14</v>
      </c>
      <c r="S7" s="665">
        <f t="shared" ref="S7:S14" si="0">F7</f>
        <v>0</v>
      </c>
      <c r="T7" s="664" t="s">
        <v>14</v>
      </c>
      <c r="U7" s="665">
        <f t="shared" ref="U7:U14" si="1">H7</f>
        <v>0</v>
      </c>
      <c r="V7" s="664" t="s">
        <v>14</v>
      </c>
      <c r="W7" s="665">
        <f t="shared" ref="W7:W14" si="2">J7</f>
        <v>0</v>
      </c>
      <c r="X7" s="666"/>
      <c r="Y7" s="3636" t="s">
        <v>1678</v>
      </c>
      <c r="Z7" s="3637"/>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636" t="s">
        <v>1681</v>
      </c>
      <c r="Q8" s="3637"/>
      <c r="R8" s="664" t="s">
        <v>14</v>
      </c>
      <c r="S8" s="665">
        <f t="shared" si="0"/>
        <v>100</v>
      </c>
      <c r="T8" s="664" t="s">
        <v>14</v>
      </c>
      <c r="U8" s="665">
        <f t="shared" si="1"/>
        <v>100</v>
      </c>
      <c r="V8" s="664" t="s">
        <v>14</v>
      </c>
      <c r="W8" s="665">
        <f t="shared" si="2"/>
        <v>100</v>
      </c>
      <c r="X8" s="666"/>
      <c r="Y8" s="3636" t="s">
        <v>1681</v>
      </c>
      <c r="Z8" s="3637"/>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601" t="s">
        <v>1684</v>
      </c>
      <c r="Q9" s="530" t="str">
        <f t="shared" ref="Q9:Q14" si="6">B9</f>
        <v>用途</v>
      </c>
      <c r="R9" s="664" t="s">
        <v>14</v>
      </c>
      <c r="S9" s="665">
        <f t="shared" si="0"/>
        <v>100</v>
      </c>
      <c r="T9" s="664" t="s">
        <v>14</v>
      </c>
      <c r="U9" s="665">
        <f t="shared" si="1"/>
        <v>100</v>
      </c>
      <c r="V9" s="664" t="s">
        <v>14</v>
      </c>
      <c r="W9" s="665">
        <f t="shared" si="2"/>
        <v>100</v>
      </c>
      <c r="X9" s="666"/>
      <c r="Y9" s="3476"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601"/>
      <c r="Q10" s="530" t="str">
        <f t="shared" si="6"/>
        <v>土地使用年限（年）</v>
      </c>
      <c r="R10" s="664" t="s">
        <v>14</v>
      </c>
      <c r="S10" s="665">
        <f t="shared" si="0"/>
        <v>100</v>
      </c>
      <c r="T10" s="664" t="s">
        <v>14</v>
      </c>
      <c r="U10" s="665">
        <f t="shared" si="1"/>
        <v>100</v>
      </c>
      <c r="V10" s="664" t="s">
        <v>14</v>
      </c>
      <c r="W10" s="665">
        <f t="shared" si="2"/>
        <v>100</v>
      </c>
      <c r="X10" s="666"/>
      <c r="Y10" s="347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601"/>
      <c r="Q11" s="530">
        <f t="shared" si="6"/>
        <v>111</v>
      </c>
      <c r="R11" s="664" t="s">
        <v>14</v>
      </c>
      <c r="S11" s="665">
        <f t="shared" si="0"/>
        <v>100</v>
      </c>
      <c r="T11" s="664" t="s">
        <v>14</v>
      </c>
      <c r="U11" s="665">
        <f t="shared" si="1"/>
        <v>100</v>
      </c>
      <c r="V11" s="664" t="s">
        <v>14</v>
      </c>
      <c r="W11" s="665">
        <f t="shared" si="2"/>
        <v>100</v>
      </c>
      <c r="X11" s="666"/>
      <c r="Y11" s="347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601"/>
      <c r="Q12" s="530">
        <f t="shared" si="6"/>
        <v>111</v>
      </c>
      <c r="R12" s="664" t="s">
        <v>14</v>
      </c>
      <c r="S12" s="665">
        <f t="shared" si="0"/>
        <v>100</v>
      </c>
      <c r="T12" s="664" t="s">
        <v>14</v>
      </c>
      <c r="U12" s="665">
        <f t="shared" si="1"/>
        <v>100</v>
      </c>
      <c r="V12" s="664" t="s">
        <v>14</v>
      </c>
      <c r="W12" s="665">
        <f t="shared" si="2"/>
        <v>100</v>
      </c>
      <c r="X12" s="666"/>
      <c r="Y12" s="347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601"/>
      <c r="Q13" s="530">
        <f t="shared" si="6"/>
        <v>111</v>
      </c>
      <c r="R13" s="664" t="s">
        <v>14</v>
      </c>
      <c r="S13" s="665">
        <f t="shared" si="0"/>
        <v>100</v>
      </c>
      <c r="T13" s="664" t="s">
        <v>14</v>
      </c>
      <c r="U13" s="665">
        <f t="shared" si="1"/>
        <v>100</v>
      </c>
      <c r="V13" s="664" t="s">
        <v>14</v>
      </c>
      <c r="W13" s="665">
        <f t="shared" si="2"/>
        <v>100</v>
      </c>
      <c r="X13" s="666"/>
      <c r="Y13" s="3476"/>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603" t="s">
        <v>1689</v>
      </c>
      <c r="Q14" s="1263" t="str">
        <f t="shared" si="6"/>
        <v>交通便捷度</v>
      </c>
      <c r="R14" s="667" t="s">
        <v>14</v>
      </c>
      <c r="S14" s="668">
        <f t="shared" si="0"/>
        <v>100</v>
      </c>
      <c r="T14" s="667" t="s">
        <v>14</v>
      </c>
      <c r="U14" s="668">
        <f t="shared" si="1"/>
        <v>100</v>
      </c>
      <c r="V14" s="667" t="s">
        <v>14</v>
      </c>
      <c r="W14" s="668">
        <f t="shared" si="2"/>
        <v>100</v>
      </c>
      <c r="X14" s="1265"/>
      <c r="Y14" s="3603"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604"/>
      <c r="Q15" s="1263"/>
      <c r="R15" s="667"/>
      <c r="S15" s="668"/>
      <c r="T15" s="667"/>
      <c r="U15" s="668"/>
      <c r="V15" s="667"/>
      <c r="W15" s="668"/>
      <c r="X15" s="1265"/>
      <c r="Y15" s="3604"/>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604"/>
      <c r="Q16" s="1263" t="str">
        <f>B16</f>
        <v>公共配套设施</v>
      </c>
      <c r="R16" s="667" t="s">
        <v>14</v>
      </c>
      <c r="S16" s="668">
        <f>F16</f>
        <v>100</v>
      </c>
      <c r="T16" s="667" t="s">
        <v>14</v>
      </c>
      <c r="U16" s="668">
        <f>H16</f>
        <v>100</v>
      </c>
      <c r="V16" s="667" t="s">
        <v>14</v>
      </c>
      <c r="W16" s="668">
        <f>J16</f>
        <v>100</v>
      </c>
      <c r="X16" s="1265"/>
      <c r="Y16" s="360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604"/>
      <c r="Q17" s="1263"/>
      <c r="R17" s="667"/>
      <c r="S17" s="668"/>
      <c r="T17" s="667"/>
      <c r="U17" s="668"/>
      <c r="V17" s="667"/>
      <c r="W17" s="668"/>
      <c r="X17" s="1265"/>
      <c r="Y17" s="3604"/>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604"/>
      <c r="Q18" s="1263" t="str">
        <f>B18</f>
        <v>基础设施水平</v>
      </c>
      <c r="R18" s="667" t="s">
        <v>14</v>
      </c>
      <c r="S18" s="668">
        <f>F18</f>
        <v>100</v>
      </c>
      <c r="T18" s="667" t="s">
        <v>14</v>
      </c>
      <c r="U18" s="668">
        <f>H18</f>
        <v>100</v>
      </c>
      <c r="V18" s="667" t="s">
        <v>14</v>
      </c>
      <c r="W18" s="668">
        <f>J18</f>
        <v>100</v>
      </c>
      <c r="X18" s="1265"/>
      <c r="Y18" s="360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604"/>
      <c r="Q19" s="1263"/>
      <c r="R19" s="667"/>
      <c r="S19" s="668"/>
      <c r="T19" s="667"/>
      <c r="U19" s="668"/>
      <c r="V19" s="667"/>
      <c r="W19" s="668"/>
      <c r="X19" s="1265"/>
      <c r="Y19" s="3604"/>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604"/>
      <c r="Q20" s="1263" t="str">
        <f>B20</f>
        <v>自然及人文环境</v>
      </c>
      <c r="R20" s="667" t="s">
        <v>14</v>
      </c>
      <c r="S20" s="668">
        <f>F20</f>
        <v>100</v>
      </c>
      <c r="T20" s="667" t="s">
        <v>14</v>
      </c>
      <c r="U20" s="668">
        <f>H20</f>
        <v>100</v>
      </c>
      <c r="V20" s="667" t="s">
        <v>14</v>
      </c>
      <c r="W20" s="668">
        <f>J20</f>
        <v>100</v>
      </c>
      <c r="X20" s="1265"/>
      <c r="Y20" s="360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604"/>
      <c r="Q21" s="1263"/>
      <c r="R21" s="667"/>
      <c r="S21" s="668"/>
      <c r="T21" s="667"/>
      <c r="U21" s="668"/>
      <c r="V21" s="667"/>
      <c r="W21" s="668"/>
      <c r="X21" s="1265"/>
      <c r="Y21" s="3604"/>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604"/>
      <c r="Q22" s="1263" t="str">
        <f>B22</f>
        <v>楼层</v>
      </c>
      <c r="R22" s="667" t="s">
        <v>14</v>
      </c>
      <c r="S22" s="668">
        <f>F22</f>
        <v>100</v>
      </c>
      <c r="T22" s="667" t="s">
        <v>14</v>
      </c>
      <c r="U22" s="668">
        <f>H22</f>
        <v>100</v>
      </c>
      <c r="V22" s="667" t="s">
        <v>14</v>
      </c>
      <c r="W22" s="668">
        <f>J22</f>
        <v>100</v>
      </c>
      <c r="X22" s="1265"/>
      <c r="Y22" s="360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604"/>
      <c r="Q23" s="1263">
        <f>B23</f>
        <v>111</v>
      </c>
      <c r="R23" s="667" t="s">
        <v>14</v>
      </c>
      <c r="S23" s="668">
        <f>F23</f>
        <v>100</v>
      </c>
      <c r="T23" s="667" t="s">
        <v>14</v>
      </c>
      <c r="U23" s="668">
        <f>H23</f>
        <v>100</v>
      </c>
      <c r="V23" s="667" t="s">
        <v>14</v>
      </c>
      <c r="W23" s="668">
        <f>J23</f>
        <v>100</v>
      </c>
      <c r="X23" s="1265"/>
      <c r="Y23" s="360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604"/>
      <c r="Q24" s="1263">
        <f t="shared" ref="Q24:Q36" si="11">B24</f>
        <v>111</v>
      </c>
      <c r="R24" s="667" t="s">
        <v>14</v>
      </c>
      <c r="S24" s="668">
        <f>F24</f>
        <v>100</v>
      </c>
      <c r="T24" s="667" t="s">
        <v>14</v>
      </c>
      <c r="U24" s="668">
        <f>H24</f>
        <v>100</v>
      </c>
      <c r="V24" s="667" t="s">
        <v>14</v>
      </c>
      <c r="W24" s="668">
        <f>J24</f>
        <v>100</v>
      </c>
      <c r="X24" s="1265"/>
      <c r="Y24" s="360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604"/>
      <c r="Q25" s="530">
        <f t="shared" si="11"/>
        <v>111</v>
      </c>
      <c r="R25" s="664" t="s">
        <v>14</v>
      </c>
      <c r="S25" s="665">
        <f>F25</f>
        <v>100</v>
      </c>
      <c r="T25" s="664" t="s">
        <v>14</v>
      </c>
      <c r="U25" s="665">
        <f>H25</f>
        <v>100</v>
      </c>
      <c r="V25" s="664" t="s">
        <v>14</v>
      </c>
      <c r="W25" s="665">
        <f>J25</f>
        <v>100</v>
      </c>
      <c r="X25" s="666"/>
      <c r="Y25" s="3604"/>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8"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08"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08"/>
      <c r="Q27" s="531" t="str">
        <f t="shared" si="11"/>
        <v>项目停车位配比</v>
      </c>
      <c r="R27" s="669" t="s">
        <v>14</v>
      </c>
      <c r="S27" s="670">
        <f t="shared" si="12"/>
        <v>100</v>
      </c>
      <c r="T27" s="669" t="s">
        <v>14</v>
      </c>
      <c r="U27" s="670">
        <f t="shared" si="13"/>
        <v>100</v>
      </c>
      <c r="V27" s="669" t="s">
        <v>14</v>
      </c>
      <c r="W27" s="670">
        <f t="shared" si="14"/>
        <v>100</v>
      </c>
      <c r="X27" s="671"/>
      <c r="Y27" s="3608"/>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08"/>
      <c r="Q28" s="1263" t="str">
        <f t="shared" si="11"/>
        <v>公共部分装修</v>
      </c>
      <c r="R28" s="667" t="s">
        <v>14</v>
      </c>
      <c r="S28" s="668">
        <f t="shared" si="12"/>
        <v>100</v>
      </c>
      <c r="T28" s="667" t="s">
        <v>14</v>
      </c>
      <c r="U28" s="668">
        <f t="shared" si="13"/>
        <v>100</v>
      </c>
      <c r="V28" s="667" t="s">
        <v>14</v>
      </c>
      <c r="W28" s="668">
        <f t="shared" si="14"/>
        <v>100</v>
      </c>
      <c r="X28" s="1265"/>
      <c r="Y28" s="3608"/>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08"/>
      <c r="Q29" s="1263" t="str">
        <f t="shared" si="11"/>
        <v>成新率</v>
      </c>
      <c r="R29" s="667" t="s">
        <v>14</v>
      </c>
      <c r="S29" s="668" t="e">
        <f t="shared" si="12"/>
        <v>#N/A</v>
      </c>
      <c r="T29" s="667" t="s">
        <v>14</v>
      </c>
      <c r="U29" s="668" t="e">
        <f t="shared" si="13"/>
        <v>#N/A</v>
      </c>
      <c r="V29" s="667" t="s">
        <v>14</v>
      </c>
      <c r="W29" s="668" t="e">
        <f t="shared" si="14"/>
        <v>#N/A</v>
      </c>
      <c r="X29" s="1265"/>
      <c r="Y29" s="3608"/>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08"/>
      <c r="Q30" s="1263" t="str">
        <f t="shared" si="11"/>
        <v>物业等级</v>
      </c>
      <c r="R30" s="667" t="s">
        <v>14</v>
      </c>
      <c r="S30" s="668">
        <f t="shared" si="12"/>
        <v>100</v>
      </c>
      <c r="T30" s="667" t="s">
        <v>14</v>
      </c>
      <c r="U30" s="668">
        <f t="shared" si="13"/>
        <v>100</v>
      </c>
      <c r="V30" s="667" t="s">
        <v>14</v>
      </c>
      <c r="W30" s="668">
        <f t="shared" si="14"/>
        <v>100</v>
      </c>
      <c r="X30" s="1265"/>
      <c r="Y30" s="3608"/>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08"/>
      <c r="Q31" s="530" t="str">
        <f t="shared" si="11"/>
        <v>停车位面积</v>
      </c>
      <c r="R31" s="664" t="s">
        <v>14</v>
      </c>
      <c r="S31" s="665" t="e">
        <f t="shared" si="12"/>
        <v>#N/A</v>
      </c>
      <c r="T31" s="664" t="s">
        <v>14</v>
      </c>
      <c r="U31" s="665" t="e">
        <f t="shared" si="13"/>
        <v>#N/A</v>
      </c>
      <c r="V31" s="664" t="s">
        <v>14</v>
      </c>
      <c r="W31" s="665" t="e">
        <f t="shared" si="14"/>
        <v>#N/A</v>
      </c>
      <c r="X31" s="666"/>
      <c r="Y31" s="3608"/>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08" t="s">
        <v>1694</v>
      </c>
      <c r="Q32" s="1263" t="str">
        <f t="shared" si="11"/>
        <v>车位类型</v>
      </c>
      <c r="R32" s="667" t="s">
        <v>14</v>
      </c>
      <c r="S32" s="668">
        <f t="shared" si="12"/>
        <v>100</v>
      </c>
      <c r="T32" s="667" t="s">
        <v>14</v>
      </c>
      <c r="U32" s="668">
        <f t="shared" si="13"/>
        <v>100</v>
      </c>
      <c r="V32" s="667" t="s">
        <v>14</v>
      </c>
      <c r="W32" s="668">
        <f t="shared" si="14"/>
        <v>100</v>
      </c>
      <c r="X32" s="1265"/>
      <c r="Y32" s="3608"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08"/>
      <c r="Q33" s="1263" t="str">
        <f t="shared" si="11"/>
        <v>是否直接入户</v>
      </c>
      <c r="R33" s="667" t="s">
        <v>14</v>
      </c>
      <c r="S33" s="668">
        <f t="shared" si="12"/>
        <v>100</v>
      </c>
      <c r="T33" s="667" t="s">
        <v>14</v>
      </c>
      <c r="U33" s="668">
        <f t="shared" si="13"/>
        <v>100</v>
      </c>
      <c r="V33" s="667" t="s">
        <v>14</v>
      </c>
      <c r="W33" s="668">
        <f t="shared" si="14"/>
        <v>100</v>
      </c>
      <c r="X33" s="1265"/>
      <c r="Y33" s="360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08"/>
      <c r="Q34" s="1263">
        <f t="shared" si="11"/>
        <v>111</v>
      </c>
      <c r="R34" s="667" t="s">
        <v>14</v>
      </c>
      <c r="S34" s="668">
        <f t="shared" si="12"/>
        <v>100</v>
      </c>
      <c r="T34" s="667" t="s">
        <v>14</v>
      </c>
      <c r="U34" s="668">
        <f t="shared" si="13"/>
        <v>100</v>
      </c>
      <c r="V34" s="667" t="s">
        <v>14</v>
      </c>
      <c r="W34" s="668">
        <f t="shared" si="14"/>
        <v>100</v>
      </c>
      <c r="X34" s="1265"/>
      <c r="Y34" s="360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08"/>
      <c r="Q35" s="531">
        <f t="shared" si="11"/>
        <v>111</v>
      </c>
      <c r="R35" s="669" t="s">
        <v>14</v>
      </c>
      <c r="S35" s="670">
        <f t="shared" si="12"/>
        <v>100</v>
      </c>
      <c r="T35" s="669" t="s">
        <v>14</v>
      </c>
      <c r="U35" s="670">
        <f t="shared" si="13"/>
        <v>100</v>
      </c>
      <c r="V35" s="669" t="s">
        <v>14</v>
      </c>
      <c r="W35" s="670">
        <f t="shared" si="14"/>
        <v>100</v>
      </c>
      <c r="X35" s="671"/>
      <c r="Y35" s="360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08"/>
      <c r="Q36" s="1263">
        <f t="shared" si="11"/>
        <v>111</v>
      </c>
      <c r="R36" s="667" t="s">
        <v>14</v>
      </c>
      <c r="S36" s="668">
        <f t="shared" si="12"/>
        <v>100</v>
      </c>
      <c r="T36" s="667" t="s">
        <v>14</v>
      </c>
      <c r="U36" s="668">
        <f t="shared" si="13"/>
        <v>100</v>
      </c>
      <c r="V36" s="667" t="s">
        <v>14</v>
      </c>
      <c r="W36" s="668">
        <f t="shared" si="14"/>
        <v>100</v>
      </c>
      <c r="X36" s="1265"/>
      <c r="Y36" s="3608"/>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601" t="str">
        <f>A37</f>
        <v>成交单价</v>
      </c>
      <c r="Q37" s="3601"/>
      <c r="R37" s="3602">
        <f>E37</f>
        <v>0</v>
      </c>
      <c r="S37" s="3602"/>
      <c r="T37" s="3602">
        <f>G37</f>
        <v>0</v>
      </c>
      <c r="U37" s="3602"/>
      <c r="V37" s="3602">
        <f>I37</f>
        <v>0</v>
      </c>
      <c r="W37" s="3602"/>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601" t="str">
        <f>A38</f>
        <v>比较价值（元/平方米）</v>
      </c>
      <c r="Q38" s="3601"/>
      <c r="R38" s="3602" t="e">
        <f>IF(F1="售价",ROUND(PRODUCT(R37,AA7:AA36),0),ROUND(PRODUCT(R37,AA7:AA36),1))</f>
        <v>#DIV/0!</v>
      </c>
      <c r="S38" s="3602"/>
      <c r="T38" s="3602" t="e">
        <f>IF(F1="售价",ROUND(PRODUCT(T37,AB7:AB36),0),ROUND(PRODUCT(T37,AB7:AB36),1))</f>
        <v>#DIV/0!</v>
      </c>
      <c r="U38" s="3602"/>
      <c r="V38" s="3602" t="e">
        <f>IF(F1="售价",ROUND(PRODUCT(V37,AC7:AC36),0),ROUND(PRODUCT(V37,AC7:AC36),1))</f>
        <v>#DIV/0!</v>
      </c>
      <c r="W38" s="3602"/>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598" t="str">
        <f>A39</f>
        <v>估价对象XX用房的比较价值（楼面单价，元/平方米）</v>
      </c>
      <c r="Q39" s="3599"/>
      <c r="R39" s="3659" t="e">
        <f>IF(F1="售价",ROUND(IF(D38="简单平均",AVERAGE(R38:W38),R38*F38+T38*H38+V38*J38),0),ROUND(IF(D38="简单平均",AVERAGE(R38:V38),R38*F38+T38*H38+V38*J38),1))</f>
        <v>#DIV/0!</v>
      </c>
      <c r="S39" s="3659"/>
      <c r="T39" s="3659"/>
      <c r="U39" s="3659"/>
      <c r="V39" s="3659"/>
      <c r="W39" s="365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9" priority="13" stopIfTrue="1">
      <formula>$F$42="超过30%"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F7:F36 H7:H36 J7:J36">
    <cfRule type="cellIs" dxfId="66" priority="1" operator="notEqual">
      <formula>100</formula>
    </cfRule>
  </conditionalFormatting>
  <conditionalFormatting sqref="F38">
    <cfRule type="expression" dxfId="65" priority="4">
      <formula>$D$38="简单平均"</formula>
    </cfRule>
  </conditionalFormatting>
  <conditionalFormatting sqref="F42:F44 H42:H44 J42:J44">
    <cfRule type="containsText" dxfId="64" priority="14" stopIfTrue="1" operator="containsText" text="超过">
      <formula>NOT(ISERROR(SEARCH("超过",F42)))</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G44">
    <cfRule type="expression" dxfId="61" priority="12" stopIfTrue="1">
      <formula>$H$54+$H$44="超过30%"</formula>
    </cfRule>
  </conditionalFormatting>
  <conditionalFormatting sqref="H38">
    <cfRule type="expression" dxfId="60" priority="3">
      <formula>$D$38="简单平均"</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J38">
    <cfRule type="expression" dxfId="56"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估价对象为房地产，为所有。根据《国有土地使用证》[]，估价对象（分摊）出让国有建设用地使用权面积为109.97平方米，建筑面积为447.47平方米。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估价对象为房地产,属开发建设的，该项目尚在开发建设中。根据《国有土地使用证》[]，估价对象（分摊）出让国有建设用地使用权面积为109.97平方米，规划建筑面积为447.47平方米。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6" t="s">
        <v>1768</v>
      </c>
      <c r="D4" s="3617"/>
      <c r="E4" s="3618" t="s">
        <v>1769</v>
      </c>
      <c r="F4" s="3619"/>
      <c r="G4" s="3616" t="s">
        <v>1770</v>
      </c>
      <c r="H4" s="3617"/>
      <c r="I4" s="3616" t="s">
        <v>1771</v>
      </c>
      <c r="J4" s="3617"/>
      <c r="K4" s="537" t="s">
        <v>1772</v>
      </c>
      <c r="L4" s="2487"/>
      <c r="M4" s="2488"/>
      <c r="N4" s="2488"/>
      <c r="O4" s="2488"/>
      <c r="P4" s="3620" t="s">
        <v>1773</v>
      </c>
      <c r="Q4" s="3621"/>
      <c r="R4" s="3626" t="s">
        <v>1769</v>
      </c>
      <c r="S4" s="3627"/>
      <c r="T4" s="3626" t="s">
        <v>1770</v>
      </c>
      <c r="U4" s="3627"/>
      <c r="V4" s="3602" t="s">
        <v>1771</v>
      </c>
      <c r="W4" s="3602"/>
      <c r="X4" s="1265"/>
      <c r="Y4" s="3626" t="s">
        <v>1773</v>
      </c>
      <c r="Z4" s="3627"/>
      <c r="AA4" s="3613" t="s">
        <v>1769</v>
      </c>
      <c r="AB4" s="3614" t="s">
        <v>1770</v>
      </c>
      <c r="AC4" s="3613" t="s">
        <v>1771</v>
      </c>
    </row>
    <row r="5" spans="1:29" ht="15">
      <c r="A5" s="348"/>
      <c r="B5" s="349"/>
      <c r="C5" s="3634" t="s">
        <v>1671</v>
      </c>
      <c r="D5" s="3635"/>
      <c r="E5" s="3641" t="s">
        <v>1672</v>
      </c>
      <c r="F5" s="3642"/>
      <c r="G5" s="3634" t="s">
        <v>1673</v>
      </c>
      <c r="H5" s="3635"/>
      <c r="I5" s="3634" t="s">
        <v>1674</v>
      </c>
      <c r="J5" s="3635"/>
      <c r="K5" s="537"/>
      <c r="L5" s="2487"/>
      <c r="M5" s="2488"/>
      <c r="N5" s="2488"/>
      <c r="O5" s="2488"/>
      <c r="P5" s="3622"/>
      <c r="Q5" s="3623"/>
      <c r="R5" s="3628"/>
      <c r="S5" s="3629"/>
      <c r="T5" s="3628"/>
      <c r="U5" s="3629"/>
      <c r="V5" s="3602"/>
      <c r="W5" s="3602"/>
      <c r="X5" s="1265"/>
      <c r="Y5" s="3628"/>
      <c r="Z5" s="3629"/>
      <c r="AA5" s="3614"/>
      <c r="AB5" s="3614"/>
      <c r="AC5" s="3614"/>
    </row>
    <row r="6" spans="1:29" ht="15.75" thickBot="1">
      <c r="A6" s="350"/>
      <c r="B6" s="351"/>
      <c r="C6" s="3632" t="s">
        <v>1675</v>
      </c>
      <c r="D6" s="3633"/>
      <c r="E6" s="3639" t="s">
        <v>1675</v>
      </c>
      <c r="F6" s="3640"/>
      <c r="G6" s="3632" t="s">
        <v>1675</v>
      </c>
      <c r="H6" s="3633"/>
      <c r="I6" s="3632" t="s">
        <v>1675</v>
      </c>
      <c r="J6" s="3633"/>
      <c r="K6" s="537" t="s">
        <v>1676</v>
      </c>
      <c r="L6" s="2487"/>
      <c r="M6" s="2488"/>
      <c r="N6" s="2488"/>
      <c r="O6" s="2488"/>
      <c r="P6" s="3624"/>
      <c r="Q6" s="3625"/>
      <c r="R6" s="3628"/>
      <c r="S6" s="3629"/>
      <c r="T6" s="3630"/>
      <c r="U6" s="3631"/>
      <c r="V6" s="3602"/>
      <c r="W6" s="3602"/>
      <c r="X6" s="1265"/>
      <c r="Y6" s="3630"/>
      <c r="Z6" s="3631"/>
      <c r="AA6" s="3615"/>
      <c r="AB6" s="3615"/>
      <c r="AC6" s="3615"/>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636" t="s">
        <v>1678</v>
      </c>
      <c r="Q7" s="3638"/>
      <c r="R7" s="664" t="s">
        <v>14</v>
      </c>
      <c r="S7" s="665">
        <f t="shared" ref="S7:S14" si="0">F7</f>
        <v>0</v>
      </c>
      <c r="T7" s="664" t="s">
        <v>14</v>
      </c>
      <c r="U7" s="665">
        <f t="shared" ref="U7:U14" si="1">H7</f>
        <v>0</v>
      </c>
      <c r="V7" s="664" t="s">
        <v>14</v>
      </c>
      <c r="W7" s="665">
        <f t="shared" ref="W7:W14" si="2">J7</f>
        <v>0</v>
      </c>
      <c r="X7" s="666"/>
      <c r="Y7" s="3636" t="s">
        <v>1678</v>
      </c>
      <c r="Z7" s="3637"/>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636" t="s">
        <v>1681</v>
      </c>
      <c r="Q8" s="3637"/>
      <c r="R8" s="664" t="s">
        <v>14</v>
      </c>
      <c r="S8" s="665">
        <f t="shared" si="0"/>
        <v>100</v>
      </c>
      <c r="T8" s="664" t="s">
        <v>14</v>
      </c>
      <c r="U8" s="665">
        <f t="shared" si="1"/>
        <v>100</v>
      </c>
      <c r="V8" s="664" t="s">
        <v>14</v>
      </c>
      <c r="W8" s="665">
        <f t="shared" si="2"/>
        <v>100</v>
      </c>
      <c r="X8" s="666"/>
      <c r="Y8" s="3636" t="s">
        <v>1681</v>
      </c>
      <c r="Z8" s="3637"/>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601" t="s">
        <v>1684</v>
      </c>
      <c r="Q9" s="530" t="str">
        <f t="shared" ref="Q9:Q14" si="6">B9</f>
        <v>用途</v>
      </c>
      <c r="R9" s="664" t="s">
        <v>14</v>
      </c>
      <c r="S9" s="665">
        <f t="shared" si="0"/>
        <v>100</v>
      </c>
      <c r="T9" s="664" t="s">
        <v>14</v>
      </c>
      <c r="U9" s="665">
        <f t="shared" si="1"/>
        <v>100</v>
      </c>
      <c r="V9" s="664" t="s">
        <v>14</v>
      </c>
      <c r="W9" s="665">
        <f t="shared" si="2"/>
        <v>100</v>
      </c>
      <c r="X9" s="666"/>
      <c r="Y9" s="3476"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601"/>
      <c r="Q10" s="530" t="str">
        <f t="shared" si="6"/>
        <v>土地使用年限（年）</v>
      </c>
      <c r="R10" s="664" t="s">
        <v>14</v>
      </c>
      <c r="S10" s="665">
        <f t="shared" si="0"/>
        <v>100</v>
      </c>
      <c r="T10" s="664" t="s">
        <v>14</v>
      </c>
      <c r="U10" s="665">
        <f t="shared" si="1"/>
        <v>100</v>
      </c>
      <c r="V10" s="664" t="s">
        <v>14</v>
      </c>
      <c r="W10" s="665">
        <f t="shared" si="2"/>
        <v>100</v>
      </c>
      <c r="X10" s="666"/>
      <c r="Y10" s="347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601"/>
      <c r="Q11" s="530">
        <f t="shared" si="6"/>
        <v>111</v>
      </c>
      <c r="R11" s="664" t="s">
        <v>14</v>
      </c>
      <c r="S11" s="665">
        <f t="shared" si="0"/>
        <v>100</v>
      </c>
      <c r="T11" s="664" t="s">
        <v>14</v>
      </c>
      <c r="U11" s="665">
        <f t="shared" si="1"/>
        <v>100</v>
      </c>
      <c r="V11" s="664" t="s">
        <v>14</v>
      </c>
      <c r="W11" s="665">
        <f t="shared" si="2"/>
        <v>100</v>
      </c>
      <c r="X11" s="666"/>
      <c r="Y11" s="347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601"/>
      <c r="Q12" s="530">
        <f t="shared" si="6"/>
        <v>111</v>
      </c>
      <c r="R12" s="664" t="s">
        <v>14</v>
      </c>
      <c r="S12" s="665">
        <f t="shared" si="0"/>
        <v>100</v>
      </c>
      <c r="T12" s="664" t="s">
        <v>14</v>
      </c>
      <c r="U12" s="665">
        <f t="shared" si="1"/>
        <v>100</v>
      </c>
      <c r="V12" s="664" t="s">
        <v>14</v>
      </c>
      <c r="W12" s="665">
        <f t="shared" si="2"/>
        <v>100</v>
      </c>
      <c r="X12" s="666"/>
      <c r="Y12" s="347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601"/>
      <c r="Q13" s="530">
        <f t="shared" si="6"/>
        <v>111</v>
      </c>
      <c r="R13" s="664" t="s">
        <v>14</v>
      </c>
      <c r="S13" s="665">
        <f t="shared" si="0"/>
        <v>100</v>
      </c>
      <c r="T13" s="664" t="s">
        <v>14</v>
      </c>
      <c r="U13" s="665">
        <f t="shared" si="1"/>
        <v>100</v>
      </c>
      <c r="V13" s="664" t="s">
        <v>14</v>
      </c>
      <c r="W13" s="665">
        <f t="shared" si="2"/>
        <v>100</v>
      </c>
      <c r="X13" s="666"/>
      <c r="Y13" s="3476"/>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603" t="s">
        <v>1689</v>
      </c>
      <c r="Q14" s="1263" t="str">
        <f t="shared" si="6"/>
        <v>交通便捷度</v>
      </c>
      <c r="R14" s="667" t="s">
        <v>14</v>
      </c>
      <c r="S14" s="668">
        <f t="shared" si="0"/>
        <v>100</v>
      </c>
      <c r="T14" s="667" t="s">
        <v>14</v>
      </c>
      <c r="U14" s="668">
        <f t="shared" si="1"/>
        <v>100</v>
      </c>
      <c r="V14" s="667" t="s">
        <v>14</v>
      </c>
      <c r="W14" s="668">
        <f t="shared" si="2"/>
        <v>100</v>
      </c>
      <c r="X14" s="1265"/>
      <c r="Y14" s="3603"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604"/>
      <c r="Q15" s="1263"/>
      <c r="R15" s="667"/>
      <c r="S15" s="668"/>
      <c r="T15" s="667"/>
      <c r="U15" s="668"/>
      <c r="V15" s="667"/>
      <c r="W15" s="668"/>
      <c r="X15" s="1265"/>
      <c r="Y15" s="3604"/>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604"/>
      <c r="Q16" s="1263" t="str">
        <f>B16</f>
        <v>公共配套设施</v>
      </c>
      <c r="R16" s="667" t="s">
        <v>14</v>
      </c>
      <c r="S16" s="668">
        <f>F16</f>
        <v>100</v>
      </c>
      <c r="T16" s="667" t="s">
        <v>14</v>
      </c>
      <c r="U16" s="668">
        <f>H16</f>
        <v>100</v>
      </c>
      <c r="V16" s="667" t="s">
        <v>14</v>
      </c>
      <c r="W16" s="668">
        <f>J16</f>
        <v>100</v>
      </c>
      <c r="X16" s="1265"/>
      <c r="Y16" s="360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604"/>
      <c r="Q17" s="1263"/>
      <c r="R17" s="667"/>
      <c r="S17" s="668"/>
      <c r="T17" s="667"/>
      <c r="U17" s="668"/>
      <c r="V17" s="667"/>
      <c r="W17" s="668"/>
      <c r="X17" s="1265"/>
      <c r="Y17" s="3604"/>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604"/>
      <c r="Q18" s="1263" t="str">
        <f>B18</f>
        <v>基础设施水平</v>
      </c>
      <c r="R18" s="667" t="s">
        <v>14</v>
      </c>
      <c r="S18" s="668">
        <f>F18</f>
        <v>100</v>
      </c>
      <c r="T18" s="667" t="s">
        <v>14</v>
      </c>
      <c r="U18" s="668">
        <f>H18</f>
        <v>100</v>
      </c>
      <c r="V18" s="667" t="s">
        <v>14</v>
      </c>
      <c r="W18" s="668">
        <f>J18</f>
        <v>100</v>
      </c>
      <c r="X18" s="1265"/>
      <c r="Y18" s="360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604"/>
      <c r="Q19" s="1263"/>
      <c r="R19" s="667"/>
      <c r="S19" s="668"/>
      <c r="T19" s="667"/>
      <c r="U19" s="668"/>
      <c r="V19" s="667"/>
      <c r="W19" s="668"/>
      <c r="X19" s="1265"/>
      <c r="Y19" s="3604"/>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604"/>
      <c r="Q20" s="1263" t="str">
        <f>B20</f>
        <v>自然及人文环境</v>
      </c>
      <c r="R20" s="667" t="s">
        <v>14</v>
      </c>
      <c r="S20" s="668">
        <f>F20</f>
        <v>100</v>
      </c>
      <c r="T20" s="667" t="s">
        <v>14</v>
      </c>
      <c r="U20" s="668">
        <f>H20</f>
        <v>100</v>
      </c>
      <c r="V20" s="667" t="s">
        <v>14</v>
      </c>
      <c r="W20" s="668">
        <f>J20</f>
        <v>100</v>
      </c>
      <c r="X20" s="1265"/>
      <c r="Y20" s="360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604"/>
      <c r="Q21" s="1263"/>
      <c r="R21" s="667"/>
      <c r="S21" s="668"/>
      <c r="T21" s="667"/>
      <c r="U21" s="668"/>
      <c r="V21" s="667"/>
      <c r="W21" s="668"/>
      <c r="X21" s="1265"/>
      <c r="Y21" s="3604"/>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604"/>
      <c r="Q22" s="1263" t="str">
        <f>B22</f>
        <v>楼层</v>
      </c>
      <c r="R22" s="667" t="s">
        <v>14</v>
      </c>
      <c r="S22" s="668">
        <f>F22</f>
        <v>100</v>
      </c>
      <c r="T22" s="667" t="s">
        <v>14</v>
      </c>
      <c r="U22" s="668">
        <f>H22</f>
        <v>100</v>
      </c>
      <c r="V22" s="667" t="s">
        <v>14</v>
      </c>
      <c r="W22" s="668">
        <f>J22</f>
        <v>100</v>
      </c>
      <c r="X22" s="1265"/>
      <c r="Y22" s="360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604"/>
      <c r="Q23" s="1263">
        <f>B23</f>
        <v>111</v>
      </c>
      <c r="R23" s="667" t="s">
        <v>14</v>
      </c>
      <c r="S23" s="668">
        <f>F23</f>
        <v>100</v>
      </c>
      <c r="T23" s="667" t="s">
        <v>14</v>
      </c>
      <c r="U23" s="668">
        <f>H23</f>
        <v>100</v>
      </c>
      <c r="V23" s="667" t="s">
        <v>14</v>
      </c>
      <c r="W23" s="668">
        <f>J23</f>
        <v>100</v>
      </c>
      <c r="X23" s="1265"/>
      <c r="Y23" s="360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604"/>
      <c r="Q24" s="1263">
        <f t="shared" ref="Q24:Q34" si="11">B24</f>
        <v>111</v>
      </c>
      <c r="R24" s="667" t="s">
        <v>14</v>
      </c>
      <c r="S24" s="668">
        <f>F24</f>
        <v>100</v>
      </c>
      <c r="T24" s="667" t="s">
        <v>14</v>
      </c>
      <c r="U24" s="668">
        <f>H24</f>
        <v>100</v>
      </c>
      <c r="V24" s="667" t="s">
        <v>14</v>
      </c>
      <c r="W24" s="668">
        <f>J24</f>
        <v>100</v>
      </c>
      <c r="X24" s="1265"/>
      <c r="Y24" s="360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604"/>
      <c r="Q25" s="530">
        <f t="shared" si="11"/>
        <v>111</v>
      </c>
      <c r="R25" s="664" t="s">
        <v>14</v>
      </c>
      <c r="S25" s="665">
        <f>F25</f>
        <v>100</v>
      </c>
      <c r="T25" s="664" t="s">
        <v>14</v>
      </c>
      <c r="U25" s="665">
        <f>H25</f>
        <v>100</v>
      </c>
      <c r="V25" s="664" t="s">
        <v>14</v>
      </c>
      <c r="W25" s="665">
        <f>J25</f>
        <v>100</v>
      </c>
      <c r="X25" s="666"/>
      <c r="Y25" s="3604"/>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8"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08"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08"/>
      <c r="Q27" s="531" t="str">
        <f t="shared" si="11"/>
        <v>成新率</v>
      </c>
      <c r="R27" s="669" t="s">
        <v>14</v>
      </c>
      <c r="S27" s="670" t="e">
        <f t="shared" si="12"/>
        <v>#N/A</v>
      </c>
      <c r="T27" s="669" t="s">
        <v>14</v>
      </c>
      <c r="U27" s="670" t="e">
        <f t="shared" si="13"/>
        <v>#N/A</v>
      </c>
      <c r="V27" s="669" t="s">
        <v>14</v>
      </c>
      <c r="W27" s="670" t="e">
        <f t="shared" si="14"/>
        <v>#N/A</v>
      </c>
      <c r="X27" s="671"/>
      <c r="Y27" s="3608"/>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08"/>
      <c r="Q28" s="1263" t="str">
        <f t="shared" si="11"/>
        <v>物业等级</v>
      </c>
      <c r="R28" s="667" t="s">
        <v>14</v>
      </c>
      <c r="S28" s="668">
        <f t="shared" si="12"/>
        <v>100</v>
      </c>
      <c r="T28" s="667" t="s">
        <v>14</v>
      </c>
      <c r="U28" s="668">
        <f t="shared" si="13"/>
        <v>100</v>
      </c>
      <c r="V28" s="667" t="s">
        <v>14</v>
      </c>
      <c r="W28" s="668">
        <f t="shared" si="14"/>
        <v>100</v>
      </c>
      <c r="X28" s="1265"/>
      <c r="Y28" s="3608"/>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08"/>
      <c r="Q29" s="1263" t="str">
        <f t="shared" si="11"/>
        <v>有无电梯</v>
      </c>
      <c r="R29" s="667" t="s">
        <v>14</v>
      </c>
      <c r="S29" s="668">
        <f t="shared" si="12"/>
        <v>100</v>
      </c>
      <c r="T29" s="667" t="s">
        <v>14</v>
      </c>
      <c r="U29" s="668">
        <f t="shared" si="13"/>
        <v>100</v>
      </c>
      <c r="V29" s="667" t="s">
        <v>14</v>
      </c>
      <c r="W29" s="668">
        <f t="shared" si="14"/>
        <v>100</v>
      </c>
      <c r="X29" s="1265"/>
      <c r="Y29" s="3608"/>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08"/>
      <c r="Q30" s="1263" t="str">
        <f t="shared" si="11"/>
        <v>建筑面积</v>
      </c>
      <c r="R30" s="667" t="s">
        <v>14</v>
      </c>
      <c r="S30" s="668" t="e">
        <f t="shared" si="12"/>
        <v>#N/A</v>
      </c>
      <c r="T30" s="667" t="s">
        <v>14</v>
      </c>
      <c r="U30" s="668" t="e">
        <f t="shared" si="13"/>
        <v>#N/A</v>
      </c>
      <c r="V30" s="667" t="s">
        <v>14</v>
      </c>
      <c r="W30" s="668" t="e">
        <f t="shared" si="14"/>
        <v>#N/A</v>
      </c>
      <c r="X30" s="1265"/>
      <c r="Y30" s="3608"/>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08"/>
      <c r="Q31" s="530" t="str">
        <f t="shared" si="11"/>
        <v>是否封闭</v>
      </c>
      <c r="R31" s="664" t="s">
        <v>14</v>
      </c>
      <c r="S31" s="665">
        <f t="shared" si="12"/>
        <v>100</v>
      </c>
      <c r="T31" s="664" t="s">
        <v>14</v>
      </c>
      <c r="U31" s="665">
        <f t="shared" si="13"/>
        <v>100</v>
      </c>
      <c r="V31" s="664" t="s">
        <v>14</v>
      </c>
      <c r="W31" s="665">
        <f t="shared" si="14"/>
        <v>100</v>
      </c>
      <c r="X31" s="666"/>
      <c r="Y31" s="360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08" t="s">
        <v>1694</v>
      </c>
      <c r="Q32" s="1263">
        <f t="shared" si="11"/>
        <v>111</v>
      </c>
      <c r="R32" s="667" t="s">
        <v>14</v>
      </c>
      <c r="S32" s="668">
        <f t="shared" si="12"/>
        <v>100</v>
      </c>
      <c r="T32" s="667" t="s">
        <v>14</v>
      </c>
      <c r="U32" s="668">
        <f t="shared" si="13"/>
        <v>100</v>
      </c>
      <c r="V32" s="667" t="s">
        <v>14</v>
      </c>
      <c r="W32" s="668">
        <f t="shared" si="14"/>
        <v>100</v>
      </c>
      <c r="X32" s="1265"/>
      <c r="Y32" s="3608"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08"/>
      <c r="Q33" s="1263">
        <f t="shared" si="11"/>
        <v>111</v>
      </c>
      <c r="R33" s="667" t="s">
        <v>14</v>
      </c>
      <c r="S33" s="668">
        <f t="shared" si="12"/>
        <v>100</v>
      </c>
      <c r="T33" s="667" t="s">
        <v>14</v>
      </c>
      <c r="U33" s="668">
        <f t="shared" si="13"/>
        <v>100</v>
      </c>
      <c r="V33" s="667" t="s">
        <v>14</v>
      </c>
      <c r="W33" s="668">
        <f t="shared" si="14"/>
        <v>100</v>
      </c>
      <c r="X33" s="1265"/>
      <c r="Y33" s="360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08"/>
      <c r="Q34" s="1263">
        <f t="shared" si="11"/>
        <v>111</v>
      </c>
      <c r="R34" s="667" t="s">
        <v>14</v>
      </c>
      <c r="S34" s="668">
        <f t="shared" si="12"/>
        <v>100</v>
      </c>
      <c r="T34" s="667" t="s">
        <v>14</v>
      </c>
      <c r="U34" s="668">
        <f t="shared" si="13"/>
        <v>100</v>
      </c>
      <c r="V34" s="667" t="s">
        <v>14</v>
      </c>
      <c r="W34" s="668">
        <f t="shared" si="14"/>
        <v>100</v>
      </c>
      <c r="X34" s="1265"/>
      <c r="Y34" s="3608"/>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601" t="str">
        <f>A35</f>
        <v>成交单价（元/平方米）</v>
      </c>
      <c r="Q35" s="3601"/>
      <c r="R35" s="3602">
        <f>E35</f>
        <v>0</v>
      </c>
      <c r="S35" s="3602"/>
      <c r="T35" s="3602">
        <f>G35</f>
        <v>0</v>
      </c>
      <c r="U35" s="3602"/>
      <c r="V35" s="3602">
        <f>I35</f>
        <v>0</v>
      </c>
      <c r="W35" s="3602"/>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601" t="str">
        <f>A36</f>
        <v>比较价值（元/平方米）</v>
      </c>
      <c r="Q36" s="3601"/>
      <c r="R36" s="3602" t="e">
        <f>IF(F1="售价",ROUND(PRODUCT(R35,AA7:AA34),0),ROUND(PRODUCT(R35,AA7:AA34),1))</f>
        <v>#DIV/0!</v>
      </c>
      <c r="S36" s="3602"/>
      <c r="T36" s="3602" t="e">
        <f>IF(F1="售价",ROUND(PRODUCT(T35,AB7:AB34),0),ROUND(PRODUCT(T35,AB7:AB34),1))</f>
        <v>#DIV/0!</v>
      </c>
      <c r="U36" s="3602"/>
      <c r="V36" s="3602" t="e">
        <f>IF(F1="售价",ROUND(PRODUCT(V35,AC7:AC34),0),ROUND(PRODUCT(V35,AC7:AC34),1))</f>
        <v>#DIV/0!</v>
      </c>
      <c r="W36" s="3602"/>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598" t="str">
        <f>A37</f>
        <v>估价对象XX用房的比较价值（楼面单价，元/平方米）</v>
      </c>
      <c r="Q37" s="3599"/>
      <c r="R37" s="3659" t="e">
        <f>IF(F1="售价",ROUND(IF(D36="简单平均",AVERAGE(R36:W36),R36*F36+T36*H36+V36*J36),0),ROUND(IF(D36="简单平均",AVERAGE(R36:V36),R36*F36+T36*H36+V36*J36),1))</f>
        <v>#DIV/0!</v>
      </c>
      <c r="S37" s="3659"/>
      <c r="T37" s="3659"/>
      <c r="U37" s="3659"/>
      <c r="V37" s="3659"/>
      <c r="W37" s="365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55" priority="13" stopIfTrue="1">
      <formula>$F$40="超过30%"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F7:F34 H7:H34 J7:J34">
    <cfRule type="cellIs" dxfId="52" priority="1" operator="notEqual">
      <formula>100</formula>
    </cfRule>
  </conditionalFormatting>
  <conditionalFormatting sqref="F36">
    <cfRule type="expression" dxfId="51" priority="4">
      <formula>$D$36="简单平均"</formula>
    </cfRule>
  </conditionalFormatting>
  <conditionalFormatting sqref="F40:F42 H40:H42 J40:J42">
    <cfRule type="containsText" dxfId="50" priority="14" stopIfTrue="1" operator="containsText" text="超过">
      <formula>NOT(ISERROR(SEARCH("超过",F40)))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G42">
    <cfRule type="expression" dxfId="47" priority="12" stopIfTrue="1">
      <formula>$H$54+$H$42="超过30%"</formula>
    </cfRule>
  </conditionalFormatting>
  <conditionalFormatting sqref="H36">
    <cfRule type="expression" dxfId="46" priority="3">
      <formula>$D$36="简单平均"</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J36">
    <cfRule type="expression" dxfId="42"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6" t="s">
        <v>1768</v>
      </c>
      <c r="D4" s="3617"/>
      <c r="E4" s="3618" t="s">
        <v>1769</v>
      </c>
      <c r="F4" s="3619"/>
      <c r="G4" s="3616" t="s">
        <v>1770</v>
      </c>
      <c r="H4" s="3617"/>
      <c r="I4" s="3616" t="s">
        <v>1771</v>
      </c>
      <c r="J4" s="3617"/>
      <c r="K4" s="537" t="s">
        <v>1772</v>
      </c>
      <c r="L4" s="2487"/>
      <c r="M4" s="2488"/>
      <c r="N4" s="2488"/>
      <c r="O4" s="2488"/>
      <c r="P4" s="3620" t="s">
        <v>1773</v>
      </c>
      <c r="Q4" s="3621"/>
      <c r="R4" s="3626" t="s">
        <v>1769</v>
      </c>
      <c r="S4" s="3627"/>
      <c r="T4" s="3626" t="s">
        <v>1770</v>
      </c>
      <c r="U4" s="3627"/>
      <c r="V4" s="3602" t="s">
        <v>1771</v>
      </c>
      <c r="W4" s="3602"/>
      <c r="X4" s="1265"/>
      <c r="Y4" s="3626" t="s">
        <v>1773</v>
      </c>
      <c r="Z4" s="3627"/>
      <c r="AA4" s="3613" t="s">
        <v>1769</v>
      </c>
      <c r="AB4" s="3614" t="s">
        <v>1770</v>
      </c>
      <c r="AC4" s="3613" t="s">
        <v>1771</v>
      </c>
    </row>
    <row r="5" spans="1:29" ht="15">
      <c r="A5" s="348"/>
      <c r="B5" s="349"/>
      <c r="C5" s="3634" t="s">
        <v>1671</v>
      </c>
      <c r="D5" s="3635"/>
      <c r="E5" s="3641" t="s">
        <v>1672</v>
      </c>
      <c r="F5" s="3642"/>
      <c r="G5" s="3634" t="s">
        <v>1673</v>
      </c>
      <c r="H5" s="3635"/>
      <c r="I5" s="3634" t="s">
        <v>1674</v>
      </c>
      <c r="J5" s="3635"/>
      <c r="K5" s="537"/>
      <c r="L5" s="2487"/>
      <c r="M5" s="2488"/>
      <c r="N5" s="2488"/>
      <c r="O5" s="2488"/>
      <c r="P5" s="3622"/>
      <c r="Q5" s="3623"/>
      <c r="R5" s="3628"/>
      <c r="S5" s="3629"/>
      <c r="T5" s="3628"/>
      <c r="U5" s="3629"/>
      <c r="V5" s="3602"/>
      <c r="W5" s="3602"/>
      <c r="X5" s="1265"/>
      <c r="Y5" s="3628"/>
      <c r="Z5" s="3629"/>
      <c r="AA5" s="3614"/>
      <c r="AB5" s="3614"/>
      <c r="AC5" s="3614"/>
    </row>
    <row r="6" spans="1:29" ht="15.75" thickBot="1">
      <c r="A6" s="350"/>
      <c r="B6" s="351"/>
      <c r="C6" s="3632" t="s">
        <v>1675</v>
      </c>
      <c r="D6" s="3633"/>
      <c r="E6" s="3639" t="s">
        <v>1675</v>
      </c>
      <c r="F6" s="3640"/>
      <c r="G6" s="3632" t="s">
        <v>1675</v>
      </c>
      <c r="H6" s="3633"/>
      <c r="I6" s="3632" t="s">
        <v>1675</v>
      </c>
      <c r="J6" s="3633"/>
      <c r="K6" s="537" t="s">
        <v>1676</v>
      </c>
      <c r="L6" s="2487"/>
      <c r="M6" s="2488"/>
      <c r="N6" s="2488"/>
      <c r="O6" s="2488"/>
      <c r="P6" s="3624"/>
      <c r="Q6" s="3625"/>
      <c r="R6" s="3628"/>
      <c r="S6" s="3629"/>
      <c r="T6" s="3630"/>
      <c r="U6" s="3631"/>
      <c r="V6" s="3602"/>
      <c r="W6" s="3602"/>
      <c r="X6" s="1265"/>
      <c r="Y6" s="3630"/>
      <c r="Z6" s="3631"/>
      <c r="AA6" s="3615"/>
      <c r="AB6" s="3615"/>
      <c r="AC6" s="3615"/>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636" t="s">
        <v>1678</v>
      </c>
      <c r="Q7" s="3638"/>
      <c r="R7" s="664" t="s">
        <v>14</v>
      </c>
      <c r="S7" s="665">
        <f t="shared" ref="S7:S15" si="0">F7</f>
        <v>0</v>
      </c>
      <c r="T7" s="664" t="s">
        <v>14</v>
      </c>
      <c r="U7" s="665">
        <f t="shared" ref="U7:U15" si="1">H7</f>
        <v>0</v>
      </c>
      <c r="V7" s="664" t="s">
        <v>14</v>
      </c>
      <c r="W7" s="665">
        <f t="shared" ref="W7:W15" si="2">J7</f>
        <v>0</v>
      </c>
      <c r="X7" s="666"/>
      <c r="Y7" s="3636" t="s">
        <v>1678</v>
      </c>
      <c r="Z7" s="3637"/>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636" t="s">
        <v>1681</v>
      </c>
      <c r="Q8" s="3637"/>
      <c r="R8" s="664" t="s">
        <v>14</v>
      </c>
      <c r="S8" s="665">
        <f t="shared" si="0"/>
        <v>0</v>
      </c>
      <c r="T8" s="664" t="s">
        <v>14</v>
      </c>
      <c r="U8" s="665">
        <f t="shared" si="1"/>
        <v>0</v>
      </c>
      <c r="V8" s="664" t="s">
        <v>14</v>
      </c>
      <c r="W8" s="665">
        <f t="shared" si="2"/>
        <v>0</v>
      </c>
      <c r="X8" s="666"/>
      <c r="Y8" s="3636" t="s">
        <v>1681</v>
      </c>
      <c r="Z8" s="3637"/>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601" t="s">
        <v>1684</v>
      </c>
      <c r="Q9" s="530" t="str">
        <f t="shared" ref="Q9:Q15" si="6">B9</f>
        <v>用途</v>
      </c>
      <c r="R9" s="664" t="s">
        <v>14</v>
      </c>
      <c r="S9" s="665">
        <f t="shared" si="0"/>
        <v>100</v>
      </c>
      <c r="T9" s="664" t="s">
        <v>14</v>
      </c>
      <c r="U9" s="665">
        <f t="shared" si="1"/>
        <v>100</v>
      </c>
      <c r="V9" s="664" t="s">
        <v>14</v>
      </c>
      <c r="W9" s="665">
        <f t="shared" si="2"/>
        <v>100</v>
      </c>
      <c r="X9" s="666"/>
      <c r="Y9" s="3476"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601"/>
      <c r="Q10" s="530" t="str">
        <f t="shared" si="6"/>
        <v>土地使用年限（年）</v>
      </c>
      <c r="R10" s="664" t="s">
        <v>14</v>
      </c>
      <c r="S10" s="665">
        <f t="shared" si="0"/>
        <v>103</v>
      </c>
      <c r="T10" s="664" t="s">
        <v>14</v>
      </c>
      <c r="U10" s="665">
        <f t="shared" si="1"/>
        <v>103</v>
      </c>
      <c r="V10" s="664" t="s">
        <v>14</v>
      </c>
      <c r="W10" s="665">
        <f t="shared" si="2"/>
        <v>103</v>
      </c>
      <c r="X10" s="666"/>
      <c r="Y10" s="3476"/>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601"/>
      <c r="Q11" s="530" t="str">
        <f t="shared" si="6"/>
        <v>容积率</v>
      </c>
      <c r="R11" s="664" t="s">
        <v>14</v>
      </c>
      <c r="S11" s="665" t="e">
        <f t="shared" si="0"/>
        <v>#N/A</v>
      </c>
      <c r="T11" s="664" t="s">
        <v>14</v>
      </c>
      <c r="U11" s="665" t="e">
        <f t="shared" si="1"/>
        <v>#N/A</v>
      </c>
      <c r="V11" s="664" t="s">
        <v>14</v>
      </c>
      <c r="W11" s="665" t="e">
        <f t="shared" si="2"/>
        <v>#N/A</v>
      </c>
      <c r="X11" s="666"/>
      <c r="Y11" s="3476"/>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601"/>
      <c r="Q12" s="530" t="str">
        <f t="shared" si="6"/>
        <v>配建</v>
      </c>
      <c r="R12" s="664" t="s">
        <v>14</v>
      </c>
      <c r="S12" s="665">
        <f t="shared" si="0"/>
        <v>100</v>
      </c>
      <c r="T12" s="664" t="s">
        <v>14</v>
      </c>
      <c r="U12" s="665">
        <f t="shared" si="1"/>
        <v>100</v>
      </c>
      <c r="V12" s="664" t="s">
        <v>14</v>
      </c>
      <c r="W12" s="665">
        <f t="shared" si="2"/>
        <v>100</v>
      </c>
      <c r="X12" s="666"/>
      <c r="Y12" s="347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601"/>
      <c r="Q13" s="530">
        <f t="shared" si="6"/>
        <v>111</v>
      </c>
      <c r="R13" s="664" t="s">
        <v>14</v>
      </c>
      <c r="S13" s="665">
        <f t="shared" si="0"/>
        <v>100</v>
      </c>
      <c r="T13" s="664" t="s">
        <v>14</v>
      </c>
      <c r="U13" s="665">
        <f t="shared" si="1"/>
        <v>100</v>
      </c>
      <c r="V13" s="664" t="s">
        <v>14</v>
      </c>
      <c r="W13" s="665">
        <f t="shared" si="2"/>
        <v>100</v>
      </c>
      <c r="X13" s="666"/>
      <c r="Y13" s="347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601"/>
      <c r="Q14" s="530">
        <f t="shared" si="6"/>
        <v>111</v>
      </c>
      <c r="R14" s="664" t="s">
        <v>14</v>
      </c>
      <c r="S14" s="665">
        <f t="shared" si="0"/>
        <v>100</v>
      </c>
      <c r="T14" s="664" t="s">
        <v>14</v>
      </c>
      <c r="U14" s="665">
        <f t="shared" si="1"/>
        <v>100</v>
      </c>
      <c r="V14" s="664" t="s">
        <v>14</v>
      </c>
      <c r="W14" s="665">
        <f t="shared" si="2"/>
        <v>100</v>
      </c>
      <c r="X14" s="666"/>
      <c r="Y14" s="3476"/>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603" t="s">
        <v>1689</v>
      </c>
      <c r="Q15" s="1263" t="str">
        <f t="shared" si="6"/>
        <v>居住社区成熟度</v>
      </c>
      <c r="R15" s="667" t="s">
        <v>14</v>
      </c>
      <c r="S15" s="668">
        <f t="shared" si="0"/>
        <v>100</v>
      </c>
      <c r="T15" s="667" t="s">
        <v>14</v>
      </c>
      <c r="U15" s="668">
        <f t="shared" si="1"/>
        <v>100</v>
      </c>
      <c r="V15" s="667" t="s">
        <v>14</v>
      </c>
      <c r="W15" s="668">
        <f t="shared" si="2"/>
        <v>100</v>
      </c>
      <c r="X15" s="1265"/>
      <c r="Y15" s="3603"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604"/>
      <c r="Q16" s="1263"/>
      <c r="R16" s="667"/>
      <c r="S16" s="668"/>
      <c r="T16" s="667"/>
      <c r="U16" s="668"/>
      <c r="V16" s="667"/>
      <c r="W16" s="668"/>
      <c r="X16" s="1265"/>
      <c r="Y16" s="3604"/>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604"/>
      <c r="Q17" s="1263" t="str">
        <f>B17</f>
        <v>商业繁华度</v>
      </c>
      <c r="R17" s="667" t="s">
        <v>14</v>
      </c>
      <c r="S17" s="668">
        <f>F17</f>
        <v>100</v>
      </c>
      <c r="T17" s="667" t="s">
        <v>14</v>
      </c>
      <c r="U17" s="668">
        <f>H17</f>
        <v>100</v>
      </c>
      <c r="V17" s="667" t="s">
        <v>14</v>
      </c>
      <c r="W17" s="668">
        <f>J17</f>
        <v>100</v>
      </c>
      <c r="X17" s="1265"/>
      <c r="Y17" s="360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604"/>
      <c r="Q18" s="1263"/>
      <c r="R18" s="667"/>
      <c r="S18" s="668"/>
      <c r="T18" s="667"/>
      <c r="U18" s="668"/>
      <c r="V18" s="667"/>
      <c r="W18" s="668"/>
      <c r="X18" s="1265"/>
      <c r="Y18" s="3604"/>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604"/>
      <c r="Q19" s="1263" t="str">
        <f>B19</f>
        <v>办公集聚程度</v>
      </c>
      <c r="R19" s="667" t="s">
        <v>14</v>
      </c>
      <c r="S19" s="668">
        <f>F19</f>
        <v>100</v>
      </c>
      <c r="T19" s="667" t="s">
        <v>14</v>
      </c>
      <c r="U19" s="668">
        <f>H19</f>
        <v>100</v>
      </c>
      <c r="V19" s="667" t="s">
        <v>14</v>
      </c>
      <c r="W19" s="668">
        <f>J19</f>
        <v>100</v>
      </c>
      <c r="X19" s="1265"/>
      <c r="Y19" s="360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604"/>
      <c r="Q20" s="1263"/>
      <c r="R20" s="667"/>
      <c r="S20" s="668"/>
      <c r="T20" s="667"/>
      <c r="U20" s="668"/>
      <c r="V20" s="667"/>
      <c r="W20" s="668"/>
      <c r="X20" s="1265"/>
      <c r="Y20" s="3604"/>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604"/>
      <c r="Q21" s="1263" t="str">
        <f>B21</f>
        <v>交通便捷度</v>
      </c>
      <c r="R21" s="667" t="s">
        <v>14</v>
      </c>
      <c r="S21" s="668">
        <f>F21</f>
        <v>100</v>
      </c>
      <c r="T21" s="667" t="s">
        <v>14</v>
      </c>
      <c r="U21" s="668">
        <f>H21</f>
        <v>100</v>
      </c>
      <c r="V21" s="667" t="s">
        <v>14</v>
      </c>
      <c r="W21" s="668">
        <f>J21</f>
        <v>100</v>
      </c>
      <c r="X21" s="1265"/>
      <c r="Y21" s="360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604"/>
      <c r="Q22" s="1263"/>
      <c r="R22" s="667"/>
      <c r="S22" s="668"/>
      <c r="T22" s="667"/>
      <c r="U22" s="668"/>
      <c r="V22" s="667"/>
      <c r="W22" s="668"/>
      <c r="X22" s="1265"/>
      <c r="Y22" s="3604"/>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604"/>
      <c r="Q23" s="1263" t="str">
        <f t="shared" ref="Q23:Q37" si="8">B23</f>
        <v>区域土地利用方向</v>
      </c>
      <c r="R23" s="667" t="s">
        <v>14</v>
      </c>
      <c r="S23" s="668">
        <f>F23</f>
        <v>100</v>
      </c>
      <c r="T23" s="667" t="s">
        <v>14</v>
      </c>
      <c r="U23" s="668">
        <f>H23</f>
        <v>100</v>
      </c>
      <c r="V23" s="667" t="s">
        <v>14</v>
      </c>
      <c r="W23" s="668">
        <f>J23</f>
        <v>100</v>
      </c>
      <c r="X23" s="1265"/>
      <c r="Y23" s="360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604"/>
      <c r="Q24" s="1263"/>
      <c r="R24" s="667"/>
      <c r="S24" s="668"/>
      <c r="T24" s="667"/>
      <c r="U24" s="668"/>
      <c r="V24" s="667"/>
      <c r="W24" s="668"/>
      <c r="X24" s="1265"/>
      <c r="Y24" s="3604"/>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604"/>
      <c r="Q25" s="1263" t="str">
        <f t="shared" si="8"/>
        <v>自然及人文环境状况</v>
      </c>
      <c r="R25" s="667" t="s">
        <v>14</v>
      </c>
      <c r="S25" s="668">
        <f>F25</f>
        <v>100</v>
      </c>
      <c r="T25" s="667" t="s">
        <v>14</v>
      </c>
      <c r="U25" s="668">
        <f>H25</f>
        <v>100</v>
      </c>
      <c r="V25" s="667" t="s">
        <v>14</v>
      </c>
      <c r="W25" s="668">
        <f>J25</f>
        <v>100</v>
      </c>
      <c r="X25" s="1265"/>
      <c r="Y25" s="360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604"/>
      <c r="Q26" s="1263"/>
      <c r="R26" s="667"/>
      <c r="S26" s="668"/>
      <c r="T26" s="667"/>
      <c r="U26" s="668"/>
      <c r="V26" s="667"/>
      <c r="W26" s="668"/>
      <c r="X26" s="1265"/>
      <c r="Y26" s="3604"/>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604"/>
      <c r="Q27" s="530" t="str">
        <f t="shared" si="8"/>
        <v>公共配套设施</v>
      </c>
      <c r="R27" s="664" t="s">
        <v>14</v>
      </c>
      <c r="S27" s="665">
        <f>F27</f>
        <v>100</v>
      </c>
      <c r="T27" s="664" t="s">
        <v>14</v>
      </c>
      <c r="U27" s="665">
        <f>H27</f>
        <v>100</v>
      </c>
      <c r="V27" s="664" t="s">
        <v>14</v>
      </c>
      <c r="W27" s="665">
        <f>J27</f>
        <v>100</v>
      </c>
      <c r="X27" s="666"/>
      <c r="Y27" s="360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604"/>
      <c r="Q28" s="530"/>
      <c r="R28" s="664"/>
      <c r="S28" s="665"/>
      <c r="T28" s="664"/>
      <c r="U28" s="665"/>
      <c r="V28" s="664"/>
      <c r="W28" s="665"/>
      <c r="X28" s="666"/>
      <c r="Y28" s="3604"/>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604"/>
      <c r="Q29" s="530" t="str">
        <f t="shared" ref="Q29" si="9">B29</f>
        <v>基础设施水平</v>
      </c>
      <c r="R29" s="664" t="s">
        <v>14</v>
      </c>
      <c r="S29" s="665">
        <f>F29</f>
        <v>100</v>
      </c>
      <c r="T29" s="664" t="s">
        <v>14</v>
      </c>
      <c r="U29" s="665">
        <f>H29</f>
        <v>100</v>
      </c>
      <c r="V29" s="664" t="s">
        <v>14</v>
      </c>
      <c r="W29" s="665">
        <f>J29</f>
        <v>100</v>
      </c>
      <c r="X29" s="666"/>
      <c r="Y29" s="360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604"/>
      <c r="Q30" s="530"/>
      <c r="R30" s="664"/>
      <c r="S30" s="665"/>
      <c r="T30" s="664"/>
      <c r="U30" s="665"/>
      <c r="V30" s="664"/>
      <c r="W30" s="665"/>
      <c r="X30" s="666"/>
      <c r="Y30" s="3604"/>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60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604"/>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604"/>
      <c r="Q32" s="1263" t="str">
        <f t="shared" si="8"/>
        <v>毗邻道路的类型与等级</v>
      </c>
      <c r="R32" s="667" t="s">
        <v>14</v>
      </c>
      <c r="S32" s="668">
        <f t="shared" si="10"/>
        <v>100</v>
      </c>
      <c r="T32" s="667" t="s">
        <v>14</v>
      </c>
      <c r="U32" s="668">
        <f t="shared" si="11"/>
        <v>100</v>
      </c>
      <c r="V32" s="667" t="s">
        <v>14</v>
      </c>
      <c r="W32" s="668">
        <f t="shared" si="12"/>
        <v>100</v>
      </c>
      <c r="X32" s="1265"/>
      <c r="Y32" s="360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604"/>
      <c r="Q33" s="1263"/>
      <c r="R33" s="667"/>
      <c r="S33" s="668"/>
      <c r="T33" s="667"/>
      <c r="U33" s="668"/>
      <c r="V33" s="667"/>
      <c r="W33" s="668"/>
      <c r="X33" s="1265"/>
      <c r="Y33" s="3604"/>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604"/>
      <c r="Q34" s="1263" t="str">
        <f t="shared" si="8"/>
        <v>土地级别</v>
      </c>
      <c r="R34" s="667" t="s">
        <v>14</v>
      </c>
      <c r="S34" s="668">
        <f t="shared" si="10"/>
        <v>100</v>
      </c>
      <c r="T34" s="667" t="s">
        <v>14</v>
      </c>
      <c r="U34" s="668">
        <f t="shared" si="11"/>
        <v>100</v>
      </c>
      <c r="V34" s="667" t="s">
        <v>14</v>
      </c>
      <c r="W34" s="668">
        <f t="shared" si="12"/>
        <v>100</v>
      </c>
      <c r="X34" s="1265"/>
      <c r="Y34" s="360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604"/>
      <c r="Q35" s="1263">
        <f t="shared" si="8"/>
        <v>111</v>
      </c>
      <c r="R35" s="667" t="s">
        <v>14</v>
      </c>
      <c r="S35" s="668">
        <f t="shared" si="10"/>
        <v>100</v>
      </c>
      <c r="T35" s="667" t="s">
        <v>14</v>
      </c>
      <c r="U35" s="668">
        <f t="shared" si="11"/>
        <v>100</v>
      </c>
      <c r="V35" s="667" t="s">
        <v>14</v>
      </c>
      <c r="W35" s="668">
        <f t="shared" si="12"/>
        <v>100</v>
      </c>
      <c r="X35" s="1265"/>
      <c r="Y35" s="360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8" t="s">
        <v>1694</v>
      </c>
      <c r="Q36" s="1263">
        <f t="shared" si="8"/>
        <v>111</v>
      </c>
      <c r="R36" s="667" t="s">
        <v>14</v>
      </c>
      <c r="S36" s="668">
        <f t="shared" si="10"/>
        <v>100</v>
      </c>
      <c r="T36" s="667" t="s">
        <v>14</v>
      </c>
      <c r="U36" s="668">
        <f t="shared" si="11"/>
        <v>100</v>
      </c>
      <c r="V36" s="667" t="s">
        <v>14</v>
      </c>
      <c r="W36" s="668">
        <f t="shared" si="12"/>
        <v>100</v>
      </c>
      <c r="X36" s="1265"/>
      <c r="Y36" s="3608"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08"/>
      <c r="Q37" s="1263">
        <f t="shared" si="8"/>
        <v>111</v>
      </c>
      <c r="R37" s="669" t="s">
        <v>14</v>
      </c>
      <c r="S37" s="670">
        <f t="shared" si="10"/>
        <v>100</v>
      </c>
      <c r="T37" s="669" t="s">
        <v>14</v>
      </c>
      <c r="U37" s="670">
        <f t="shared" si="11"/>
        <v>100</v>
      </c>
      <c r="V37" s="669" t="s">
        <v>14</v>
      </c>
      <c r="W37" s="670">
        <f t="shared" si="12"/>
        <v>100</v>
      </c>
      <c r="X37" s="671"/>
      <c r="Y37" s="3608"/>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08"/>
      <c r="Q38" s="1263" t="str">
        <f>B38</f>
        <v>宗地面积</v>
      </c>
      <c r="R38" s="667" t="s">
        <v>14</v>
      </c>
      <c r="S38" s="668" t="e">
        <f t="shared" si="10"/>
        <v>#N/A</v>
      </c>
      <c r="T38" s="667" t="s">
        <v>14</v>
      </c>
      <c r="U38" s="668" t="e">
        <f t="shared" si="11"/>
        <v>#N/A</v>
      </c>
      <c r="V38" s="667" t="s">
        <v>14</v>
      </c>
      <c r="W38" s="668" t="e">
        <f t="shared" si="12"/>
        <v>#N/A</v>
      </c>
      <c r="X38" s="1265"/>
      <c r="Y38" s="3608"/>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08"/>
      <c r="Q39" s="1263" t="str">
        <f t="shared" ref="Q39:Q45" si="14">B39</f>
        <v>宗地形状</v>
      </c>
      <c r="R39" s="667" t="s">
        <v>14</v>
      </c>
      <c r="S39" s="668">
        <f t="shared" si="10"/>
        <v>100</v>
      </c>
      <c r="T39" s="667" t="s">
        <v>14</v>
      </c>
      <c r="U39" s="668">
        <f t="shared" si="11"/>
        <v>100</v>
      </c>
      <c r="V39" s="667" t="s">
        <v>14</v>
      </c>
      <c r="W39" s="668">
        <f t="shared" si="12"/>
        <v>100</v>
      </c>
      <c r="X39" s="1265"/>
      <c r="Y39" s="3608"/>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08"/>
      <c r="Q40" s="1263" t="str">
        <f t="shared" si="14"/>
        <v>临街宽度及深度</v>
      </c>
      <c r="R40" s="667" t="s">
        <v>14</v>
      </c>
      <c r="S40" s="668">
        <f t="shared" si="10"/>
        <v>100</v>
      </c>
      <c r="T40" s="667" t="s">
        <v>14</v>
      </c>
      <c r="U40" s="668">
        <f t="shared" si="11"/>
        <v>100</v>
      </c>
      <c r="V40" s="667" t="s">
        <v>14</v>
      </c>
      <c r="W40" s="668">
        <f t="shared" si="12"/>
        <v>100</v>
      </c>
      <c r="X40" s="1265"/>
      <c r="Y40" s="3608"/>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08"/>
      <c r="Q41" s="1263" t="str">
        <f t="shared" si="14"/>
        <v>宗地开发程度</v>
      </c>
      <c r="R41" s="664" t="s">
        <v>14</v>
      </c>
      <c r="S41" s="665">
        <f t="shared" si="10"/>
        <v>100</v>
      </c>
      <c r="T41" s="664" t="s">
        <v>14</v>
      </c>
      <c r="U41" s="665">
        <f t="shared" si="11"/>
        <v>100</v>
      </c>
      <c r="V41" s="664" t="s">
        <v>14</v>
      </c>
      <c r="W41" s="665">
        <f t="shared" si="12"/>
        <v>100</v>
      </c>
      <c r="X41" s="666"/>
      <c r="Y41" s="3608"/>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08" t="s">
        <v>1694</v>
      </c>
      <c r="Q42" s="1263" t="str">
        <f t="shared" si="14"/>
        <v>工程地质条件</v>
      </c>
      <c r="R42" s="667" t="s">
        <v>14</v>
      </c>
      <c r="S42" s="668">
        <f t="shared" si="10"/>
        <v>100</v>
      </c>
      <c r="T42" s="667" t="s">
        <v>14</v>
      </c>
      <c r="U42" s="668">
        <f t="shared" si="11"/>
        <v>100</v>
      </c>
      <c r="V42" s="667" t="s">
        <v>14</v>
      </c>
      <c r="W42" s="668">
        <f t="shared" si="12"/>
        <v>100</v>
      </c>
      <c r="X42" s="1265"/>
      <c r="Y42" s="3608"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08"/>
      <c r="Q43" s="1263">
        <f t="shared" si="14"/>
        <v>111</v>
      </c>
      <c r="R43" s="667" t="s">
        <v>14</v>
      </c>
      <c r="S43" s="668">
        <f t="shared" si="10"/>
        <v>100</v>
      </c>
      <c r="T43" s="667" t="s">
        <v>14</v>
      </c>
      <c r="U43" s="668">
        <f t="shared" si="11"/>
        <v>100</v>
      </c>
      <c r="V43" s="667" t="s">
        <v>14</v>
      </c>
      <c r="W43" s="668">
        <f t="shared" si="12"/>
        <v>100</v>
      </c>
      <c r="X43" s="1265"/>
      <c r="Y43" s="360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08"/>
      <c r="Q44" s="1263">
        <f t="shared" si="14"/>
        <v>111</v>
      </c>
      <c r="R44" s="667" t="s">
        <v>14</v>
      </c>
      <c r="S44" s="668">
        <f t="shared" si="10"/>
        <v>100</v>
      </c>
      <c r="T44" s="667" t="s">
        <v>14</v>
      </c>
      <c r="U44" s="668">
        <f t="shared" si="11"/>
        <v>100</v>
      </c>
      <c r="V44" s="667" t="s">
        <v>14</v>
      </c>
      <c r="W44" s="668">
        <f t="shared" si="12"/>
        <v>100</v>
      </c>
      <c r="X44" s="1265"/>
      <c r="Y44" s="360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08"/>
      <c r="Q45" s="1263">
        <f t="shared" si="14"/>
        <v>111</v>
      </c>
      <c r="R45" s="669" t="s">
        <v>14</v>
      </c>
      <c r="S45" s="670">
        <f t="shared" si="10"/>
        <v>100</v>
      </c>
      <c r="T45" s="669" t="s">
        <v>14</v>
      </c>
      <c r="U45" s="670">
        <f t="shared" si="11"/>
        <v>100</v>
      </c>
      <c r="V45" s="669" t="s">
        <v>14</v>
      </c>
      <c r="W45" s="670">
        <f t="shared" si="12"/>
        <v>100</v>
      </c>
      <c r="X45" s="671"/>
      <c r="Y45" s="3608"/>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601" t="str">
        <f>A46</f>
        <v>成交单价</v>
      </c>
      <c r="Q46" s="3601"/>
      <c r="R46" s="3602">
        <f>E46</f>
        <v>0</v>
      </c>
      <c r="S46" s="3602"/>
      <c r="T46" s="3602">
        <f>G46</f>
        <v>0</v>
      </c>
      <c r="U46" s="3602"/>
      <c r="V46" s="3602">
        <f>I46</f>
        <v>0</v>
      </c>
      <c r="W46" s="3602"/>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601" t="str">
        <f>A47</f>
        <v>比较价值（元/平方米）</v>
      </c>
      <c r="Q47" s="3601"/>
      <c r="R47" s="3660" t="e">
        <f>ROUND(PRODUCT(R46,AA7:AA45),0)</f>
        <v>#DIV/0!</v>
      </c>
      <c r="S47" s="3660"/>
      <c r="T47" s="3660" t="e">
        <f>ROUND(PRODUCT(T46,AB7:AB45),0)</f>
        <v>#DIV/0!</v>
      </c>
      <c r="U47" s="3660"/>
      <c r="V47" s="3660" t="e">
        <f>ROUND(PRODUCT(V46,AC7:AC45),0)</f>
        <v>#DIV/0!</v>
      </c>
      <c r="W47" s="3660"/>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598" t="str">
        <f>A48</f>
        <v>估价对象XX用房的比较价值（楼面单价，元/平方米）</v>
      </c>
      <c r="Q48" s="3599"/>
      <c r="R48" s="3661" t="e">
        <f>ROUND(IF(D47="简单平均",AVERAGE(R47:W47),R47*F47+T47*H47+V47*J47),0)</f>
        <v>#DIV/0!</v>
      </c>
      <c r="S48" s="3661"/>
      <c r="T48" s="3661"/>
      <c r="U48" s="3661"/>
      <c r="V48" s="3661"/>
      <c r="W48" s="366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6" t="s">
        <v>1885</v>
      </c>
      <c r="H55" s="3662"/>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12"/>
      <c r="H56" s="360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41" priority="13" stopIfTrue="1">
      <formula>$F$51="超过30%"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F7:F45 H7:H45 J7:J45">
    <cfRule type="cellIs" dxfId="38" priority="1" operator="notEqual">
      <formula>100</formula>
    </cfRule>
  </conditionalFormatting>
  <conditionalFormatting sqref="F47">
    <cfRule type="expression" dxfId="37" priority="4">
      <formula>$D$47="简单平均"</formula>
    </cfRule>
  </conditionalFormatting>
  <conditionalFormatting sqref="F51:F53 H51:H53 J51:J53">
    <cfRule type="containsText" dxfId="36" priority="14" stopIfTrue="1" operator="containsText" text="超过">
      <formula>NOT(ISERROR(SEARCH("超过",F51)))</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G53">
    <cfRule type="expression" dxfId="33" priority="12" stopIfTrue="1">
      <formula>$H$53="超过30%"</formula>
    </cfRule>
  </conditionalFormatting>
  <conditionalFormatting sqref="H47">
    <cfRule type="expression" dxfId="32" priority="3">
      <formula>$D$47="简单平均"</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J47">
    <cfRule type="expression" dxfId="28"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6" t="s">
        <v>1768</v>
      </c>
      <c r="D4" s="3617"/>
      <c r="E4" s="3618" t="s">
        <v>1769</v>
      </c>
      <c r="F4" s="3619"/>
      <c r="G4" s="3616" t="s">
        <v>1770</v>
      </c>
      <c r="H4" s="3617"/>
      <c r="I4" s="3616" t="s">
        <v>1771</v>
      </c>
      <c r="J4" s="3617"/>
      <c r="K4" s="537" t="s">
        <v>1772</v>
      </c>
      <c r="L4" s="2487"/>
      <c r="M4" s="2488"/>
      <c r="N4" s="2488"/>
      <c r="O4" s="2488"/>
      <c r="P4" s="3620" t="s">
        <v>1773</v>
      </c>
      <c r="Q4" s="3621"/>
      <c r="R4" s="3626" t="s">
        <v>1769</v>
      </c>
      <c r="S4" s="3627"/>
      <c r="T4" s="3626" t="s">
        <v>1770</v>
      </c>
      <c r="U4" s="3627"/>
      <c r="V4" s="3602" t="s">
        <v>1771</v>
      </c>
      <c r="W4" s="3602"/>
      <c r="X4" s="1265"/>
      <c r="Y4" s="3626" t="s">
        <v>1773</v>
      </c>
      <c r="Z4" s="3627"/>
      <c r="AA4" s="3613" t="s">
        <v>1769</v>
      </c>
      <c r="AB4" s="3614" t="s">
        <v>1770</v>
      </c>
      <c r="AC4" s="3613" t="s">
        <v>1771</v>
      </c>
    </row>
    <row r="5" spans="1:29" ht="15">
      <c r="A5" s="348"/>
      <c r="B5" s="349"/>
      <c r="C5" s="3634" t="s">
        <v>1671</v>
      </c>
      <c r="D5" s="3635"/>
      <c r="E5" s="3641" t="s">
        <v>1672</v>
      </c>
      <c r="F5" s="3642"/>
      <c r="G5" s="3634" t="s">
        <v>1673</v>
      </c>
      <c r="H5" s="3635"/>
      <c r="I5" s="3634" t="s">
        <v>1674</v>
      </c>
      <c r="J5" s="3635"/>
      <c r="K5" s="537"/>
      <c r="L5" s="2487"/>
      <c r="M5" s="2488"/>
      <c r="N5" s="2488"/>
      <c r="O5" s="2488"/>
      <c r="P5" s="3622"/>
      <c r="Q5" s="3623"/>
      <c r="R5" s="3628"/>
      <c r="S5" s="3629"/>
      <c r="T5" s="3628"/>
      <c r="U5" s="3629"/>
      <c r="V5" s="3602"/>
      <c r="W5" s="3602"/>
      <c r="X5" s="1265"/>
      <c r="Y5" s="3628"/>
      <c r="Z5" s="3629"/>
      <c r="AA5" s="3614"/>
      <c r="AB5" s="3614"/>
      <c r="AC5" s="3614"/>
    </row>
    <row r="6" spans="1:29" ht="15.75" thickBot="1">
      <c r="A6" s="350"/>
      <c r="B6" s="351"/>
      <c r="C6" s="3663" t="s">
        <v>1917</v>
      </c>
      <c r="D6" s="3664"/>
      <c r="E6" s="3665" t="s">
        <v>1917</v>
      </c>
      <c r="F6" s="3666"/>
      <c r="G6" s="3663" t="s">
        <v>1917</v>
      </c>
      <c r="H6" s="3664"/>
      <c r="I6" s="3663" t="s">
        <v>1917</v>
      </c>
      <c r="J6" s="3664"/>
      <c r="K6" s="537" t="s">
        <v>1676</v>
      </c>
      <c r="L6" s="2487"/>
      <c r="M6" s="2488"/>
      <c r="N6" s="2488"/>
      <c r="O6" s="2488"/>
      <c r="P6" s="3624"/>
      <c r="Q6" s="3625"/>
      <c r="R6" s="3628"/>
      <c r="S6" s="3629"/>
      <c r="T6" s="3630"/>
      <c r="U6" s="3631"/>
      <c r="V6" s="3602"/>
      <c r="W6" s="3602"/>
      <c r="X6" s="1265"/>
      <c r="Y6" s="3630"/>
      <c r="Z6" s="3631"/>
      <c r="AA6" s="3615"/>
      <c r="AB6" s="3615"/>
      <c r="AC6" s="3615"/>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636" t="s">
        <v>1678</v>
      </c>
      <c r="Q7" s="3638"/>
      <c r="R7" s="664" t="s">
        <v>14</v>
      </c>
      <c r="S7" s="665">
        <f t="shared" ref="S7:S15" si="0">F7</f>
        <v>0</v>
      </c>
      <c r="T7" s="664" t="s">
        <v>14</v>
      </c>
      <c r="U7" s="665">
        <f t="shared" ref="U7:U15" si="1">H7</f>
        <v>0</v>
      </c>
      <c r="V7" s="664" t="s">
        <v>14</v>
      </c>
      <c r="W7" s="665">
        <f t="shared" ref="W7:W15" si="2">J7</f>
        <v>0</v>
      </c>
      <c r="X7" s="666"/>
      <c r="Y7" s="3636" t="s">
        <v>1678</v>
      </c>
      <c r="Z7" s="3637"/>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636" t="s">
        <v>1681</v>
      </c>
      <c r="Q8" s="3637"/>
      <c r="R8" s="664" t="s">
        <v>14</v>
      </c>
      <c r="S8" s="665">
        <f t="shared" si="0"/>
        <v>0</v>
      </c>
      <c r="T8" s="664" t="s">
        <v>14</v>
      </c>
      <c r="U8" s="665">
        <f t="shared" si="1"/>
        <v>0</v>
      </c>
      <c r="V8" s="664" t="s">
        <v>14</v>
      </c>
      <c r="W8" s="665">
        <f t="shared" si="2"/>
        <v>0</v>
      </c>
      <c r="X8" s="666"/>
      <c r="Y8" s="3636" t="s">
        <v>1681</v>
      </c>
      <c r="Z8" s="3637"/>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601" t="s">
        <v>1684</v>
      </c>
      <c r="Q9" s="530" t="str">
        <f t="shared" ref="Q9:Q15" si="6">B9</f>
        <v>用途</v>
      </c>
      <c r="R9" s="664" t="s">
        <v>14</v>
      </c>
      <c r="S9" s="665">
        <f t="shared" si="0"/>
        <v>100</v>
      </c>
      <c r="T9" s="664" t="s">
        <v>14</v>
      </c>
      <c r="U9" s="665">
        <f t="shared" si="1"/>
        <v>100</v>
      </c>
      <c r="V9" s="664" t="s">
        <v>14</v>
      </c>
      <c r="W9" s="665">
        <f t="shared" si="2"/>
        <v>100</v>
      </c>
      <c r="X9" s="666"/>
      <c r="Y9" s="3476"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601"/>
      <c r="Q10" s="530" t="str">
        <f t="shared" si="6"/>
        <v>土地使用年限（年）</v>
      </c>
      <c r="R10" s="664" t="s">
        <v>14</v>
      </c>
      <c r="S10" s="665">
        <f t="shared" si="0"/>
        <v>103</v>
      </c>
      <c r="T10" s="664" t="s">
        <v>14</v>
      </c>
      <c r="U10" s="665">
        <f t="shared" si="1"/>
        <v>103</v>
      </c>
      <c r="V10" s="664" t="s">
        <v>14</v>
      </c>
      <c r="W10" s="665">
        <f t="shared" si="2"/>
        <v>103</v>
      </c>
      <c r="X10" s="666"/>
      <c r="Y10" s="3476"/>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601"/>
      <c r="Q11" s="530" t="str">
        <f t="shared" si="6"/>
        <v>容积率</v>
      </c>
      <c r="R11" s="664" t="s">
        <v>14</v>
      </c>
      <c r="S11" s="665" t="e">
        <f t="shared" si="0"/>
        <v>#N/A</v>
      </c>
      <c r="T11" s="664" t="s">
        <v>14</v>
      </c>
      <c r="U11" s="665" t="e">
        <f t="shared" si="1"/>
        <v>#N/A</v>
      </c>
      <c r="V11" s="664" t="s">
        <v>14</v>
      </c>
      <c r="W11" s="665" t="e">
        <f t="shared" si="2"/>
        <v>#N/A</v>
      </c>
      <c r="X11" s="666"/>
      <c r="Y11" s="347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601"/>
      <c r="Q12" s="530">
        <f t="shared" si="6"/>
        <v>111</v>
      </c>
      <c r="R12" s="664" t="s">
        <v>14</v>
      </c>
      <c r="S12" s="665">
        <f t="shared" si="0"/>
        <v>100</v>
      </c>
      <c r="T12" s="664" t="s">
        <v>14</v>
      </c>
      <c r="U12" s="665">
        <f t="shared" si="1"/>
        <v>100</v>
      </c>
      <c r="V12" s="664" t="s">
        <v>14</v>
      </c>
      <c r="W12" s="665">
        <f t="shared" si="2"/>
        <v>100</v>
      </c>
      <c r="X12" s="666"/>
      <c r="Y12" s="347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601"/>
      <c r="Q13" s="530">
        <f t="shared" si="6"/>
        <v>111</v>
      </c>
      <c r="R13" s="664" t="s">
        <v>14</v>
      </c>
      <c r="S13" s="665">
        <f t="shared" si="0"/>
        <v>100</v>
      </c>
      <c r="T13" s="664" t="s">
        <v>14</v>
      </c>
      <c r="U13" s="665">
        <f t="shared" si="1"/>
        <v>100</v>
      </c>
      <c r="V13" s="664" t="s">
        <v>14</v>
      </c>
      <c r="W13" s="665">
        <f t="shared" si="2"/>
        <v>100</v>
      </c>
      <c r="X13" s="666"/>
      <c r="Y13" s="347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601"/>
      <c r="Q14" s="530">
        <f t="shared" si="6"/>
        <v>111</v>
      </c>
      <c r="R14" s="664" t="s">
        <v>14</v>
      </c>
      <c r="S14" s="665">
        <f t="shared" si="0"/>
        <v>100</v>
      </c>
      <c r="T14" s="664" t="s">
        <v>14</v>
      </c>
      <c r="U14" s="665">
        <f t="shared" si="1"/>
        <v>100</v>
      </c>
      <c r="V14" s="664" t="s">
        <v>14</v>
      </c>
      <c r="W14" s="665">
        <f t="shared" si="2"/>
        <v>100</v>
      </c>
      <c r="X14" s="666"/>
      <c r="Y14" s="3476"/>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603" t="s">
        <v>1689</v>
      </c>
      <c r="Q15" s="1263" t="str">
        <f t="shared" si="6"/>
        <v>产业集聚程度</v>
      </c>
      <c r="R15" s="667" t="s">
        <v>14</v>
      </c>
      <c r="S15" s="668">
        <f t="shared" si="0"/>
        <v>100</v>
      </c>
      <c r="T15" s="667" t="s">
        <v>14</v>
      </c>
      <c r="U15" s="668">
        <f t="shared" si="1"/>
        <v>100</v>
      </c>
      <c r="V15" s="667" t="s">
        <v>14</v>
      </c>
      <c r="W15" s="668">
        <f t="shared" si="2"/>
        <v>100</v>
      </c>
      <c r="X15" s="1265"/>
      <c r="Y15" s="3603"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604"/>
      <c r="Q16" s="1263"/>
      <c r="R16" s="667"/>
      <c r="S16" s="668"/>
      <c r="T16" s="667"/>
      <c r="U16" s="668"/>
      <c r="V16" s="667"/>
      <c r="W16" s="668"/>
      <c r="X16" s="1265"/>
      <c r="Y16" s="3604"/>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604"/>
      <c r="Q17" s="1263" t="str">
        <f>B17</f>
        <v>交通便捷度</v>
      </c>
      <c r="R17" s="667" t="s">
        <v>14</v>
      </c>
      <c r="S17" s="668">
        <f>F17</f>
        <v>100</v>
      </c>
      <c r="T17" s="667" t="s">
        <v>14</v>
      </c>
      <c r="U17" s="668">
        <f>H17</f>
        <v>100</v>
      </c>
      <c r="V17" s="667" t="s">
        <v>14</v>
      </c>
      <c r="W17" s="668">
        <f>J17</f>
        <v>100</v>
      </c>
      <c r="X17" s="1265"/>
      <c r="Y17" s="360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604"/>
      <c r="Q18" s="1263"/>
      <c r="R18" s="667"/>
      <c r="S18" s="668"/>
      <c r="T18" s="667"/>
      <c r="U18" s="668"/>
      <c r="V18" s="667"/>
      <c r="W18" s="668"/>
      <c r="X18" s="1265"/>
      <c r="Y18" s="3604"/>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604"/>
      <c r="Q19" s="1263" t="str">
        <f t="shared" ref="Q19:Q33" si="8">B19</f>
        <v>区域土地利用方向</v>
      </c>
      <c r="R19" s="667" t="s">
        <v>14</v>
      </c>
      <c r="S19" s="668">
        <f>F19</f>
        <v>100</v>
      </c>
      <c r="T19" s="667" t="s">
        <v>14</v>
      </c>
      <c r="U19" s="668">
        <f>H19</f>
        <v>100</v>
      </c>
      <c r="V19" s="667" t="s">
        <v>14</v>
      </c>
      <c r="W19" s="668">
        <f>J19</f>
        <v>100</v>
      </c>
      <c r="X19" s="1265"/>
      <c r="Y19" s="360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604"/>
      <c r="Q20" s="1263"/>
      <c r="R20" s="667"/>
      <c r="S20" s="668"/>
      <c r="T20" s="667"/>
      <c r="U20" s="668"/>
      <c r="V20" s="667"/>
      <c r="W20" s="668"/>
      <c r="X20" s="1265"/>
      <c r="Y20" s="3604"/>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604"/>
      <c r="Q21" s="1263" t="str">
        <f t="shared" si="8"/>
        <v>环境状况</v>
      </c>
      <c r="R21" s="667" t="s">
        <v>14</v>
      </c>
      <c r="S21" s="668">
        <f>F21</f>
        <v>100</v>
      </c>
      <c r="T21" s="667" t="s">
        <v>14</v>
      </c>
      <c r="U21" s="668">
        <f>H21</f>
        <v>100</v>
      </c>
      <c r="V21" s="667" t="s">
        <v>14</v>
      </c>
      <c r="W21" s="668">
        <f>J21</f>
        <v>100</v>
      </c>
      <c r="X21" s="1265"/>
      <c r="Y21" s="360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604"/>
      <c r="Q22" s="1263"/>
      <c r="R22" s="667"/>
      <c r="S22" s="668"/>
      <c r="T22" s="667"/>
      <c r="U22" s="668"/>
      <c r="V22" s="667"/>
      <c r="W22" s="668"/>
      <c r="X22" s="1265"/>
      <c r="Y22" s="3604"/>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604"/>
      <c r="Q23" s="530" t="str">
        <f t="shared" si="8"/>
        <v>公共配套设施</v>
      </c>
      <c r="R23" s="664" t="s">
        <v>14</v>
      </c>
      <c r="S23" s="665">
        <f>F23</f>
        <v>100</v>
      </c>
      <c r="T23" s="664" t="s">
        <v>14</v>
      </c>
      <c r="U23" s="665">
        <f>H23</f>
        <v>100</v>
      </c>
      <c r="V23" s="664" t="s">
        <v>14</v>
      </c>
      <c r="W23" s="665">
        <f>J23</f>
        <v>100</v>
      </c>
      <c r="X23" s="666"/>
      <c r="Y23" s="360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604"/>
      <c r="Q24" s="530"/>
      <c r="R24" s="664"/>
      <c r="S24" s="665"/>
      <c r="T24" s="664"/>
      <c r="U24" s="665"/>
      <c r="V24" s="664"/>
      <c r="W24" s="665"/>
      <c r="X24" s="666"/>
      <c r="Y24" s="3604"/>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604"/>
      <c r="Q25" s="530" t="str">
        <f t="shared" ref="Q25" si="9">B25</f>
        <v>基础设施水平</v>
      </c>
      <c r="R25" s="664" t="s">
        <v>14</v>
      </c>
      <c r="S25" s="665">
        <f>F25</f>
        <v>100</v>
      </c>
      <c r="T25" s="664" t="s">
        <v>14</v>
      </c>
      <c r="U25" s="665">
        <f>H25</f>
        <v>100</v>
      </c>
      <c r="V25" s="664" t="s">
        <v>14</v>
      </c>
      <c r="W25" s="665">
        <f>J25</f>
        <v>100</v>
      </c>
      <c r="X25" s="666"/>
      <c r="Y25" s="360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604"/>
      <c r="Q26" s="530"/>
      <c r="R26" s="664"/>
      <c r="S26" s="665"/>
      <c r="T26" s="664"/>
      <c r="U26" s="665"/>
      <c r="V26" s="664"/>
      <c r="W26" s="665"/>
      <c r="X26" s="666"/>
      <c r="Y26" s="3604"/>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60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604"/>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604"/>
      <c r="Q28" s="1263" t="str">
        <f t="shared" si="8"/>
        <v>毗邻道路的类型与等级</v>
      </c>
      <c r="R28" s="667" t="s">
        <v>14</v>
      </c>
      <c r="S28" s="668">
        <f t="shared" si="10"/>
        <v>100</v>
      </c>
      <c r="T28" s="667" t="s">
        <v>14</v>
      </c>
      <c r="U28" s="668">
        <f t="shared" si="11"/>
        <v>100</v>
      </c>
      <c r="V28" s="667" t="s">
        <v>14</v>
      </c>
      <c r="W28" s="668">
        <f t="shared" si="12"/>
        <v>100</v>
      </c>
      <c r="X28" s="1265"/>
      <c r="Y28" s="360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604"/>
      <c r="Q29" s="1263"/>
      <c r="R29" s="667"/>
      <c r="S29" s="668"/>
      <c r="T29" s="667"/>
      <c r="U29" s="668"/>
      <c r="V29" s="667"/>
      <c r="W29" s="668"/>
      <c r="X29" s="1265"/>
      <c r="Y29" s="3604"/>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604"/>
      <c r="Q30" s="1263" t="str">
        <f t="shared" si="8"/>
        <v>土地级别</v>
      </c>
      <c r="R30" s="667" t="s">
        <v>14</v>
      </c>
      <c r="S30" s="668">
        <f t="shared" si="10"/>
        <v>100</v>
      </c>
      <c r="T30" s="667" t="s">
        <v>14</v>
      </c>
      <c r="U30" s="668">
        <f t="shared" si="11"/>
        <v>100</v>
      </c>
      <c r="V30" s="667" t="s">
        <v>14</v>
      </c>
      <c r="W30" s="668">
        <f t="shared" si="12"/>
        <v>100</v>
      </c>
      <c r="X30" s="1265"/>
      <c r="Y30" s="360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604"/>
      <c r="Q31" s="1263">
        <f t="shared" si="8"/>
        <v>111</v>
      </c>
      <c r="R31" s="667" t="s">
        <v>14</v>
      </c>
      <c r="S31" s="668">
        <f t="shared" si="10"/>
        <v>100</v>
      </c>
      <c r="T31" s="667" t="s">
        <v>14</v>
      </c>
      <c r="U31" s="668">
        <f t="shared" si="11"/>
        <v>100</v>
      </c>
      <c r="V31" s="667" t="s">
        <v>14</v>
      </c>
      <c r="W31" s="668">
        <f t="shared" si="12"/>
        <v>100</v>
      </c>
      <c r="X31" s="1265"/>
      <c r="Y31" s="360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8" t="s">
        <v>1694</v>
      </c>
      <c r="Q32" s="1263">
        <f t="shared" si="8"/>
        <v>111</v>
      </c>
      <c r="R32" s="667" t="s">
        <v>14</v>
      </c>
      <c r="S32" s="668">
        <f t="shared" si="10"/>
        <v>100</v>
      </c>
      <c r="T32" s="667" t="s">
        <v>14</v>
      </c>
      <c r="U32" s="668">
        <f t="shared" si="11"/>
        <v>100</v>
      </c>
      <c r="V32" s="667" t="s">
        <v>14</v>
      </c>
      <c r="W32" s="668">
        <f t="shared" si="12"/>
        <v>100</v>
      </c>
      <c r="X32" s="1265"/>
      <c r="Y32" s="3608"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08"/>
      <c r="Q33" s="1263">
        <f t="shared" si="8"/>
        <v>111</v>
      </c>
      <c r="R33" s="669" t="s">
        <v>14</v>
      </c>
      <c r="S33" s="670">
        <f t="shared" si="10"/>
        <v>100</v>
      </c>
      <c r="T33" s="669" t="s">
        <v>14</v>
      </c>
      <c r="U33" s="670">
        <f t="shared" si="11"/>
        <v>100</v>
      </c>
      <c r="V33" s="669" t="s">
        <v>14</v>
      </c>
      <c r="W33" s="670">
        <f t="shared" si="12"/>
        <v>100</v>
      </c>
      <c r="X33" s="671"/>
      <c r="Y33" s="3608"/>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08"/>
      <c r="Q34" s="1263" t="str">
        <f>B34</f>
        <v>宗地面积</v>
      </c>
      <c r="R34" s="667" t="s">
        <v>14</v>
      </c>
      <c r="S34" s="668" t="e">
        <f t="shared" si="10"/>
        <v>#N/A</v>
      </c>
      <c r="T34" s="667" t="s">
        <v>14</v>
      </c>
      <c r="U34" s="668" t="e">
        <f t="shared" si="11"/>
        <v>#N/A</v>
      </c>
      <c r="V34" s="667" t="s">
        <v>14</v>
      </c>
      <c r="W34" s="668" t="e">
        <f t="shared" si="12"/>
        <v>#N/A</v>
      </c>
      <c r="X34" s="1265"/>
      <c r="Y34" s="3608"/>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08"/>
      <c r="Q35" s="1263" t="str">
        <f t="shared" ref="Q35:Q40" si="14">B35</f>
        <v>宗地形状</v>
      </c>
      <c r="R35" s="667" t="s">
        <v>14</v>
      </c>
      <c r="S35" s="668">
        <f t="shared" si="10"/>
        <v>100</v>
      </c>
      <c r="T35" s="667" t="s">
        <v>14</v>
      </c>
      <c r="U35" s="668">
        <f t="shared" si="11"/>
        <v>100</v>
      </c>
      <c r="V35" s="667" t="s">
        <v>14</v>
      </c>
      <c r="W35" s="668">
        <f t="shared" si="12"/>
        <v>100</v>
      </c>
      <c r="X35" s="1265"/>
      <c r="Y35" s="3608"/>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08"/>
      <c r="Q36" s="1263" t="str">
        <f t="shared" si="14"/>
        <v>宗地开发程度</v>
      </c>
      <c r="R36" s="664" t="s">
        <v>14</v>
      </c>
      <c r="S36" s="665">
        <f t="shared" si="10"/>
        <v>100</v>
      </c>
      <c r="T36" s="664" t="s">
        <v>14</v>
      </c>
      <c r="U36" s="665">
        <f t="shared" si="11"/>
        <v>100</v>
      </c>
      <c r="V36" s="664" t="s">
        <v>14</v>
      </c>
      <c r="W36" s="665">
        <f t="shared" si="12"/>
        <v>100</v>
      </c>
      <c r="X36" s="666"/>
      <c r="Y36" s="3608"/>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08" t="s">
        <v>1694</v>
      </c>
      <c r="Q37" s="1263" t="str">
        <f t="shared" si="14"/>
        <v>工程地质条件</v>
      </c>
      <c r="R37" s="667" t="s">
        <v>14</v>
      </c>
      <c r="S37" s="668">
        <f t="shared" si="10"/>
        <v>100</v>
      </c>
      <c r="T37" s="667" t="s">
        <v>14</v>
      </c>
      <c r="U37" s="668">
        <f t="shared" si="11"/>
        <v>100</v>
      </c>
      <c r="V37" s="667" t="s">
        <v>14</v>
      </c>
      <c r="W37" s="668">
        <f t="shared" si="12"/>
        <v>100</v>
      </c>
      <c r="X37" s="1265"/>
      <c r="Y37" s="3608"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08"/>
      <c r="Q38" s="1263">
        <f t="shared" si="14"/>
        <v>111</v>
      </c>
      <c r="R38" s="667" t="s">
        <v>14</v>
      </c>
      <c r="S38" s="668">
        <f t="shared" si="10"/>
        <v>100</v>
      </c>
      <c r="T38" s="667" t="s">
        <v>14</v>
      </c>
      <c r="U38" s="668">
        <f t="shared" si="11"/>
        <v>100</v>
      </c>
      <c r="V38" s="667" t="s">
        <v>14</v>
      </c>
      <c r="W38" s="668">
        <f t="shared" si="12"/>
        <v>100</v>
      </c>
      <c r="X38" s="1265"/>
      <c r="Y38" s="360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08"/>
      <c r="Q39" s="1263">
        <f t="shared" si="14"/>
        <v>111</v>
      </c>
      <c r="R39" s="667" t="s">
        <v>14</v>
      </c>
      <c r="S39" s="668">
        <f t="shared" si="10"/>
        <v>100</v>
      </c>
      <c r="T39" s="667" t="s">
        <v>14</v>
      </c>
      <c r="U39" s="668">
        <f t="shared" si="11"/>
        <v>100</v>
      </c>
      <c r="V39" s="667" t="s">
        <v>14</v>
      </c>
      <c r="W39" s="668">
        <f t="shared" si="12"/>
        <v>100</v>
      </c>
      <c r="X39" s="1265"/>
      <c r="Y39" s="360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08"/>
      <c r="Q40" s="1263">
        <f t="shared" si="14"/>
        <v>111</v>
      </c>
      <c r="R40" s="669" t="s">
        <v>14</v>
      </c>
      <c r="S40" s="670">
        <f t="shared" si="10"/>
        <v>100</v>
      </c>
      <c r="T40" s="669" t="s">
        <v>14</v>
      </c>
      <c r="U40" s="670">
        <f t="shared" si="11"/>
        <v>100</v>
      </c>
      <c r="V40" s="669" t="s">
        <v>14</v>
      </c>
      <c r="W40" s="670">
        <f t="shared" si="12"/>
        <v>100</v>
      </c>
      <c r="X40" s="671"/>
      <c r="Y40" s="3608"/>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601" t="str">
        <f>A41</f>
        <v>成交单价</v>
      </c>
      <c r="Q41" s="3601"/>
      <c r="R41" s="3602">
        <f>E41</f>
        <v>0</v>
      </c>
      <c r="S41" s="3602"/>
      <c r="T41" s="3602">
        <f>G41</f>
        <v>0</v>
      </c>
      <c r="U41" s="3602"/>
      <c r="V41" s="3602">
        <f>I41</f>
        <v>0</v>
      </c>
      <c r="W41" s="3602"/>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601" t="str">
        <f>A42</f>
        <v>比较价值（元/平方米）</v>
      </c>
      <c r="Q42" s="3601"/>
      <c r="R42" s="3660" t="e">
        <f>ROUND(PRODUCT(R41,AA7:AA40),0)</f>
        <v>#DIV/0!</v>
      </c>
      <c r="S42" s="3660"/>
      <c r="T42" s="3660" t="e">
        <f>ROUND(PRODUCT(T41,AB7:AB40),0)</f>
        <v>#DIV/0!</v>
      </c>
      <c r="U42" s="3660"/>
      <c r="V42" s="3660" t="e">
        <f>ROUND(PRODUCT(V41,AC7:AC40),0)</f>
        <v>#DIV/0!</v>
      </c>
      <c r="W42" s="3660"/>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598" t="str">
        <f>A43</f>
        <v>估价对象XX用房的比较价值（楼面单价，元/平方米）</v>
      </c>
      <c r="Q43" s="3599"/>
      <c r="R43" s="3661" t="e">
        <f>ROUND(IF(D42="简单平均",AVERAGE(R42:W42),R42*F42+T42*H42+V42*J42),0)</f>
        <v>#DIV/0!</v>
      </c>
      <c r="S43" s="3661"/>
      <c r="T43" s="3661"/>
      <c r="U43" s="3661"/>
      <c r="V43" s="3661"/>
      <c r="W43" s="366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6" t="s">
        <v>1885</v>
      </c>
      <c r="H50" s="3662"/>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12"/>
      <c r="H51" s="360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7" priority="13" stopIfTrue="1">
      <formula>$F$46="超过30%"</formula>
    </cfRule>
  </conditionalFormatting>
  <conditionalFormatting sqref="E47">
    <cfRule type="expression" dxfId="26" priority="53" stopIfTrue="1">
      <formula>#REF!+$F$47="超过20%"</formula>
    </cfRule>
  </conditionalFormatting>
  <conditionalFormatting sqref="E48">
    <cfRule type="expression" dxfId="25" priority="10" stopIfTrue="1">
      <formula>$F$48="超过30%"</formula>
    </cfRule>
  </conditionalFormatting>
  <conditionalFormatting sqref="F7:F40 H7:H40 J7:J40">
    <cfRule type="cellIs" dxfId="24" priority="1" operator="notEqual">
      <formula>100</formula>
    </cfRule>
  </conditionalFormatting>
  <conditionalFormatting sqref="F42">
    <cfRule type="expression" dxfId="23" priority="4">
      <formula>$D$42="简单平均"</formula>
    </cfRule>
  </conditionalFormatting>
  <conditionalFormatting sqref="F46:F48 H46:H48 J46:J48">
    <cfRule type="containsText" dxfId="22" priority="14" stopIfTrue="1" operator="containsText" text="超过">
      <formula>NOT(ISERROR(SEARCH("超过",F46)))</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G48">
    <cfRule type="expression" dxfId="19" priority="12" stopIfTrue="1">
      <formula>$H$48="超过30%"</formula>
    </cfRule>
  </conditionalFormatting>
  <conditionalFormatting sqref="H42">
    <cfRule type="expression" dxfId="18" priority="3">
      <formula>$D$42="简单平均"</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J42">
    <cfRule type="expression" dxfId="14"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70" t="s">
        <v>2082</v>
      </c>
      <c r="D1" s="3671"/>
      <c r="E1" s="3671"/>
      <c r="F1" s="3671"/>
      <c r="G1" s="3671"/>
      <c r="H1" s="3671"/>
      <c r="I1" s="3671"/>
      <c r="J1" s="3671"/>
      <c r="K1" s="3671"/>
      <c r="L1" s="3671"/>
      <c r="M1" s="3671"/>
      <c r="N1" s="3671"/>
      <c r="O1" s="3671"/>
      <c r="P1" s="3671"/>
      <c r="Q1" s="3671"/>
      <c r="R1" s="3671"/>
      <c r="S1" s="3672"/>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7" t="s">
        <v>27</v>
      </c>
      <c r="D22" s="3668"/>
      <c r="E22" s="3668"/>
      <c r="F22" s="3668"/>
      <c r="G22" s="3668"/>
      <c r="H22" s="3668"/>
      <c r="I22" s="3668"/>
      <c r="J22" s="3668"/>
      <c r="K22" s="3668"/>
      <c r="L22" s="3668"/>
      <c r="M22" s="3668"/>
      <c r="N22" s="3668"/>
      <c r="O22" s="3668"/>
      <c r="P22" s="3668"/>
      <c r="Q22" s="3669"/>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80"/>
      <c r="B4" s="3681"/>
      <c r="C4" s="3681"/>
      <c r="D4" s="3682"/>
      <c r="E4" s="3682"/>
      <c r="F4" s="3682"/>
      <c r="G4" s="3682"/>
      <c r="H4" s="3682"/>
      <c r="I4" s="3682"/>
      <c r="J4" s="3683"/>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7" t="s">
        <v>1958</v>
      </c>
      <c r="X8" s="3678"/>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9"/>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84" t="s">
        <v>3252</v>
      </c>
      <c r="B20" s="159" t="s">
        <v>1992</v>
      </c>
      <c r="C20" s="3032" t="e">
        <f>ROUND(IF(F21="与级别开发程度一致",0,(G21-E21)/C21),0)</f>
        <v>#DIV/0!</v>
      </c>
      <c r="D20" s="3047" t="s">
        <v>1996</v>
      </c>
      <c r="E20" s="3048"/>
      <c r="F20" s="3690" t="s">
        <v>1993</v>
      </c>
      <c r="G20" s="369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5"/>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8"/>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9"/>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9"/>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6" t="s">
        <v>3292</v>
      </c>
      <c r="B103" s="3686"/>
      <c r="C103" s="3686"/>
      <c r="D103" s="3686"/>
      <c r="E103" s="3686"/>
      <c r="F103" s="3686"/>
      <c r="G103" s="3686"/>
      <c r="H103" s="3686"/>
      <c r="I103" s="3686"/>
      <c r="J103" s="3686"/>
      <c r="K103" s="1667"/>
      <c r="L103" s="1667"/>
      <c r="M103" s="1667"/>
      <c r="N103" s="1667"/>
    </row>
    <row r="104" spans="1:14">
      <c r="A104" s="3687" t="s">
        <v>3293</v>
      </c>
      <c r="B104" s="3687" t="s">
        <v>3294</v>
      </c>
      <c r="C104" s="3091" t="s">
        <v>3295</v>
      </c>
      <c r="D104" s="3092"/>
      <c r="E104" s="3092"/>
      <c r="F104" s="3092"/>
      <c r="G104" s="3092"/>
      <c r="H104" s="3092"/>
      <c r="I104" s="3092"/>
      <c r="J104" s="3093"/>
      <c r="K104" s="3094"/>
      <c r="L104" s="3094"/>
      <c r="M104" s="3094"/>
      <c r="N104" s="3094"/>
    </row>
    <row r="105" spans="1:14">
      <c r="A105" s="3687"/>
      <c r="B105" s="3687"/>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73"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7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7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7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7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74"/>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5"/>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6" t="s">
        <v>3309</v>
      </c>
      <c r="B113" s="3676"/>
      <c r="C113" s="3676"/>
      <c r="D113" s="3676"/>
      <c r="E113" s="3676"/>
      <c r="F113" s="3676"/>
      <c r="G113" s="3676"/>
      <c r="H113" s="3676"/>
      <c r="I113" s="3676"/>
      <c r="J113" s="367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2" priority="6" stopIfTrue="1" operator="notEqual">
      <formula>"——"</formula>
    </cfRule>
  </conditionalFormatting>
  <conditionalFormatting sqref="F61">
    <cfRule type="cellIs" dxfId="11" priority="5" stopIfTrue="1" operator="notEqual">
      <formula>"——"</formula>
    </cfRule>
  </conditionalFormatting>
  <conditionalFormatting sqref="F72">
    <cfRule type="cellIs" dxfId="10" priority="4" stopIfTrue="1" operator="notEqual">
      <formula>"——"</formula>
    </cfRule>
  </conditionalFormatting>
  <conditionalFormatting sqref="F83">
    <cfRule type="cellIs" dxfId="9" priority="3" stopIfTrue="1" operator="notEqual">
      <formula>"——"</formula>
    </cfRule>
  </conditionalFormatting>
  <conditionalFormatting sqref="H50:H58 H61:H69 H72:H80 H83:H91">
    <cfRule type="cellIs" dxfId="8" priority="2" operator="notEqual">
      <formula>"——"</formula>
    </cfRule>
  </conditionalFormatting>
  <conditionalFormatting sqref="H93:H101">
    <cfRule type="cellIs" dxfId="7"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159.51320000000001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6295</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329222.8</v>
      </c>
      <c r="D5" s="203" t="s">
        <v>1467</v>
      </c>
      <c r="E5" s="204" t="s">
        <v>1468</v>
      </c>
      <c r="F5" s="204" t="s">
        <v>1469</v>
      </c>
      <c r="G5" s="205"/>
    </row>
    <row r="6" spans="1:8" s="206" customFormat="1" ht="13.5" customHeight="1">
      <c r="A6" s="732" t="s">
        <v>346</v>
      </c>
      <c r="B6" s="207" t="s">
        <v>1471</v>
      </c>
      <c r="C6" s="208">
        <f>标定地价!Q16*'数据-汇总表'!G21</f>
        <v>284314.8</v>
      </c>
      <c r="D6" s="209"/>
      <c r="E6" s="210"/>
      <c r="F6" s="210"/>
      <c r="G6" s="211"/>
    </row>
    <row r="7" spans="1:8" s="206" customFormat="1" ht="13.5" customHeight="1">
      <c r="A7" s="732" t="s">
        <v>347</v>
      </c>
      <c r="B7" s="207" t="s">
        <v>1473</v>
      </c>
      <c r="C7" s="212">
        <f>ROUND(C6*F7,0)</f>
        <v>8672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3292</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9926</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9877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59853</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59853</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440484</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13237</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9" t="s">
        <v>1589</v>
      </c>
    </row>
    <row r="43" spans="1:7" ht="13.5" customHeight="1">
      <c r="A43" s="734" t="s">
        <v>347</v>
      </c>
      <c r="B43" s="207" t="s">
        <v>1504</v>
      </c>
      <c r="C43" s="230">
        <f ca="1">ROUND(IF('数据-取费表'!B22&lt;=1,C39*F22*'数据-取费表'!B20/2,C39*(POWER((1+F22),'数据-取费表'!B20/2)-1)),0)</f>
        <v>131</v>
      </c>
      <c r="D43" s="230"/>
      <c r="E43" s="230"/>
      <c r="F43" s="231"/>
      <c r="G43" s="3570"/>
    </row>
    <row r="44" spans="1:7" ht="13.5" customHeight="1">
      <c r="A44" s="734" t="s">
        <v>348</v>
      </c>
      <c r="B44" s="207" t="s">
        <v>1507</v>
      </c>
      <c r="C44" s="230">
        <f ca="1">ROUND(IF('数据-取费表'!B22&lt;=1,C40*F22*'数据-取费表'!B20/2,C40*(POWER((1+F22),'数据-取费表'!B20/2)-1)),4)</f>
        <v>4.0000000000000002E-4</v>
      </c>
      <c r="D44" s="230"/>
      <c r="E44" s="230"/>
      <c r="F44" s="231"/>
      <c r="G44" s="3571"/>
    </row>
    <row r="45" spans="1:7" s="206" customFormat="1" ht="13.5" customHeight="1">
      <c r="A45" s="247" t="s">
        <v>1498</v>
      </c>
      <c r="B45" s="236" t="s">
        <v>1511</v>
      </c>
      <c r="C45" s="237">
        <f ca="1">C46</f>
        <v>158843</v>
      </c>
      <c r="D45" s="227">
        <f ca="1">C47</f>
        <v>5.0000000000000001E-3</v>
      </c>
      <c r="E45" s="228" t="s">
        <v>1537</v>
      </c>
      <c r="F45" s="238">
        <f ca="1">F27</f>
        <v>0.18</v>
      </c>
      <c r="G45" s="239" t="s">
        <v>1546</v>
      </c>
    </row>
    <row r="46" spans="1:7" s="206" customFormat="1" ht="13.5" customHeight="1">
      <c r="A46" s="734" t="s">
        <v>346</v>
      </c>
      <c r="B46" s="240" t="s">
        <v>1547</v>
      </c>
      <c r="C46" s="241">
        <f ca="1">ROUND((C33+C39)*F27,0)</f>
        <v>158843</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1154648</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1154648</v>
      </c>
      <c r="D51" s="224"/>
      <c r="E51" s="224"/>
      <c r="F51" s="256"/>
      <c r="G51" s="226" t="s">
        <v>1558</v>
      </c>
    </row>
    <row r="52" spans="1:7" s="200" customFormat="1" ht="16.5" thickBot="1">
      <c r="A52" s="257" t="s">
        <v>1559</v>
      </c>
      <c r="B52" s="258"/>
      <c r="C52" s="259">
        <f ca="1">C31+C51</f>
        <v>1595132</v>
      </c>
      <c r="D52" s="258"/>
      <c r="E52" s="258"/>
      <c r="F52" s="258"/>
      <c r="G52" s="260"/>
    </row>
    <row r="54" spans="1:7">
      <c r="E54" s="264">
        <f ca="1">C31/C52</f>
        <v>0.27614266405538851</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157.4169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6212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313554.8</v>
      </c>
      <c r="D5" s="203" t="s">
        <v>1467</v>
      </c>
      <c r="E5" s="204" t="s">
        <v>1468</v>
      </c>
      <c r="F5" s="204" t="s">
        <v>1469</v>
      </c>
      <c r="G5" s="205"/>
    </row>
    <row r="6" spans="1:8" s="206" customFormat="1" ht="13.5" customHeight="1">
      <c r="A6" s="732" t="s">
        <v>346</v>
      </c>
      <c r="B6" s="207" t="s">
        <v>1471</v>
      </c>
      <c r="C6" s="208">
        <f>标定地价!Q17*'数据-汇总表'!G21</f>
        <v>269110.8</v>
      </c>
      <c r="D6" s="209"/>
      <c r="E6" s="210"/>
      <c r="F6" s="210"/>
      <c r="G6" s="211"/>
    </row>
    <row r="7" spans="1:8" s="206" customFormat="1" ht="13.5" customHeight="1">
      <c r="A7" s="732" t="s">
        <v>347</v>
      </c>
      <c r="B7" s="207" t="s">
        <v>1473</v>
      </c>
      <c r="C7" s="212">
        <f>ROUND(C6*F7,0)</f>
        <v>8208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3136</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9454</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57004</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57004</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419521</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13237</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9" t="s">
        <v>1589</v>
      </c>
    </row>
    <row r="43" spans="1:7" ht="13.5" customHeight="1">
      <c r="A43" s="734" t="s">
        <v>347</v>
      </c>
      <c r="B43" s="207" t="s">
        <v>1504</v>
      </c>
      <c r="C43" s="230">
        <f ca="1">ROUND(IF('数据-取费表'!B22&lt;=1,C39*F22*'数据-取费表'!B20/2,C39*(POWER((1+F22),'数据-取费表'!B20/2)-1)),0)</f>
        <v>131</v>
      </c>
      <c r="D43" s="230"/>
      <c r="E43" s="230"/>
      <c r="F43" s="231"/>
      <c r="G43" s="3570"/>
    </row>
    <row r="44" spans="1:7" ht="13.5" customHeight="1">
      <c r="A44" s="734" t="s">
        <v>348</v>
      </c>
      <c r="B44" s="207" t="s">
        <v>1507</v>
      </c>
      <c r="C44" s="230">
        <f ca="1">ROUND(IF('数据-取费表'!B22&lt;=1,C40*F22*'数据-取费表'!B20/2,C40*(POWER((1+F22),'数据-取费表'!B20/2)-1)),4)</f>
        <v>4.0000000000000002E-4</v>
      </c>
      <c r="D44" s="230"/>
      <c r="E44" s="230"/>
      <c r="F44" s="231"/>
      <c r="G44" s="3571"/>
    </row>
    <row r="45" spans="1:7" s="206" customFormat="1" ht="13.5" customHeight="1">
      <c r="A45" s="247" t="s">
        <v>1498</v>
      </c>
      <c r="B45" s="236" t="s">
        <v>1511</v>
      </c>
      <c r="C45" s="237">
        <f ca="1">C46</f>
        <v>158843</v>
      </c>
      <c r="D45" s="227">
        <f ca="1">C47</f>
        <v>5.0000000000000001E-3</v>
      </c>
      <c r="E45" s="228" t="s">
        <v>1537</v>
      </c>
      <c r="F45" s="238">
        <f ca="1">F27</f>
        <v>0.18</v>
      </c>
      <c r="G45" s="239" t="s">
        <v>1546</v>
      </c>
    </row>
    <row r="46" spans="1:7" s="206" customFormat="1" ht="13.5" customHeight="1">
      <c r="A46" s="734" t="s">
        <v>346</v>
      </c>
      <c r="B46" s="240" t="s">
        <v>1547</v>
      </c>
      <c r="C46" s="241">
        <f ca="1">ROUND((C33+C39)*F27,0)</f>
        <v>158843</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1154648</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1154648</v>
      </c>
      <c r="D51" s="224"/>
      <c r="E51" s="224"/>
      <c r="F51" s="256"/>
      <c r="G51" s="226" t="s">
        <v>1558</v>
      </c>
    </row>
    <row r="52" spans="1:7" s="200" customFormat="1" ht="16.5" thickBot="1">
      <c r="A52" s="257" t="s">
        <v>1559</v>
      </c>
      <c r="B52" s="258"/>
      <c r="C52" s="259">
        <f ca="1">C31+C51</f>
        <v>1574169</v>
      </c>
      <c r="D52" s="258"/>
      <c r="E52" s="258"/>
      <c r="F52" s="258"/>
      <c r="G52" s="260"/>
    </row>
    <row r="55" spans="1:7" ht="15">
      <c r="B55" s="262" t="s">
        <v>1560</v>
      </c>
      <c r="C55" s="263"/>
    </row>
    <row r="56" spans="1:7">
      <c r="B56" s="265" t="s">
        <v>802</v>
      </c>
      <c r="C56" s="267">
        <f ca="1">1-C57</f>
        <v>0.26700000000000002</v>
      </c>
    </row>
    <row r="57" spans="1:7">
      <c r="B57" s="265" t="s">
        <v>803</v>
      </c>
      <c r="C57" s="266">
        <f ca="1">ROUND(C51/C52,3)</f>
        <v>0.73299999999999998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152.8399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6032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279346.40000000002</v>
      </c>
      <c r="D5" s="203" t="s">
        <v>1467</v>
      </c>
      <c r="E5" s="204" t="s">
        <v>1468</v>
      </c>
      <c r="F5" s="204" t="s">
        <v>1469</v>
      </c>
      <c r="G5" s="205"/>
    </row>
    <row r="6" spans="1:8" s="206" customFormat="1" ht="13.5" customHeight="1">
      <c r="A6" s="732" t="s">
        <v>346</v>
      </c>
      <c r="B6" s="207" t="s">
        <v>1471</v>
      </c>
      <c r="C6" s="208">
        <f>标定地价!Q18*'数据-汇总表'!G21</f>
        <v>235915.4</v>
      </c>
      <c r="D6" s="209"/>
      <c r="E6" s="210"/>
      <c r="F6" s="210"/>
      <c r="G6" s="211"/>
    </row>
    <row r="7" spans="1:8" s="206" customFormat="1" ht="13.5" customHeight="1">
      <c r="A7" s="732" t="s">
        <v>347</v>
      </c>
      <c r="B7" s="207" t="s">
        <v>1473</v>
      </c>
      <c r="C7" s="212">
        <f>ROUND(C6*F7,0)</f>
        <v>7195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2793</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8422</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8380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50785</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50785</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373751</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13237</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9" t="s">
        <v>1589</v>
      </c>
    </row>
    <row r="43" spans="1:7" ht="13.5" customHeight="1">
      <c r="A43" s="734" t="s">
        <v>347</v>
      </c>
      <c r="B43" s="207" t="s">
        <v>1504</v>
      </c>
      <c r="C43" s="230">
        <f ca="1">ROUND(IF('数据-取费表'!B22&lt;=1,C39*F22*'数据-取费表'!B20/2,C39*(POWER((1+F22),'数据-取费表'!B20/2)-1)),0)</f>
        <v>131</v>
      </c>
      <c r="D43" s="230"/>
      <c r="E43" s="230"/>
      <c r="F43" s="231"/>
      <c r="G43" s="3570"/>
    </row>
    <row r="44" spans="1:7" ht="13.5" customHeight="1">
      <c r="A44" s="734" t="s">
        <v>348</v>
      </c>
      <c r="B44" s="207" t="s">
        <v>1507</v>
      </c>
      <c r="C44" s="230">
        <f ca="1">ROUND(IF('数据-取费表'!B22&lt;=1,C40*F22*'数据-取费表'!B20/2,C40*(POWER((1+F22),'数据-取费表'!B20/2)-1)),4)</f>
        <v>4.0000000000000002E-4</v>
      </c>
      <c r="D44" s="230"/>
      <c r="E44" s="230"/>
      <c r="F44" s="231"/>
      <c r="G44" s="3571"/>
    </row>
    <row r="45" spans="1:7" s="206" customFormat="1" ht="13.5" customHeight="1">
      <c r="A45" s="247" t="s">
        <v>1498</v>
      </c>
      <c r="B45" s="236" t="s">
        <v>1511</v>
      </c>
      <c r="C45" s="237">
        <f ca="1">C46</f>
        <v>158843</v>
      </c>
      <c r="D45" s="227">
        <f ca="1">C47</f>
        <v>5.0000000000000001E-3</v>
      </c>
      <c r="E45" s="228" t="s">
        <v>1537</v>
      </c>
      <c r="F45" s="238">
        <f ca="1">F27</f>
        <v>0.18</v>
      </c>
      <c r="G45" s="239" t="s">
        <v>1546</v>
      </c>
    </row>
    <row r="46" spans="1:7" s="206" customFormat="1" ht="13.5" customHeight="1">
      <c r="A46" s="734" t="s">
        <v>346</v>
      </c>
      <c r="B46" s="240" t="s">
        <v>1547</v>
      </c>
      <c r="C46" s="241">
        <f ca="1">ROUND((C33+C39)*F27,0)</f>
        <v>158843</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1154648</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1154648</v>
      </c>
      <c r="D51" s="224"/>
      <c r="E51" s="224"/>
      <c r="F51" s="256"/>
      <c r="G51" s="226" t="s">
        <v>1558</v>
      </c>
    </row>
    <row r="52" spans="1:7" s="200" customFormat="1" ht="16.5" thickBot="1">
      <c r="A52" s="257" t="s">
        <v>1559</v>
      </c>
      <c r="B52" s="258"/>
      <c r="C52" s="259">
        <f ca="1">C31+C51</f>
        <v>1528399</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2"/>
      <c r="C2" s="3392"/>
      <c r="D2" s="3392"/>
      <c r="E2" s="3392"/>
    </row>
    <row r="3" spans="1:5" ht="18">
      <c r="A3" s="3393" t="str">
        <f>IF(项目基本情况!B9="房地产市场价值","估价结果一览表（市场价值不需“结果表-1”）","估价结果一览表")</f>
        <v>估价结果一览表（市场价值不需“结果表-1”）</v>
      </c>
      <c r="B3" s="3393"/>
      <c r="C3" s="3393"/>
      <c r="D3" s="3393"/>
      <c r="E3" s="3393"/>
    </row>
    <row r="4" spans="1:5" ht="19.5" thickBot="1">
      <c r="A4" s="1391"/>
      <c r="B4" s="3391" t="s">
        <v>917</v>
      </c>
      <c r="C4" s="3391"/>
      <c r="D4" s="3391"/>
      <c r="E4" s="1391"/>
    </row>
    <row r="5" spans="1:5" ht="16.5" thickTop="1">
      <c r="B5" s="3389" t="s">
        <v>909</v>
      </c>
      <c r="C5" s="1392" t="s">
        <v>910</v>
      </c>
      <c r="D5" s="797" t="e">
        <f ca="1">结果表!H101</f>
        <v>#REF!</v>
      </c>
    </row>
    <row r="6" spans="1:5" ht="15.75">
      <c r="B6" s="3389"/>
      <c r="C6" s="1392" t="s">
        <v>911</v>
      </c>
      <c r="D6" s="797" t="e">
        <f ca="1">NUMBERSTRING(INT(D5*10000),2)&amp;"元整"</f>
        <v>#REF!</v>
      </c>
    </row>
    <row r="7" spans="1:5" ht="15.75">
      <c r="B7" s="3394"/>
      <c r="C7" s="1393" t="s">
        <v>912</v>
      </c>
      <c r="D7" s="798" t="e">
        <f ca="1">结果表!H102</f>
        <v>#REF!</v>
      </c>
    </row>
    <row r="8" spans="1:5" ht="15.75">
      <c r="B8" s="3395" t="str">
        <f>结果表!E103</f>
        <v>2.估价师知悉的法定优先受偿款</v>
      </c>
      <c r="C8" s="1394" t="s">
        <v>913</v>
      </c>
      <c r="D8" s="798">
        <f>结果表!H103</f>
        <v>0</v>
      </c>
    </row>
    <row r="9" spans="1:5" ht="15.75">
      <c r="B9" s="339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8" t="str">
        <f>结果表!E107</f>
        <v>3.房地产抵押价值</v>
      </c>
      <c r="C13" s="1397" t="s">
        <v>910</v>
      </c>
      <c r="D13" s="800" t="e">
        <f ca="1">结果表!H107</f>
        <v>#REF!</v>
      </c>
    </row>
    <row r="14" spans="1:5" ht="15.75">
      <c r="B14" s="3389"/>
      <c r="C14" s="1392" t="s">
        <v>911</v>
      </c>
      <c r="D14" s="797" t="e">
        <f ca="1">NUMBERSTRING(INT(D13*10000),2)&amp;"元整"</f>
        <v>#REF!</v>
      </c>
    </row>
    <row r="15" spans="1:5" ht="15">
      <c r="B15" s="3394"/>
      <c r="C15" s="1393" t="s">
        <v>921</v>
      </c>
      <c r="D15" s="806" t="e">
        <f ca="1">结果表!H108</f>
        <v>#REF!</v>
      </c>
    </row>
    <row r="16" spans="1:5" ht="15">
      <c r="B16" s="3395" t="str">
        <f>结果表!E109</f>
        <v>——</v>
      </c>
      <c r="C16" s="1397" t="s">
        <v>922</v>
      </c>
      <c r="D16" s="1398" t="str">
        <f>结果表!H109</f>
        <v>——</v>
      </c>
    </row>
    <row r="17" spans="1:5" ht="15.75">
      <c r="B17" s="3396"/>
      <c r="C17" s="1392" t="s">
        <v>923</v>
      </c>
      <c r="D17" s="797" t="e">
        <f>NUMBERSTRING(INT(D16*10000),2)&amp;"元整"</f>
        <v>#VALUE!</v>
      </c>
    </row>
    <row r="18" spans="1:5" ht="15">
      <c r="B18" s="3397"/>
      <c r="C18" s="1393" t="s">
        <v>912</v>
      </c>
      <c r="D18" s="806" t="str">
        <f>结果表!H110</f>
        <v>——</v>
      </c>
    </row>
    <row r="19" spans="1:5" ht="15.75">
      <c r="B19" s="3388" t="str">
        <f>结果表!E111</f>
        <v>——</v>
      </c>
      <c r="C19" s="1397" t="s">
        <v>910</v>
      </c>
      <c r="D19" s="798" t="str">
        <f>结果表!H111</f>
        <v>——</v>
      </c>
    </row>
    <row r="20" spans="1:5" ht="15.75">
      <c r="B20" s="3389"/>
      <c r="C20" s="1392" t="s">
        <v>923</v>
      </c>
      <c r="D20" s="797" t="e">
        <f>NUMBERSTRING(INT(D19*10000),2)&amp;"元整"</f>
        <v>#VALUE!</v>
      </c>
    </row>
    <row r="21" spans="1:5" ht="15.75" thickBot="1">
      <c r="B21" s="339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B20" sqref="B20:F2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172.85929999999999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6822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428973.60000000003</v>
      </c>
      <c r="D5" s="203" t="s">
        <v>1467</v>
      </c>
      <c r="E5" s="204" t="s">
        <v>1468</v>
      </c>
      <c r="F5" s="204" t="s">
        <v>1469</v>
      </c>
      <c r="G5" s="205"/>
    </row>
    <row r="6" spans="1:8" s="206" customFormat="1" ht="13.5" customHeight="1">
      <c r="A6" s="732" t="s">
        <v>346</v>
      </c>
      <c r="B6" s="207" t="s">
        <v>1471</v>
      </c>
      <c r="C6" s="208">
        <f>标定地价!Q19*'数据-汇总表'!G21</f>
        <v>381113.60000000003</v>
      </c>
      <c r="D6" s="209"/>
      <c r="E6" s="210"/>
      <c r="F6" s="210"/>
      <c r="G6" s="211"/>
    </row>
    <row r="7" spans="1:8" s="206" customFormat="1" ht="13.5" customHeight="1">
      <c r="A7" s="732" t="s">
        <v>347</v>
      </c>
      <c r="B7" s="207" t="s">
        <v>1473</v>
      </c>
      <c r="C7" s="212">
        <f>ROUND(C6*F7,0)</f>
        <v>11624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4290</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12933</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12869</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64</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77987</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77987</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573945</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13237</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9" t="s">
        <v>1589</v>
      </c>
    </row>
    <row r="43" spans="1:7" ht="13.5" customHeight="1">
      <c r="A43" s="734" t="s">
        <v>347</v>
      </c>
      <c r="B43" s="207" t="s">
        <v>1504</v>
      </c>
      <c r="C43" s="230">
        <f ca="1">ROUND(IF('数据-取费表'!B22&lt;=1,C39*F22*'数据-取费表'!B20/2,C39*(POWER((1+F22),'数据-取费表'!B20/2)-1)),0)</f>
        <v>131</v>
      </c>
      <c r="D43" s="230"/>
      <c r="E43" s="230"/>
      <c r="F43" s="231"/>
      <c r="G43" s="3570"/>
    </row>
    <row r="44" spans="1:7" ht="13.5" customHeight="1">
      <c r="A44" s="734" t="s">
        <v>348</v>
      </c>
      <c r="B44" s="207" t="s">
        <v>1507</v>
      </c>
      <c r="C44" s="230">
        <f ca="1">ROUND(IF('数据-取费表'!B22&lt;=1,C40*F22*'数据-取费表'!B20/2,C40*(POWER((1+F22),'数据-取费表'!B20/2)-1)),4)</f>
        <v>4.0000000000000002E-4</v>
      </c>
      <c r="D44" s="230"/>
      <c r="E44" s="230"/>
      <c r="F44" s="231"/>
      <c r="G44" s="3571"/>
    </row>
    <row r="45" spans="1:7" s="206" customFormat="1" ht="13.5" customHeight="1">
      <c r="A45" s="247" t="s">
        <v>1498</v>
      </c>
      <c r="B45" s="236" t="s">
        <v>1511</v>
      </c>
      <c r="C45" s="237">
        <f ca="1">C46</f>
        <v>158843</v>
      </c>
      <c r="D45" s="227">
        <f ca="1">C47</f>
        <v>5.0000000000000001E-3</v>
      </c>
      <c r="E45" s="228" t="s">
        <v>1537</v>
      </c>
      <c r="F45" s="238">
        <f ca="1">F27</f>
        <v>0.18</v>
      </c>
      <c r="G45" s="239" t="s">
        <v>1546</v>
      </c>
    </row>
    <row r="46" spans="1:7" s="206" customFormat="1" ht="13.5" customHeight="1">
      <c r="A46" s="734" t="s">
        <v>346</v>
      </c>
      <c r="B46" s="240" t="s">
        <v>1547</v>
      </c>
      <c r="C46" s="241">
        <f ca="1">ROUND((C33+C39)*F27,0)</f>
        <v>158843</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1154648</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1154648</v>
      </c>
      <c r="D51" s="224"/>
      <c r="E51" s="224"/>
      <c r="F51" s="256"/>
      <c r="G51" s="226" t="s">
        <v>1558</v>
      </c>
    </row>
    <row r="52" spans="1:7" s="200" customFormat="1" ht="16.5" thickBot="1">
      <c r="A52" s="257" t="s">
        <v>1559</v>
      </c>
      <c r="B52" s="258"/>
      <c r="C52" s="259">
        <f ca="1">C31+C51</f>
        <v>1728593</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topLeftCell="H1" workbookViewId="0">
      <selection activeCell="Q19" sqref="Q19"/>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6295</v>
      </c>
    </row>
    <row r="17" spans="1:18" ht="13.5" customHeight="1">
      <c r="A17" s="3259">
        <v>1.4356</v>
      </c>
      <c r="B17" s="3259">
        <v>0.9677</v>
      </c>
      <c r="C17" s="3259"/>
      <c r="D17" s="3259">
        <v>1.5831</v>
      </c>
      <c r="E17" s="3692"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6212</v>
      </c>
    </row>
    <row r="18" spans="1:18">
      <c r="A18" s="3259">
        <v>1.3593</v>
      </c>
      <c r="B18" s="3259">
        <v>0.96160000000000001</v>
      </c>
      <c r="C18" s="3259"/>
      <c r="D18" s="3259">
        <v>1.5036</v>
      </c>
      <c r="E18" s="3692"/>
      <c r="F18" s="3290" t="s">
        <v>3539</v>
      </c>
      <c r="G18" s="3291">
        <v>1.02</v>
      </c>
      <c r="H18" s="3291">
        <v>1.01</v>
      </c>
      <c r="I18" s="3291">
        <v>1.02</v>
      </c>
      <c r="J18" s="3291">
        <v>0.99</v>
      </c>
      <c r="N18" s="1448" t="s">
        <v>3885</v>
      </c>
      <c r="O18" s="3293">
        <v>2</v>
      </c>
      <c r="P18" s="3293">
        <f>G123</f>
        <v>9306</v>
      </c>
      <c r="Q18" s="3293">
        <f>G124</f>
        <v>931</v>
      </c>
      <c r="R18" s="3293">
        <f ca="1">'成本法 (元)-地下-容积率2'!B3</f>
        <v>6032</v>
      </c>
    </row>
    <row r="19" spans="1:18">
      <c r="E19" s="3692"/>
      <c r="F19" s="3290" t="s">
        <v>3540</v>
      </c>
      <c r="G19" s="3291">
        <v>1.01</v>
      </c>
      <c r="H19" s="3291">
        <v>1.01</v>
      </c>
      <c r="I19" s="3291">
        <v>1.01</v>
      </c>
      <c r="J19" s="3291">
        <v>1.01</v>
      </c>
      <c r="M19" s="3293"/>
      <c r="N19" s="3293"/>
      <c r="O19" s="3353">
        <v>1</v>
      </c>
      <c r="P19" s="3353">
        <f>O52</f>
        <v>15037</v>
      </c>
      <c r="Q19" s="3353">
        <f>O53</f>
        <v>1504</v>
      </c>
      <c r="R19" s="3353">
        <f ca="1">'成本法 (元)-地下-容积率1'!B3</f>
        <v>6822</v>
      </c>
    </row>
    <row r="20" spans="1:18">
      <c r="E20" s="3692"/>
      <c r="F20" s="3290" t="s">
        <v>3544</v>
      </c>
      <c r="G20" s="3291">
        <v>1</v>
      </c>
      <c r="H20" s="3291">
        <v>1</v>
      </c>
      <c r="I20" s="3291">
        <v>1</v>
      </c>
      <c r="J20" s="3291">
        <v>1</v>
      </c>
    </row>
    <row r="21" spans="1:18">
      <c r="A21" s="3252" t="s">
        <v>3786</v>
      </c>
      <c r="B21">
        <v>2.9</v>
      </c>
      <c r="D21">
        <v>1.5</v>
      </c>
      <c r="E21" s="3692"/>
      <c r="F21" s="3290" t="s">
        <v>3541</v>
      </c>
      <c r="G21" s="3291">
        <v>1.05</v>
      </c>
      <c r="H21" s="3291">
        <v>1.05</v>
      </c>
      <c r="I21" s="3291">
        <v>1.05</v>
      </c>
      <c r="J21" s="3291">
        <v>1.05</v>
      </c>
    </row>
    <row r="22" spans="1:18">
      <c r="A22" s="3252" t="s">
        <v>3788</v>
      </c>
      <c r="B22">
        <v>3</v>
      </c>
      <c r="D22">
        <v>1.6</v>
      </c>
      <c r="E22" s="3692"/>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92" t="s">
        <v>3543</v>
      </c>
      <c r="N40" s="3290" t="s">
        <v>3538</v>
      </c>
      <c r="O40" s="3291">
        <v>0.99</v>
      </c>
      <c r="P40" s="3291">
        <v>1.01</v>
      </c>
      <c r="Q40" s="3291">
        <v>1.01</v>
      </c>
      <c r="R40" s="3291">
        <v>0.99</v>
      </c>
    </row>
    <row r="41" spans="5:18" ht="13.5" customHeight="1">
      <c r="E41" s="3692" t="s">
        <v>3543</v>
      </c>
      <c r="F41" s="3290" t="s">
        <v>3538</v>
      </c>
      <c r="G41" s="3291">
        <v>0.99</v>
      </c>
      <c r="H41" s="3291">
        <v>1.01</v>
      </c>
      <c r="I41" s="3291">
        <v>1.01</v>
      </c>
      <c r="J41" s="3291">
        <v>0.99</v>
      </c>
      <c r="M41" s="3692"/>
      <c r="N41" s="3290" t="s">
        <v>3539</v>
      </c>
      <c r="O41" s="3291">
        <v>1.02</v>
      </c>
      <c r="P41" s="3291">
        <v>1.01</v>
      </c>
      <c r="Q41" s="3291">
        <v>1.02</v>
      </c>
      <c r="R41" s="3291">
        <v>0.99</v>
      </c>
    </row>
    <row r="42" spans="5:18">
      <c r="E42" s="3692"/>
      <c r="F42" s="3290" t="s">
        <v>3539</v>
      </c>
      <c r="G42" s="3291">
        <v>1.02</v>
      </c>
      <c r="H42" s="3291">
        <v>1.01</v>
      </c>
      <c r="I42" s="3291">
        <v>1.02</v>
      </c>
      <c r="J42" s="3291">
        <v>0.99</v>
      </c>
      <c r="M42" s="3692"/>
      <c r="N42" s="3290" t="s">
        <v>3540</v>
      </c>
      <c r="O42" s="3291">
        <v>1.01</v>
      </c>
      <c r="P42" s="3291">
        <v>1.01</v>
      </c>
      <c r="Q42" s="3291">
        <v>1.01</v>
      </c>
      <c r="R42" s="3291">
        <v>1.01</v>
      </c>
    </row>
    <row r="43" spans="5:18">
      <c r="E43" s="3692"/>
      <c r="F43" s="3290" t="s">
        <v>3540</v>
      </c>
      <c r="G43" s="3291">
        <v>1.01</v>
      </c>
      <c r="H43" s="3291">
        <v>1.01</v>
      </c>
      <c r="I43" s="3291">
        <v>1.01</v>
      </c>
      <c r="J43" s="3291">
        <v>1.01</v>
      </c>
      <c r="M43" s="3692"/>
      <c r="N43" s="3290" t="s">
        <v>3544</v>
      </c>
      <c r="O43" s="3291">
        <v>1</v>
      </c>
      <c r="P43" s="3291">
        <v>1</v>
      </c>
      <c r="Q43" s="3291">
        <v>1</v>
      </c>
      <c r="R43" s="3291">
        <v>1</v>
      </c>
    </row>
    <row r="44" spans="5:18">
      <c r="E44" s="3692"/>
      <c r="F44" s="3290" t="s">
        <v>3544</v>
      </c>
      <c r="G44" s="3291">
        <v>1</v>
      </c>
      <c r="H44" s="3291">
        <v>1</v>
      </c>
      <c r="I44" s="3291">
        <v>1</v>
      </c>
      <c r="J44" s="3291">
        <v>1</v>
      </c>
      <c r="M44" s="3692"/>
      <c r="N44" s="3290" t="s">
        <v>3541</v>
      </c>
      <c r="O44" s="3291">
        <v>1.05</v>
      </c>
      <c r="P44" s="3291">
        <v>1.05</v>
      </c>
      <c r="Q44" s="3291">
        <v>1.05</v>
      </c>
      <c r="R44" s="3291">
        <v>1.05</v>
      </c>
    </row>
    <row r="45" spans="5:18">
      <c r="E45" s="3692"/>
      <c r="F45" s="3290" t="s">
        <v>3541</v>
      </c>
      <c r="G45" s="3291">
        <v>1.05</v>
      </c>
      <c r="H45" s="3291">
        <v>1.05</v>
      </c>
      <c r="I45" s="3291">
        <v>1.05</v>
      </c>
      <c r="J45" s="3291">
        <v>1.05</v>
      </c>
      <c r="M45" s="3692"/>
      <c r="N45" s="3290" t="s">
        <v>3542</v>
      </c>
      <c r="O45" s="3291">
        <v>1</v>
      </c>
      <c r="P45" s="3291">
        <v>1</v>
      </c>
      <c r="Q45" s="3291">
        <v>1.1000000000000001</v>
      </c>
      <c r="R45" s="3291">
        <v>1</v>
      </c>
    </row>
    <row r="46" spans="5:18">
      <c r="E46" s="3692"/>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ht="63.75">
      <c r="G58">
        <v>1.7</v>
      </c>
      <c r="H58">
        <v>2.97</v>
      </c>
      <c r="I58">
        <v>1.8</v>
      </c>
      <c r="J58">
        <v>1.54</v>
      </c>
      <c r="N58" s="3384" t="s">
        <v>4002</v>
      </c>
    </row>
    <row r="59" spans="6:18" ht="67.5">
      <c r="H59">
        <v>9360</v>
      </c>
      <c r="I59">
        <v>10014</v>
      </c>
      <c r="J59">
        <v>7733</v>
      </c>
      <c r="N59" s="3248" t="s">
        <v>4003</v>
      </c>
    </row>
    <row r="60" spans="6:18" ht="67.5">
      <c r="H60">
        <v>55</v>
      </c>
      <c r="I60">
        <v>53</v>
      </c>
      <c r="J60">
        <v>65</v>
      </c>
      <c r="N60" s="3248" t="s">
        <v>4004</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702" t="s">
        <v>2605</v>
      </c>
      <c r="B20" s="3697" t="s">
        <v>2626</v>
      </c>
      <c r="C20" s="2843" t="s">
        <v>2437</v>
      </c>
      <c r="D20" s="2844"/>
      <c r="E20" s="2845">
        <v>1</v>
      </c>
      <c r="F20" s="2846" t="s">
        <v>2438</v>
      </c>
      <c r="G20" s="2846"/>
    </row>
    <row r="21" spans="1:13" ht="19.5" customHeight="1">
      <c r="A21" s="3703"/>
      <c r="B21" s="3696"/>
      <c r="C21" s="2847" t="s">
        <v>2439</v>
      </c>
      <c r="D21" s="2848"/>
      <c r="E21" s="2849">
        <v>1</v>
      </c>
      <c r="F21" s="2846" t="s">
        <v>2440</v>
      </c>
      <c r="G21" s="2846"/>
    </row>
    <row r="22" spans="1:13" ht="19.5" customHeight="1">
      <c r="A22" s="3703"/>
      <c r="B22" s="3696"/>
      <c r="C22" s="2847" t="s">
        <v>2441</v>
      </c>
      <c r="D22" s="2848"/>
      <c r="E22" s="2849">
        <v>0.9</v>
      </c>
      <c r="F22" s="2846" t="s">
        <v>2442</v>
      </c>
      <c r="G22" s="2846"/>
    </row>
    <row r="23" spans="1:13" ht="19.5" customHeight="1">
      <c r="A23" s="3703"/>
      <c r="B23" s="3696"/>
      <c r="C23" s="2847" t="s">
        <v>2443</v>
      </c>
      <c r="D23" s="2848"/>
      <c r="E23" s="2849">
        <v>0.9</v>
      </c>
      <c r="F23" s="2846" t="s">
        <v>2444</v>
      </c>
      <c r="G23" s="2846"/>
    </row>
    <row r="24" spans="1:13" ht="19.5" customHeight="1">
      <c r="A24" s="3703"/>
      <c r="B24" s="3696"/>
      <c r="C24" s="2847" t="s">
        <v>2445</v>
      </c>
      <c r="D24" s="2848"/>
      <c r="E24" s="2849">
        <v>0.8</v>
      </c>
      <c r="F24" s="2846" t="s">
        <v>2446</v>
      </c>
      <c r="G24" s="2846"/>
    </row>
    <row r="25" spans="1:13" ht="19.5" customHeight="1" thickBot="1">
      <c r="A25" s="3704"/>
      <c r="B25" s="3698"/>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9" t="s">
        <v>2629</v>
      </c>
      <c r="B27" s="3697" t="s">
        <v>2610</v>
      </c>
      <c r="C27" s="2843" t="s">
        <v>2450</v>
      </c>
      <c r="D27" s="2844"/>
      <c r="E27" s="2845">
        <v>1</v>
      </c>
      <c r="F27" s="2846" t="s">
        <v>2451</v>
      </c>
      <c r="G27" s="2846"/>
    </row>
    <row r="28" spans="1:13" ht="19.5" customHeight="1">
      <c r="A28" s="3700"/>
      <c r="B28" s="3696"/>
      <c r="C28" s="2847" t="s">
        <v>2452</v>
      </c>
      <c r="D28" s="2848"/>
      <c r="E28" s="2849">
        <v>1</v>
      </c>
      <c r="F28" s="2846" t="s">
        <v>2453</v>
      </c>
      <c r="G28" s="2846"/>
    </row>
    <row r="29" spans="1:13" ht="19.5" customHeight="1">
      <c r="A29" s="3700"/>
      <c r="B29" s="3696"/>
      <c r="C29" s="2847" t="s">
        <v>2454</v>
      </c>
      <c r="D29" s="2848"/>
      <c r="E29" s="2849">
        <v>0.8</v>
      </c>
      <c r="F29" s="2846" t="s">
        <v>2455</v>
      </c>
      <c r="G29" s="2846"/>
    </row>
    <row r="30" spans="1:13" ht="19.5" customHeight="1">
      <c r="A30" s="3700"/>
      <c r="B30" s="3696"/>
      <c r="C30" s="2847" t="s">
        <v>2456</v>
      </c>
      <c r="D30" s="2848"/>
      <c r="E30" s="2849">
        <v>0.8</v>
      </c>
      <c r="F30" s="2846" t="s">
        <v>2457</v>
      </c>
      <c r="G30" s="2846"/>
    </row>
    <row r="31" spans="1:13" ht="19.5" customHeight="1">
      <c r="A31" s="3700"/>
      <c r="B31" s="3696"/>
      <c r="C31" s="2847" t="s">
        <v>2458</v>
      </c>
      <c r="D31" s="2848"/>
      <c r="E31" s="2849">
        <v>0.8</v>
      </c>
      <c r="F31" s="2846" t="s">
        <v>2459</v>
      </c>
      <c r="G31" s="2846"/>
    </row>
    <row r="32" spans="1:13" ht="19.5" customHeight="1">
      <c r="A32" s="3700"/>
      <c r="B32" s="3696"/>
      <c r="C32" s="2847" t="s">
        <v>2460</v>
      </c>
      <c r="D32" s="2848"/>
      <c r="E32" s="2849">
        <v>0.7</v>
      </c>
      <c r="F32" s="2846" t="s">
        <v>2461</v>
      </c>
      <c r="G32" s="2846"/>
    </row>
    <row r="33" spans="1:7" ht="19.5" customHeight="1">
      <c r="A33" s="3700"/>
      <c r="B33" s="3696"/>
      <c r="C33" s="2847" t="s">
        <v>2462</v>
      </c>
      <c r="D33" s="2848"/>
      <c r="E33" s="2849">
        <v>0.8</v>
      </c>
      <c r="F33" s="2846" t="s">
        <v>2463</v>
      </c>
      <c r="G33" s="2846"/>
    </row>
    <row r="34" spans="1:7" ht="19.5" customHeight="1">
      <c r="A34" s="3700"/>
      <c r="B34" s="3696"/>
      <c r="C34" s="2847" t="s">
        <v>2464</v>
      </c>
      <c r="D34" s="2848"/>
      <c r="E34" s="2849">
        <v>0.6</v>
      </c>
      <c r="F34" s="2846" t="s">
        <v>2465</v>
      </c>
      <c r="G34" s="2846"/>
    </row>
    <row r="35" spans="1:7" ht="19.5" customHeight="1">
      <c r="A35" s="3700"/>
      <c r="B35" s="3696"/>
      <c r="C35" s="2847" t="s">
        <v>2466</v>
      </c>
      <c r="D35" s="2848"/>
      <c r="E35" s="2849">
        <v>0.2</v>
      </c>
      <c r="F35" s="2846" t="s">
        <v>2467</v>
      </c>
      <c r="G35" s="2846"/>
    </row>
    <row r="36" spans="1:7" ht="19.5" customHeight="1">
      <c r="A36" s="3700"/>
      <c r="B36" s="3696"/>
      <c r="C36" s="2847" t="s">
        <v>2468</v>
      </c>
      <c r="D36" s="2848"/>
      <c r="E36" s="2849">
        <v>0.2</v>
      </c>
      <c r="F36" s="2846" t="s">
        <v>2469</v>
      </c>
      <c r="G36" s="2846"/>
    </row>
    <row r="37" spans="1:7" ht="19.5" customHeight="1">
      <c r="A37" s="3700"/>
      <c r="B37" s="3694" t="s">
        <v>2630</v>
      </c>
      <c r="C37" s="2847" t="s">
        <v>2470</v>
      </c>
      <c r="D37" s="2848"/>
      <c r="E37" s="2849">
        <v>0.6</v>
      </c>
      <c r="F37" s="2846" t="s">
        <v>2471</v>
      </c>
      <c r="G37" s="2846"/>
    </row>
    <row r="38" spans="1:7" ht="19.5" customHeight="1">
      <c r="A38" s="3700"/>
      <c r="B38" s="3696"/>
      <c r="C38" s="2847" t="s">
        <v>2472</v>
      </c>
      <c r="D38" s="2848"/>
      <c r="E38" s="2849">
        <v>0.6</v>
      </c>
      <c r="F38" s="2846" t="s">
        <v>2473</v>
      </c>
      <c r="G38" s="2846"/>
    </row>
    <row r="39" spans="1:7" ht="19.5" customHeight="1" thickBot="1">
      <c r="A39" s="3701"/>
      <c r="B39" s="3698"/>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702" t="s">
        <v>2608</v>
      </c>
      <c r="B41" s="3697" t="s">
        <v>2632</v>
      </c>
      <c r="C41" s="2843" t="s">
        <v>2477</v>
      </c>
      <c r="D41" s="2844"/>
      <c r="E41" s="2845">
        <v>1</v>
      </c>
      <c r="F41" s="2846" t="s">
        <v>2478</v>
      </c>
      <c r="G41" s="2846"/>
    </row>
    <row r="42" spans="1:7" ht="19.5" customHeight="1">
      <c r="A42" s="3703"/>
      <c r="B42" s="3696"/>
      <c r="C42" s="2847" t="s">
        <v>2479</v>
      </c>
      <c r="D42" s="2848"/>
      <c r="E42" s="2849">
        <v>1</v>
      </c>
      <c r="F42" s="2846" t="s">
        <v>2480</v>
      </c>
      <c r="G42" s="2846"/>
    </row>
    <row r="43" spans="1:7" ht="19.5" customHeight="1">
      <c r="A43" s="3703"/>
      <c r="B43" s="3695"/>
      <c r="C43" s="2847" t="s">
        <v>2481</v>
      </c>
      <c r="D43" s="2848"/>
      <c r="E43" s="2849">
        <v>1.5</v>
      </c>
      <c r="F43" s="2846" t="s">
        <v>2482</v>
      </c>
      <c r="G43" s="2846"/>
    </row>
    <row r="44" spans="1:7" ht="19.5" customHeight="1">
      <c r="A44" s="3703"/>
      <c r="B44" s="2858" t="s">
        <v>2633</v>
      </c>
      <c r="C44" s="2847" t="s">
        <v>2634</v>
      </c>
      <c r="D44" s="2848"/>
      <c r="E44" s="2849">
        <v>2</v>
      </c>
      <c r="F44" s="2846" t="s">
        <v>2483</v>
      </c>
      <c r="G44" s="2846"/>
    </row>
    <row r="45" spans="1:7" ht="19.5" customHeight="1">
      <c r="A45" s="3703"/>
      <c r="B45" s="3694" t="s">
        <v>2635</v>
      </c>
      <c r="C45" s="2847" t="s">
        <v>2484</v>
      </c>
      <c r="D45" s="2848"/>
      <c r="E45" s="2849">
        <v>1</v>
      </c>
      <c r="F45" s="2846" t="s">
        <v>2485</v>
      </c>
      <c r="G45" s="2846"/>
    </row>
    <row r="46" spans="1:7" ht="19.5" customHeight="1">
      <c r="A46" s="3703"/>
      <c r="B46" s="3696"/>
      <c r="C46" s="2847" t="s">
        <v>2486</v>
      </c>
      <c r="D46" s="2848"/>
      <c r="E46" s="2849">
        <v>1</v>
      </c>
      <c r="F46" s="2846" t="s">
        <v>2487</v>
      </c>
      <c r="G46" s="2846"/>
    </row>
    <row r="47" spans="1:7" ht="19.5" customHeight="1">
      <c r="A47" s="3703"/>
      <c r="B47" s="3696"/>
      <c r="C47" s="2847" t="s">
        <v>2488</v>
      </c>
      <c r="D47" s="2848"/>
      <c r="E47" s="2849">
        <v>1</v>
      </c>
      <c r="F47" s="2846" t="s">
        <v>2489</v>
      </c>
      <c r="G47" s="2846"/>
    </row>
    <row r="48" spans="1:7" ht="19.5" customHeight="1">
      <c r="A48" s="3703"/>
      <c r="B48" s="3696"/>
      <c r="C48" s="2847" t="s">
        <v>2490</v>
      </c>
      <c r="D48" s="2848"/>
      <c r="E48" s="2849">
        <v>1</v>
      </c>
      <c r="F48" s="2846" t="s">
        <v>2491</v>
      </c>
      <c r="G48" s="2846"/>
    </row>
    <row r="49" spans="1:7" ht="19.5" customHeight="1">
      <c r="A49" s="3703"/>
      <c r="B49" s="3696"/>
      <c r="C49" s="2847" t="s">
        <v>2492</v>
      </c>
      <c r="D49" s="2848"/>
      <c r="E49" s="2849">
        <v>1</v>
      </c>
      <c r="F49" s="2846" t="s">
        <v>2493</v>
      </c>
      <c r="G49" s="2846"/>
    </row>
    <row r="50" spans="1:7" ht="19.5" customHeight="1">
      <c r="A50" s="3703"/>
      <c r="B50" s="3696"/>
      <c r="C50" s="2847" t="s">
        <v>2494</v>
      </c>
      <c r="D50" s="2848"/>
      <c r="E50" s="2849">
        <v>1</v>
      </c>
      <c r="F50" s="2846" t="s">
        <v>2495</v>
      </c>
      <c r="G50" s="2846"/>
    </row>
    <row r="51" spans="1:7" ht="19.5" customHeight="1" thickBot="1">
      <c r="A51" s="3704"/>
      <c r="B51" s="3698"/>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94" t="s">
        <v>2649</v>
      </c>
      <c r="C73" s="2832" t="s">
        <v>2650</v>
      </c>
      <c r="D73" s="2832" t="s">
        <v>2651</v>
      </c>
      <c r="E73" s="2858">
        <v>0.2</v>
      </c>
      <c r="F73" s="2858">
        <v>25</v>
      </c>
    </row>
    <row r="74" spans="1:7" ht="24">
      <c r="A74" s="2858">
        <v>2</v>
      </c>
      <c r="B74" s="3696"/>
      <c r="C74" s="2832" t="s">
        <v>2652</v>
      </c>
      <c r="D74" s="2832" t="s">
        <v>2653</v>
      </c>
      <c r="E74" s="2858">
        <v>0.2</v>
      </c>
      <c r="F74" s="2858">
        <v>25</v>
      </c>
    </row>
    <row r="75" spans="1:7" ht="24">
      <c r="A75" s="2858">
        <v>3</v>
      </c>
      <c r="B75" s="3696"/>
      <c r="C75" s="2832" t="s">
        <v>2654</v>
      </c>
      <c r="D75" s="2832" t="s">
        <v>2655</v>
      </c>
      <c r="E75" s="2858">
        <v>0.2</v>
      </c>
      <c r="F75" s="2858">
        <v>25</v>
      </c>
    </row>
    <row r="76" spans="1:7" ht="13.5">
      <c r="A76" s="2858">
        <v>4</v>
      </c>
      <c r="B76" s="3696"/>
      <c r="C76" s="2832" t="s">
        <v>2656</v>
      </c>
      <c r="D76" s="2832" t="s">
        <v>2657</v>
      </c>
      <c r="E76" s="2858">
        <v>0.15</v>
      </c>
      <c r="F76" s="2858">
        <v>20</v>
      </c>
    </row>
    <row r="77" spans="1:7" ht="24">
      <c r="A77" s="2858">
        <v>5</v>
      </c>
      <c r="B77" s="3696"/>
      <c r="C77" s="2832" t="s">
        <v>2658</v>
      </c>
      <c r="D77" s="2832" t="s">
        <v>2659</v>
      </c>
      <c r="E77" s="2858">
        <v>0.15</v>
      </c>
      <c r="F77" s="2858">
        <v>20</v>
      </c>
    </row>
    <row r="78" spans="1:7" ht="24">
      <c r="A78" s="2858">
        <v>6</v>
      </c>
      <c r="B78" s="3696"/>
      <c r="C78" s="2832" t="s">
        <v>2660</v>
      </c>
      <c r="D78" s="2832" t="s">
        <v>2661</v>
      </c>
      <c r="E78" s="2858">
        <v>0.15</v>
      </c>
      <c r="F78" s="2858">
        <v>20</v>
      </c>
    </row>
    <row r="79" spans="1:7" ht="24">
      <c r="A79" s="2858">
        <v>7</v>
      </c>
      <c r="B79" s="3696"/>
      <c r="C79" s="2832" t="s">
        <v>2662</v>
      </c>
      <c r="D79" s="2832" t="s">
        <v>2663</v>
      </c>
      <c r="E79" s="2858">
        <v>0.15</v>
      </c>
      <c r="F79" s="2858">
        <v>20</v>
      </c>
    </row>
    <row r="80" spans="1:7" ht="24">
      <c r="A80" s="2858">
        <v>8</v>
      </c>
      <c r="B80" s="3696"/>
      <c r="C80" s="2832" t="s">
        <v>2664</v>
      </c>
      <c r="D80" s="2832" t="s">
        <v>2665</v>
      </c>
      <c r="E80" s="2858">
        <v>0.1</v>
      </c>
      <c r="F80" s="2858">
        <v>15</v>
      </c>
    </row>
    <row r="81" spans="1:6" ht="24">
      <c r="A81" s="2858">
        <v>9</v>
      </c>
      <c r="B81" s="3696"/>
      <c r="C81" s="2832" t="s">
        <v>2666</v>
      </c>
      <c r="D81" s="2832" t="s">
        <v>2667</v>
      </c>
      <c r="E81" s="2858">
        <v>0.1</v>
      </c>
      <c r="F81" s="2858">
        <v>15</v>
      </c>
    </row>
    <row r="82" spans="1:6" ht="24">
      <c r="A82" s="2858">
        <v>10</v>
      </c>
      <c r="B82" s="3696"/>
      <c r="C82" s="2832" t="s">
        <v>2668</v>
      </c>
      <c r="D82" s="2832" t="s">
        <v>2669</v>
      </c>
      <c r="E82" s="2858">
        <v>0.1</v>
      </c>
      <c r="F82" s="2858">
        <v>15</v>
      </c>
    </row>
    <row r="83" spans="1:6" ht="24">
      <c r="A83" s="2858">
        <v>11</v>
      </c>
      <c r="B83" s="3696"/>
      <c r="C83" s="2832" t="s">
        <v>2670</v>
      </c>
      <c r="D83" s="2832" t="s">
        <v>2671</v>
      </c>
      <c r="E83" s="2858">
        <v>0.1</v>
      </c>
      <c r="F83" s="2858">
        <v>15</v>
      </c>
    </row>
    <row r="84" spans="1:6" ht="24">
      <c r="A84" s="2858">
        <v>12</v>
      </c>
      <c r="B84" s="3696"/>
      <c r="C84" s="2832" t="s">
        <v>2672</v>
      </c>
      <c r="D84" s="2832" t="s">
        <v>2673</v>
      </c>
      <c r="E84" s="2858">
        <v>0.1</v>
      </c>
      <c r="F84" s="2858">
        <v>15</v>
      </c>
    </row>
    <row r="85" spans="1:6" ht="13.5">
      <c r="A85" s="2858">
        <v>13</v>
      </c>
      <c r="B85" s="3696"/>
      <c r="C85" s="2832" t="s">
        <v>2674</v>
      </c>
      <c r="D85" s="2832" t="s">
        <v>2675</v>
      </c>
      <c r="E85" s="2858">
        <v>0.1</v>
      </c>
      <c r="F85" s="2858">
        <v>15</v>
      </c>
    </row>
    <row r="86" spans="1:6" ht="13.5">
      <c r="A86" s="2858">
        <v>14</v>
      </c>
      <c r="B86" s="3696"/>
      <c r="C86" s="2832" t="s">
        <v>2676</v>
      </c>
      <c r="D86" s="2832" t="s">
        <v>2677</v>
      </c>
      <c r="E86" s="2858">
        <v>0.1</v>
      </c>
      <c r="F86" s="2858">
        <v>15</v>
      </c>
    </row>
    <row r="87" spans="1:6" ht="13.5">
      <c r="A87" s="2858">
        <v>15</v>
      </c>
      <c r="B87" s="3696"/>
      <c r="C87" s="2832" t="s">
        <v>2678</v>
      </c>
      <c r="D87" s="2832" t="s">
        <v>2679</v>
      </c>
      <c r="E87" s="2858">
        <v>0.1</v>
      </c>
      <c r="F87" s="2858">
        <v>15</v>
      </c>
    </row>
    <row r="88" spans="1:6" ht="24">
      <c r="A88" s="2858">
        <v>16</v>
      </c>
      <c r="B88" s="3696"/>
      <c r="C88" s="2832" t="s">
        <v>2680</v>
      </c>
      <c r="D88" s="2832" t="s">
        <v>2681</v>
      </c>
      <c r="E88" s="2858">
        <v>0.1</v>
      </c>
      <c r="F88" s="2858">
        <v>15</v>
      </c>
    </row>
    <row r="89" spans="1:6" ht="24">
      <c r="A89" s="2858">
        <v>17</v>
      </c>
      <c r="B89" s="3695"/>
      <c r="C89" s="2832" t="s">
        <v>2682</v>
      </c>
      <c r="D89" s="2832" t="s">
        <v>2683</v>
      </c>
      <c r="E89" s="2858">
        <v>0.1</v>
      </c>
      <c r="F89" s="2858">
        <v>15</v>
      </c>
    </row>
    <row r="90" spans="1:6" ht="13.5">
      <c r="A90" s="2858">
        <v>18</v>
      </c>
      <c r="B90" s="3694" t="s">
        <v>2684</v>
      </c>
      <c r="C90" s="2832" t="s">
        <v>2685</v>
      </c>
      <c r="D90" s="2832" t="s">
        <v>2686</v>
      </c>
      <c r="E90" s="2858">
        <v>0.2</v>
      </c>
      <c r="F90" s="2858">
        <v>25</v>
      </c>
    </row>
    <row r="91" spans="1:6" ht="24">
      <c r="A91" s="2858">
        <v>19</v>
      </c>
      <c r="B91" s="3696"/>
      <c r="C91" s="2832" t="s">
        <v>2687</v>
      </c>
      <c r="D91" s="2832" t="s">
        <v>2688</v>
      </c>
      <c r="E91" s="2858">
        <v>0.2</v>
      </c>
      <c r="F91" s="2858">
        <v>25</v>
      </c>
    </row>
    <row r="92" spans="1:6" ht="13.5">
      <c r="A92" s="2858">
        <v>20</v>
      </c>
      <c r="B92" s="3696"/>
      <c r="C92" s="2832" t="s">
        <v>2689</v>
      </c>
      <c r="D92" s="2832" t="s">
        <v>2690</v>
      </c>
      <c r="E92" s="2858">
        <v>0.15</v>
      </c>
      <c r="F92" s="2858">
        <v>20</v>
      </c>
    </row>
    <row r="93" spans="1:6" ht="13.5">
      <c r="A93" s="2858">
        <v>21</v>
      </c>
      <c r="B93" s="3696"/>
      <c r="C93" s="2832" t="s">
        <v>2691</v>
      </c>
      <c r="D93" s="2832" t="s">
        <v>2692</v>
      </c>
      <c r="E93" s="2858">
        <v>0.15</v>
      </c>
      <c r="F93" s="2858">
        <v>20</v>
      </c>
    </row>
    <row r="94" spans="1:6" ht="13.5">
      <c r="A94" s="2858">
        <v>22</v>
      </c>
      <c r="B94" s="3696"/>
      <c r="C94" s="2832" t="s">
        <v>2693</v>
      </c>
      <c r="D94" s="2832" t="s">
        <v>2694</v>
      </c>
      <c r="E94" s="2858">
        <v>0.15</v>
      </c>
      <c r="F94" s="2858">
        <v>20</v>
      </c>
    </row>
    <row r="95" spans="1:6" ht="36">
      <c r="A95" s="2858">
        <v>23</v>
      </c>
      <c r="B95" s="3696"/>
      <c r="C95" s="2832" t="s">
        <v>2695</v>
      </c>
      <c r="D95" s="2832" t="s">
        <v>2696</v>
      </c>
      <c r="E95" s="2858">
        <v>0.15</v>
      </c>
      <c r="F95" s="2858">
        <v>20</v>
      </c>
    </row>
    <row r="96" spans="1:6" ht="13.5">
      <c r="A96" s="2858">
        <v>24</v>
      </c>
      <c r="B96" s="3696"/>
      <c r="C96" s="2832" t="s">
        <v>2697</v>
      </c>
      <c r="D96" s="2832" t="s">
        <v>2698</v>
      </c>
      <c r="E96" s="2858">
        <v>0.1</v>
      </c>
      <c r="F96" s="2858">
        <v>15</v>
      </c>
    </row>
    <row r="97" spans="1:6" ht="13.5">
      <c r="A97" s="2858">
        <v>25</v>
      </c>
      <c r="B97" s="3696"/>
      <c r="C97" s="2832" t="s">
        <v>2699</v>
      </c>
      <c r="D97" s="2832" t="s">
        <v>2700</v>
      </c>
      <c r="E97" s="2858">
        <v>0.1</v>
      </c>
      <c r="F97" s="2858">
        <v>15</v>
      </c>
    </row>
    <row r="98" spans="1:6" ht="24">
      <c r="A98" s="2858">
        <v>26</v>
      </c>
      <c r="B98" s="3696"/>
      <c r="C98" s="2832" t="s">
        <v>2701</v>
      </c>
      <c r="D98" s="2832" t="s">
        <v>2702</v>
      </c>
      <c r="E98" s="2858">
        <v>0.1</v>
      </c>
      <c r="F98" s="2858">
        <v>15</v>
      </c>
    </row>
    <row r="99" spans="1:6" ht="24">
      <c r="A99" s="2858">
        <v>27</v>
      </c>
      <c r="B99" s="3696"/>
      <c r="C99" s="2832" t="s">
        <v>2703</v>
      </c>
      <c r="D99" s="2832" t="s">
        <v>2704</v>
      </c>
      <c r="E99" s="2858">
        <v>0.1</v>
      </c>
      <c r="F99" s="2858">
        <v>15</v>
      </c>
    </row>
    <row r="100" spans="1:6" ht="13.5">
      <c r="A100" s="2858">
        <v>28</v>
      </c>
      <c r="B100" s="3696"/>
      <c r="C100" s="2832" t="s">
        <v>2705</v>
      </c>
      <c r="D100" s="2832" t="s">
        <v>2706</v>
      </c>
      <c r="E100" s="2858">
        <v>0.1</v>
      </c>
      <c r="F100" s="2858">
        <v>15</v>
      </c>
    </row>
    <row r="101" spans="1:6" ht="13.5">
      <c r="A101" s="2858">
        <v>29</v>
      </c>
      <c r="B101" s="3696"/>
      <c r="C101" s="2832" t="s">
        <v>2707</v>
      </c>
      <c r="D101" s="2832" t="s">
        <v>2708</v>
      </c>
      <c r="E101" s="2858">
        <v>0.1</v>
      </c>
      <c r="F101" s="2858">
        <v>15</v>
      </c>
    </row>
    <row r="102" spans="1:6" ht="13.5">
      <c r="A102" s="2858">
        <v>30</v>
      </c>
      <c r="B102" s="3696"/>
      <c r="C102" s="2832" t="s">
        <v>2709</v>
      </c>
      <c r="D102" s="2832" t="s">
        <v>2710</v>
      </c>
      <c r="E102" s="2858">
        <v>0.1</v>
      </c>
      <c r="F102" s="2858">
        <v>15</v>
      </c>
    </row>
    <row r="103" spans="1:6" ht="24">
      <c r="A103" s="2858">
        <v>31</v>
      </c>
      <c r="B103" s="3696"/>
      <c r="C103" s="2832" t="s">
        <v>2711</v>
      </c>
      <c r="D103" s="2832" t="s">
        <v>2712</v>
      </c>
      <c r="E103" s="2858">
        <v>0.1</v>
      </c>
      <c r="F103" s="2858">
        <v>15</v>
      </c>
    </row>
    <row r="104" spans="1:6" ht="24">
      <c r="A104" s="2858">
        <v>32</v>
      </c>
      <c r="B104" s="3696"/>
      <c r="C104" s="2832" t="s">
        <v>2713</v>
      </c>
      <c r="D104" s="2832" t="s">
        <v>2714</v>
      </c>
      <c r="E104" s="2858">
        <v>0.1</v>
      </c>
      <c r="F104" s="2858">
        <v>15</v>
      </c>
    </row>
    <row r="105" spans="1:6" ht="24">
      <c r="A105" s="2858">
        <v>33</v>
      </c>
      <c r="B105" s="3696"/>
      <c r="C105" s="2832" t="s">
        <v>2715</v>
      </c>
      <c r="D105" s="2832" t="s">
        <v>2716</v>
      </c>
      <c r="E105" s="2858">
        <v>0.1</v>
      </c>
      <c r="F105" s="2858">
        <v>15</v>
      </c>
    </row>
    <row r="106" spans="1:6" ht="24">
      <c r="A106" s="2858">
        <v>34</v>
      </c>
      <c r="B106" s="3695"/>
      <c r="C106" s="2832" t="s">
        <v>2717</v>
      </c>
      <c r="D106" s="2832" t="s">
        <v>2718</v>
      </c>
      <c r="E106" s="2858">
        <v>0.1</v>
      </c>
      <c r="F106" s="2858">
        <v>15</v>
      </c>
    </row>
    <row r="107" spans="1:6" ht="24">
      <c r="A107" s="2858">
        <v>35</v>
      </c>
      <c r="B107" s="3694" t="s">
        <v>2719</v>
      </c>
      <c r="C107" s="2858" t="s">
        <v>2720</v>
      </c>
      <c r="D107" s="2832" t="s">
        <v>2721</v>
      </c>
      <c r="E107" s="2858">
        <v>0.15</v>
      </c>
      <c r="F107" s="2858">
        <v>20</v>
      </c>
    </row>
    <row r="108" spans="1:6" ht="13.5">
      <c r="A108" s="2858">
        <v>36</v>
      </c>
      <c r="B108" s="3696"/>
      <c r="C108" s="2858" t="s">
        <v>2722</v>
      </c>
      <c r="D108" s="2832" t="s">
        <v>2723</v>
      </c>
      <c r="E108" s="2858">
        <v>0.15</v>
      </c>
      <c r="F108" s="2858">
        <v>20</v>
      </c>
    </row>
    <row r="109" spans="1:6" ht="13.5">
      <c r="A109" s="2858">
        <v>37</v>
      </c>
      <c r="B109" s="3696"/>
      <c r="C109" s="2858" t="s">
        <v>2724</v>
      </c>
      <c r="D109" s="2832" t="s">
        <v>2725</v>
      </c>
      <c r="E109" s="2858">
        <v>0.15</v>
      </c>
      <c r="F109" s="2858">
        <v>20</v>
      </c>
    </row>
    <row r="110" spans="1:6" ht="13.5">
      <c r="A110" s="2858">
        <v>38</v>
      </c>
      <c r="B110" s="3696"/>
      <c r="C110" s="2858" t="s">
        <v>2726</v>
      </c>
      <c r="D110" s="2832" t="s">
        <v>2727</v>
      </c>
      <c r="E110" s="2858">
        <v>0.1</v>
      </c>
      <c r="F110" s="2858">
        <v>15</v>
      </c>
    </row>
    <row r="111" spans="1:6" ht="24">
      <c r="A111" s="2858">
        <v>39</v>
      </c>
      <c r="B111" s="3696"/>
      <c r="C111" s="2858" t="s">
        <v>2728</v>
      </c>
      <c r="D111" s="2832" t="s">
        <v>2729</v>
      </c>
      <c r="E111" s="2858">
        <v>0.1</v>
      </c>
      <c r="F111" s="2858">
        <v>15</v>
      </c>
    </row>
    <row r="112" spans="1:6" ht="24">
      <c r="A112" s="2858">
        <v>40</v>
      </c>
      <c r="B112" s="3695"/>
      <c r="C112" s="2858" t="s">
        <v>2730</v>
      </c>
      <c r="D112" s="2832" t="s">
        <v>2731</v>
      </c>
      <c r="E112" s="2858">
        <v>0.1</v>
      </c>
      <c r="F112" s="2858">
        <v>15</v>
      </c>
    </row>
    <row r="113" spans="1:6" ht="13.5">
      <c r="A113" s="2858">
        <v>41</v>
      </c>
      <c r="B113" s="3693" t="s">
        <v>2732</v>
      </c>
      <c r="C113" s="2858" t="s">
        <v>2733</v>
      </c>
      <c r="D113" s="2832" t="s">
        <v>2734</v>
      </c>
      <c r="E113" s="2858">
        <v>0.1</v>
      </c>
      <c r="F113" s="2858">
        <v>15</v>
      </c>
    </row>
    <row r="114" spans="1:6" ht="13.5">
      <c r="A114" s="2858">
        <v>42</v>
      </c>
      <c r="B114" s="3693"/>
      <c r="C114" s="2858" t="s">
        <v>2735</v>
      </c>
      <c r="D114" s="2832" t="s">
        <v>2736</v>
      </c>
      <c r="E114" s="2858">
        <v>0.1</v>
      </c>
      <c r="F114" s="2858">
        <v>15</v>
      </c>
    </row>
    <row r="115" spans="1:6" ht="24">
      <c r="A115" s="2858">
        <v>43</v>
      </c>
      <c r="B115" s="3693"/>
      <c r="C115" s="2858" t="s">
        <v>2737</v>
      </c>
      <c r="D115" s="2832" t="s">
        <v>2738</v>
      </c>
      <c r="E115" s="2858">
        <v>0.1</v>
      </c>
      <c r="F115" s="2858">
        <v>15</v>
      </c>
    </row>
    <row r="116" spans="1:6" ht="13.5">
      <c r="A116" s="2858">
        <v>44</v>
      </c>
      <c r="B116" s="3694" t="s">
        <v>2739</v>
      </c>
      <c r="C116" s="2858" t="s">
        <v>2740</v>
      </c>
      <c r="D116" s="2832" t="s">
        <v>2741</v>
      </c>
      <c r="E116" s="2858">
        <v>0.1</v>
      </c>
      <c r="F116" s="2858">
        <v>15</v>
      </c>
    </row>
    <row r="117" spans="1:6" ht="24">
      <c r="A117" s="2858">
        <v>45</v>
      </c>
      <c r="B117" s="3695"/>
      <c r="C117" s="2832" t="s">
        <v>2742</v>
      </c>
      <c r="D117" s="2832" t="s">
        <v>2743</v>
      </c>
      <c r="E117" s="2858">
        <v>0.1</v>
      </c>
      <c r="F117" s="2858">
        <v>15</v>
      </c>
    </row>
    <row r="118" spans="1:6" ht="24">
      <c r="A118" s="2858">
        <v>46</v>
      </c>
      <c r="B118" s="3694" t="s">
        <v>2744</v>
      </c>
      <c r="C118" s="2858" t="s">
        <v>2745</v>
      </c>
      <c r="D118" s="2832" t="s">
        <v>2746</v>
      </c>
      <c r="E118" s="2858">
        <v>0.1</v>
      </c>
      <c r="F118" s="2858">
        <v>15</v>
      </c>
    </row>
    <row r="119" spans="1:6" ht="24">
      <c r="A119" s="2858">
        <v>47</v>
      </c>
      <c r="B119" s="3695"/>
      <c r="C119" s="2858" t="s">
        <v>2747</v>
      </c>
      <c r="D119" s="2832" t="s">
        <v>2748</v>
      </c>
      <c r="E119" s="2858">
        <v>0.1</v>
      </c>
      <c r="F119" s="2858">
        <v>15</v>
      </c>
    </row>
    <row r="120" spans="1:6" ht="13.5">
      <c r="A120" s="2858">
        <v>48</v>
      </c>
      <c r="B120" s="3694" t="s">
        <v>2749</v>
      </c>
      <c r="C120" s="2858" t="s">
        <v>2750</v>
      </c>
      <c r="D120" s="2832" t="s">
        <v>2751</v>
      </c>
      <c r="E120" s="2858">
        <v>0.1</v>
      </c>
      <c r="F120" s="2858">
        <v>15</v>
      </c>
    </row>
    <row r="121" spans="1:6" ht="13.5">
      <c r="A121" s="2858">
        <v>49</v>
      </c>
      <c r="B121" s="3695"/>
      <c r="C121" s="2858" t="s">
        <v>2752</v>
      </c>
      <c r="D121" s="2832" t="s">
        <v>2753</v>
      </c>
      <c r="E121" s="2858">
        <v>0.1</v>
      </c>
      <c r="F121" s="2858">
        <v>15</v>
      </c>
    </row>
    <row r="122" spans="1:6" ht="24">
      <c r="A122" s="2858">
        <v>50</v>
      </c>
      <c r="B122" s="3693" t="s">
        <v>2754</v>
      </c>
      <c r="C122" s="2858" t="s">
        <v>2755</v>
      </c>
      <c r="D122" s="2832" t="s">
        <v>2756</v>
      </c>
      <c r="E122" s="2858">
        <v>0.1</v>
      </c>
      <c r="F122" s="2858">
        <v>15</v>
      </c>
    </row>
    <row r="123" spans="1:6" ht="24">
      <c r="A123" s="2858">
        <v>51</v>
      </c>
      <c r="B123" s="3693"/>
      <c r="C123" s="2858" t="s">
        <v>2757</v>
      </c>
      <c r="D123" s="2832" t="s">
        <v>2758</v>
      </c>
      <c r="E123" s="2858">
        <v>0.1</v>
      </c>
      <c r="F123" s="2858">
        <v>15</v>
      </c>
    </row>
    <row r="124" spans="1:6" ht="24">
      <c r="A124" s="2858">
        <v>52</v>
      </c>
      <c r="B124" s="3693" t="s">
        <v>2759</v>
      </c>
      <c r="C124" s="2858" t="s">
        <v>2760</v>
      </c>
      <c r="D124" s="2832" t="s">
        <v>2761</v>
      </c>
      <c r="E124" s="2858">
        <v>0.1</v>
      </c>
      <c r="F124" s="2858">
        <v>15</v>
      </c>
    </row>
    <row r="125" spans="1:6" ht="24">
      <c r="A125" s="2858">
        <v>53</v>
      </c>
      <c r="B125" s="3693"/>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693" t="s">
        <v>2767</v>
      </c>
      <c r="C127" s="2858" t="s">
        <v>2768</v>
      </c>
      <c r="D127" s="2832" t="s">
        <v>2769</v>
      </c>
      <c r="E127" s="2858">
        <v>0.1</v>
      </c>
      <c r="F127" s="2858">
        <v>15</v>
      </c>
    </row>
    <row r="128" spans="1:6" ht="13.5">
      <c r="A128" s="2858">
        <v>56</v>
      </c>
      <c r="B128" s="3693"/>
      <c r="C128" s="2858" t="s">
        <v>2770</v>
      </c>
      <c r="D128" s="2832" t="s">
        <v>2771</v>
      </c>
      <c r="E128" s="2858">
        <v>0.1</v>
      </c>
      <c r="F128" s="2858">
        <v>15</v>
      </c>
    </row>
    <row r="129" spans="1:6" ht="24">
      <c r="A129" s="2858">
        <v>57</v>
      </c>
      <c r="B129" s="3693"/>
      <c r="C129" s="2858" t="s">
        <v>2772</v>
      </c>
      <c r="D129" s="2832" t="s">
        <v>2773</v>
      </c>
      <c r="E129" s="2858">
        <v>0.1</v>
      </c>
      <c r="F129" s="2858">
        <v>15</v>
      </c>
    </row>
    <row r="130" spans="1:6" ht="24">
      <c r="A130" s="2858">
        <v>58</v>
      </c>
      <c r="B130" s="3693" t="s">
        <v>2774</v>
      </c>
      <c r="C130" s="2858" t="s">
        <v>2775</v>
      </c>
      <c r="D130" s="2832" t="s">
        <v>2776</v>
      </c>
      <c r="E130" s="2858">
        <v>0.1</v>
      </c>
      <c r="F130" s="2858">
        <v>15</v>
      </c>
    </row>
    <row r="131" spans="1:6" ht="13.5">
      <c r="A131" s="2858">
        <v>59</v>
      </c>
      <c r="B131" s="3693"/>
      <c r="C131" s="2858" t="s">
        <v>2777</v>
      </c>
      <c r="D131" s="2832" t="s">
        <v>2778</v>
      </c>
      <c r="E131" s="2858">
        <v>0.1</v>
      </c>
      <c r="F131" s="2858">
        <v>15</v>
      </c>
    </row>
    <row r="132" spans="1:6" ht="13.5">
      <c r="A132" s="2858">
        <v>60</v>
      </c>
      <c r="B132" s="3694" t="s">
        <v>2779</v>
      </c>
      <c r="C132" s="2858" t="s">
        <v>2780</v>
      </c>
      <c r="D132" s="2832" t="s">
        <v>2781</v>
      </c>
      <c r="E132" s="2858">
        <v>0.1</v>
      </c>
      <c r="F132" s="2858">
        <v>15</v>
      </c>
    </row>
    <row r="133" spans="1:6" ht="13.5">
      <c r="A133" s="2858">
        <v>61</v>
      </c>
      <c r="B133" s="3695"/>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693" t="s">
        <v>2787</v>
      </c>
      <c r="C135" s="2858" t="s">
        <v>2788</v>
      </c>
      <c r="D135" s="2832" t="s">
        <v>2789</v>
      </c>
      <c r="E135" s="2858">
        <v>0.1</v>
      </c>
      <c r="F135" s="2858">
        <v>15</v>
      </c>
    </row>
    <row r="136" spans="1:6" ht="13.5">
      <c r="A136" s="2858">
        <v>64</v>
      </c>
      <c r="B136" s="3693"/>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28989</v>
      </c>
      <c r="C2" s="2" t="s">
        <v>106</v>
      </c>
      <c r="D2" s="191"/>
      <c r="E2" s="191"/>
      <c r="F2" s="191"/>
      <c r="G2" s="191"/>
    </row>
    <row r="3" spans="1:7" s="192" customFormat="1" ht="18" customHeight="1" thickBot="1">
      <c r="A3" s="195" t="s">
        <v>58</v>
      </c>
      <c r="B3" s="196">
        <f ca="1">ROUND(B2*10000/'数据-汇总表'!E3,0)</f>
        <v>647842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447.47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447.47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2.8000000000000001E-2</v>
      </c>
      <c r="D21" s="228" t="s">
        <v>99</v>
      </c>
      <c r="E21" s="224"/>
      <c r="F21" s="225">
        <f>'数据-取费表'!B38</f>
        <v>2.8000000000000001E-2</v>
      </c>
      <c r="G21" s="226" t="s">
        <v>79</v>
      </c>
    </row>
    <row r="22" spans="1:7" s="206" customFormat="1" ht="13.5" customHeight="1">
      <c r="A22" s="731" t="s">
        <v>341</v>
      </c>
      <c r="B22" s="202" t="s">
        <v>80</v>
      </c>
      <c r="C22" s="1041">
        <f ca="1">ROUND(SUM(C23:C25),0)</f>
        <v>621</v>
      </c>
      <c r="D22" s="227">
        <f ca="1">C26</f>
        <v>4.0000000000000002E-4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4791</v>
      </c>
      <c r="D27" s="227">
        <f>C29</f>
        <v>6.4000000000000003E-3</v>
      </c>
      <c r="E27" s="228" t="s">
        <v>99</v>
      </c>
      <c r="F27" s="238">
        <f>'数据-取费表'!Q16</f>
        <v>0.23</v>
      </c>
      <c r="G27" s="239" t="s">
        <v>431</v>
      </c>
    </row>
    <row r="28" spans="1:7" s="206" customFormat="1" ht="13.5" customHeight="1">
      <c r="A28" s="734" t="s">
        <v>349</v>
      </c>
      <c r="B28" s="240" t="s">
        <v>424</v>
      </c>
      <c r="C28" s="241">
        <f>ROUND((C5+C19+C20)*F27*'数据-取费表'!B21/'数据-取费表'!B20,0)</f>
        <v>4791</v>
      </c>
      <c r="D28" s="227"/>
      <c r="E28" s="228"/>
      <c r="F28" s="238"/>
      <c r="G28" s="239"/>
    </row>
    <row r="29" spans="1:7" s="206" customFormat="1" ht="13.5" customHeight="1">
      <c r="A29" s="734" t="s">
        <v>347</v>
      </c>
      <c r="B29" s="240" t="s">
        <v>425</v>
      </c>
      <c r="C29" s="230">
        <f>ROUND(C21*F27*'数据-取费表'!B21/'数据-取费表'!B20,4)</f>
        <v>6.4000000000000003E-3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28777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447.47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2.8000000000000001E-2</v>
      </c>
      <c r="D40" s="228" t="s">
        <v>102</v>
      </c>
      <c r="E40" s="224"/>
      <c r="F40" s="225"/>
      <c r="G40" s="226" t="s">
        <v>93</v>
      </c>
    </row>
    <row r="41" spans="1:7" s="206" customFormat="1" ht="13.5" customHeight="1">
      <c r="A41" s="731" t="s">
        <v>340</v>
      </c>
      <c r="B41" s="202" t="s">
        <v>80</v>
      </c>
      <c r="C41" s="224">
        <f ca="1">ROUND(SUM(C42:C43),0)</f>
        <v>2</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9" t="s">
        <v>94</v>
      </c>
    </row>
    <row r="43" spans="1:7" ht="13.5" customHeight="1">
      <c r="A43" s="734" t="s">
        <v>347</v>
      </c>
      <c r="B43" s="207" t="s">
        <v>426</v>
      </c>
      <c r="C43" s="230">
        <f ca="1">ROUND(IF('数据-取费表'!B22&lt;=1,C39*F22*'数据-取费表'!B21/2,C39*(POWER((1+F22),'数据-取费表'!B21/2)-1)),0)</f>
        <v>0</v>
      </c>
      <c r="D43" s="230"/>
      <c r="E43" s="230"/>
      <c r="F43" s="231"/>
      <c r="G43" s="3570"/>
    </row>
    <row r="44" spans="1:7" ht="13.5" customHeight="1">
      <c r="A44" s="734" t="s">
        <v>348</v>
      </c>
      <c r="B44" s="207" t="s">
        <v>428</v>
      </c>
      <c r="C44" s="230">
        <f ca="1">ROUND(IF('数据-取费表'!B22&lt;=1,C40*F22*'数据-取费表'!B21/2,C40*(POWER((1+F22),'数据-取费表'!B21/2)-1)),4)</f>
        <v>4.0000000000000002E-4</v>
      </c>
      <c r="D44" s="230"/>
      <c r="E44" s="230"/>
      <c r="F44" s="231"/>
      <c r="G44" s="3571"/>
    </row>
    <row r="45" spans="1:7" s="206" customFormat="1" ht="13.5" customHeight="1">
      <c r="A45" s="731" t="s">
        <v>341</v>
      </c>
      <c r="B45" s="236" t="s">
        <v>85</v>
      </c>
      <c r="C45" s="237">
        <f>C46</f>
        <v>36</v>
      </c>
      <c r="D45" s="227">
        <f>C47</f>
        <v>6.4000000000000003E-3</v>
      </c>
      <c r="E45" s="228" t="s">
        <v>102</v>
      </c>
      <c r="F45" s="238"/>
      <c r="G45" s="239" t="s">
        <v>434</v>
      </c>
    </row>
    <row r="46" spans="1:7" s="206" customFormat="1" ht="13.5" customHeight="1">
      <c r="A46" s="734" t="s">
        <v>349</v>
      </c>
      <c r="B46" s="240" t="s">
        <v>427</v>
      </c>
      <c r="C46" s="241">
        <f>ROUND((C33+C39)*F27,0)</f>
        <v>36</v>
      </c>
      <c r="D46" s="255"/>
      <c r="E46" s="228"/>
      <c r="F46" s="238"/>
      <c r="G46" s="239"/>
    </row>
    <row r="47" spans="1:7" s="206" customFormat="1" ht="13.5" customHeight="1">
      <c r="A47" s="734" t="s">
        <v>347</v>
      </c>
      <c r="B47" s="240" t="s">
        <v>429</v>
      </c>
      <c r="C47" s="230">
        <f>ROUND(C40*F27,4)</f>
        <v>6.4000000000000003E-3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212</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212</v>
      </c>
      <c r="D51" s="224"/>
      <c r="E51" s="224"/>
      <c r="F51" s="256"/>
      <c r="G51" s="226" t="s">
        <v>37</v>
      </c>
    </row>
    <row r="52" spans="1:7" s="200" customFormat="1" ht="16.5" thickBot="1">
      <c r="A52" s="257" t="s">
        <v>38</v>
      </c>
      <c r="B52" s="258"/>
      <c r="C52" s="259">
        <f ca="1">C31+C51</f>
        <v>28989</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5" t="s">
        <v>3179</v>
      </c>
      <c r="B1" s="3705"/>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6" t="s">
        <v>3230</v>
      </c>
      <c r="B1" s="3706"/>
      <c r="C1" s="3706"/>
      <c r="D1" s="3706"/>
      <c r="E1" s="3706"/>
      <c r="F1" s="3707"/>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8" t="s">
        <v>456</v>
      </c>
      <c r="S1" s="3709"/>
      <c r="T1" s="3709"/>
      <c r="U1" s="3709"/>
      <c r="V1" s="3709"/>
      <c r="W1" s="3709"/>
      <c r="X1" s="2897"/>
      <c r="Y1" s="3708" t="s">
        <v>457</v>
      </c>
      <c r="Z1" s="3709"/>
      <c r="AA1" s="3709"/>
      <c r="AB1" s="3709"/>
      <c r="AC1" s="3709"/>
      <c r="AD1" s="3709"/>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8" t="s">
        <v>2825</v>
      </c>
      <c r="S29" s="3709"/>
      <c r="T29" s="3709"/>
      <c r="U29" s="3709"/>
      <c r="V29" s="3709"/>
      <c r="W29" s="3709"/>
      <c r="X29" s="2897"/>
      <c r="Y29" s="3708" t="s">
        <v>2826</v>
      </c>
      <c r="Z29" s="3709"/>
      <c r="AA29" s="3709"/>
      <c r="AB29" s="3709"/>
      <c r="AC29" s="3709"/>
      <c r="AD29" s="3709"/>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13" t="s">
        <v>452</v>
      </c>
      <c r="C1" s="3713"/>
      <c r="D1" s="3713"/>
      <c r="E1" s="3713"/>
      <c r="F1" s="3713"/>
      <c r="G1" s="3709" t="s">
        <v>453</v>
      </c>
      <c r="H1" s="3709"/>
      <c r="I1" s="3709"/>
      <c r="J1" s="3709"/>
      <c r="K1" s="3709"/>
      <c r="L1" s="3709"/>
      <c r="N1" s="3709" t="s">
        <v>454</v>
      </c>
      <c r="O1" s="3709"/>
      <c r="P1" s="3709"/>
      <c r="Q1" s="3709"/>
      <c r="S1" s="3709" t="s">
        <v>455</v>
      </c>
      <c r="T1" s="3709"/>
      <c r="U1" s="3709"/>
      <c r="V1" s="3709"/>
      <c r="X1" s="3708" t="s">
        <v>456</v>
      </c>
      <c r="Y1" s="3709"/>
      <c r="Z1" s="3709"/>
      <c r="AA1" s="3709"/>
      <c r="AB1" s="3709"/>
      <c r="AD1" s="3708" t="s">
        <v>457</v>
      </c>
      <c r="AE1" s="3709"/>
      <c r="AF1" s="3709"/>
      <c r="AG1" s="3709"/>
      <c r="AH1" s="370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1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1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1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1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21" t="s">
        <v>2837</v>
      </c>
      <c r="B1" s="3721"/>
      <c r="C1" s="3721"/>
      <c r="D1" s="3721"/>
      <c r="E1" s="3721"/>
      <c r="F1" s="3721"/>
      <c r="G1" s="3722"/>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9"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20"/>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405" t="str">
        <f>IF(项目基本情况!B9="房地产市场价值","估价结果一览表","结果表-2")</f>
        <v>估价结果一览表</v>
      </c>
      <c r="B1" s="3405"/>
      <c r="C1" s="3405"/>
      <c r="D1" s="3405"/>
      <c r="E1" s="3405"/>
      <c r="F1" s="3405"/>
      <c r="G1" s="3405"/>
      <c r="H1" s="3405"/>
      <c r="I1" s="3405"/>
    </row>
    <row r="2" spans="1:9" ht="30" customHeight="1" thickTop="1">
      <c r="A2" s="3406" t="s">
        <v>928</v>
      </c>
      <c r="B2" s="3406" t="s">
        <v>929</v>
      </c>
      <c r="C2" s="3406" t="s">
        <v>930</v>
      </c>
      <c r="D2" s="3406" t="str">
        <f>结果表!D116</f>
        <v>出让国有建设用地使用权价值</v>
      </c>
      <c r="E2" s="3406"/>
      <c r="F2" s="3406" t="str">
        <f>结果表!F116</f>
        <v>在建建筑物价值</v>
      </c>
      <c r="G2" s="3406"/>
      <c r="H2" s="3406" t="str">
        <f>IF(项目基本情况!B9="房地产市场价值","房地产市场价值","房地产价值")</f>
        <v>房地产市场价值</v>
      </c>
      <c r="I2" s="3406"/>
    </row>
    <row r="3" spans="1:9" ht="15">
      <c r="A3" s="3401"/>
      <c r="B3" s="3401"/>
      <c r="C3" s="3401"/>
      <c r="D3" s="801" t="s">
        <v>925</v>
      </c>
      <c r="E3" s="801" t="s">
        <v>931</v>
      </c>
      <c r="F3" s="801" t="s">
        <v>925</v>
      </c>
      <c r="G3" s="801" t="s">
        <v>926</v>
      </c>
      <c r="H3" s="801" t="s">
        <v>925</v>
      </c>
      <c r="I3" s="801" t="s">
        <v>926</v>
      </c>
    </row>
    <row r="4" spans="1:9" ht="15">
      <c r="A4" s="1403" t="str">
        <f>项目基本情况!S2</f>
        <v>房地产</v>
      </c>
      <c r="B4" s="801">
        <f>项目基本情况!C17</f>
        <v>447.47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401" t="s">
        <v>927</v>
      </c>
      <c r="B5" s="3401"/>
      <c r="C5" s="3401"/>
      <c r="D5" s="3401" t="e">
        <f ca="1">结果表!D119</f>
        <v>#REF!</v>
      </c>
      <c r="E5" s="3401"/>
      <c r="F5" s="3401" t="e">
        <f ca="1">结果表!F119</f>
        <v>#REF!</v>
      </c>
      <c r="G5" s="3401"/>
      <c r="H5" s="3401" t="e">
        <f ca="1">结果表!H119</f>
        <v>#REF!</v>
      </c>
      <c r="I5" s="3401"/>
    </row>
    <row r="6" spans="1:9" ht="15.75">
      <c r="A6" s="3400" t="str">
        <f>结果表!A120</f>
        <v/>
      </c>
      <c r="B6" s="3400"/>
      <c r="C6" s="3400"/>
      <c r="D6" s="3400">
        <f>结果表!D120</f>
        <v>0</v>
      </c>
      <c r="E6" s="3400"/>
      <c r="F6" s="3400"/>
      <c r="G6" s="3400"/>
      <c r="H6" s="3400"/>
      <c r="I6" s="3400"/>
    </row>
    <row r="7" spans="1:9" ht="15">
      <c r="A7" s="3401" t="s">
        <v>927</v>
      </c>
      <c r="B7" s="3401"/>
      <c r="C7" s="3401"/>
      <c r="D7" s="3402" t="str">
        <f>结果表!D121</f>
        <v>零元整</v>
      </c>
      <c r="E7" s="3403"/>
      <c r="F7" s="3403"/>
      <c r="G7" s="3403"/>
      <c r="H7" s="3403"/>
      <c r="I7" s="3404"/>
    </row>
    <row r="8" spans="1:9" ht="15.75">
      <c r="A8" s="3400" t="str">
        <f>结果表!A122</f>
        <v/>
      </c>
      <c r="B8" s="3400"/>
      <c r="C8" s="3400"/>
      <c r="D8" s="3400" t="e">
        <f ca="1">结果表!D122</f>
        <v>#REF!</v>
      </c>
      <c r="E8" s="3400"/>
      <c r="F8" s="3400"/>
      <c r="G8" s="3400"/>
      <c r="H8" s="3400"/>
      <c r="I8" s="3400"/>
    </row>
    <row r="9" spans="1:9" ht="15">
      <c r="A9" s="3401" t="s">
        <v>927</v>
      </c>
      <c r="B9" s="3401"/>
      <c r="C9" s="3401"/>
      <c r="D9" s="3401" t="e">
        <f ca="1">结果表!D123</f>
        <v>#REF!</v>
      </c>
      <c r="E9" s="3401"/>
      <c r="F9" s="3401"/>
      <c r="G9" s="3401"/>
      <c r="H9" s="3401"/>
      <c r="I9" s="3401"/>
    </row>
    <row r="10" spans="1:9" ht="15.75">
      <c r="A10" s="3400" t="str">
        <f>结果表!A124</f>
        <v/>
      </c>
      <c r="B10" s="3400"/>
      <c r="C10" s="3400"/>
      <c r="D10" s="3400" t="str">
        <f>结果表!D124</f>
        <v>——</v>
      </c>
      <c r="E10" s="3400"/>
      <c r="F10" s="3400"/>
      <c r="G10" s="3400"/>
      <c r="H10" s="3400"/>
      <c r="I10" s="3400"/>
    </row>
    <row r="11" spans="1:9" ht="15">
      <c r="A11" s="3401" t="s">
        <v>927</v>
      </c>
      <c r="B11" s="3401"/>
      <c r="C11" s="3401"/>
      <c r="D11" s="3401" t="e">
        <f>结果表!D125</f>
        <v>#VALUE!</v>
      </c>
      <c r="E11" s="3401"/>
      <c r="F11" s="3401"/>
      <c r="G11" s="3401"/>
      <c r="H11" s="3401"/>
      <c r="I11" s="3401"/>
    </row>
    <row r="12" spans="1:9" ht="15.75">
      <c r="A12" s="3400" t="str">
        <f>结果表!A126</f>
        <v/>
      </c>
      <c r="B12" s="3400"/>
      <c r="C12" s="3400"/>
      <c r="D12" s="3400" t="str">
        <f>结果表!D126</f>
        <v>——</v>
      </c>
      <c r="E12" s="3400"/>
      <c r="F12" s="3400"/>
      <c r="G12" s="3400"/>
      <c r="H12" s="3400"/>
      <c r="I12" s="3400"/>
    </row>
    <row r="13" spans="1:9" ht="15.75" thickBot="1">
      <c r="A13" s="3398" t="s">
        <v>927</v>
      </c>
      <c r="B13" s="3398"/>
      <c r="C13" s="3398"/>
      <c r="D13" s="3398" t="e">
        <f>结果表!D127</f>
        <v>#VALUE!</v>
      </c>
      <c r="E13" s="3398"/>
      <c r="F13" s="3398"/>
      <c r="G13" s="3398"/>
      <c r="H13" s="3398"/>
      <c r="I13" s="3398"/>
    </row>
    <row r="14" spans="1:9" ht="15" thickTop="1">
      <c r="A14" s="3399" t="s">
        <v>932</v>
      </c>
      <c r="B14" s="3399"/>
      <c r="C14" s="3399"/>
      <c r="D14" s="3399"/>
      <c r="E14" s="3399"/>
      <c r="F14" s="3399"/>
      <c r="G14" s="3399"/>
      <c r="H14" s="3399"/>
      <c r="I14" s="339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24">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24"/>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24"/>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23">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23"/>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23"/>
      <c r="I7" s="3269">
        <v>2</v>
      </c>
      <c r="J7" s="3269">
        <f>房源表及成交价!J15</f>
        <v>92.47</v>
      </c>
      <c r="K7" s="3274">
        <v>3.4</v>
      </c>
      <c r="L7" s="3270">
        <v>3.23</v>
      </c>
      <c r="M7" s="3271">
        <f>3.9+8.1</f>
        <v>12</v>
      </c>
      <c r="N7" s="3270">
        <v>14.5</v>
      </c>
      <c r="O7" s="3274"/>
      <c r="P7" s="3274"/>
      <c r="Q7" s="3274"/>
      <c r="R7" s="3274"/>
      <c r="S7" s="3270"/>
      <c r="T7" s="3270"/>
      <c r="U7" s="3274"/>
      <c r="V7" s="3272"/>
    </row>
    <row r="8" spans="8:27">
      <c r="H8" s="3727">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7"/>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7"/>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23">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23"/>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23"/>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24">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24"/>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24"/>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6">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6"/>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6"/>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24">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24"/>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24"/>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23">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21764</v>
      </c>
      <c r="AB23">
        <f ca="1">(Z23-AA23)*J23</f>
        <v>-1887722.460190637</v>
      </c>
    </row>
    <row r="24" spans="8:28">
      <c r="H24" s="3723"/>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23"/>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24">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24"/>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24"/>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23">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23"/>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23"/>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7">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7"/>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7"/>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23">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23"/>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23"/>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24">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24"/>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24"/>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-4869</v>
      </c>
      <c r="B41">
        <f ca="1">'成本法 (元)-地上'!B3</f>
        <v>21764</v>
      </c>
      <c r="C41">
        <f>ROUND($F$41/$D$44/$E$44*E41*10000,0)</f>
        <v>16895</v>
      </c>
      <c r="D41">
        <f>房源表及成交价!N11</f>
        <v>253.4</v>
      </c>
      <c r="E41" s="1405">
        <v>0.3</v>
      </c>
      <c r="F41">
        <v>1521.02</v>
      </c>
      <c r="H41" s="3723">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-1233804.6000000001</v>
      </c>
      <c r="C42">
        <f>ROUND($F$41/$D$44/$E$44*E42*10000,0)</f>
        <v>56315</v>
      </c>
      <c r="D42">
        <f>房源表及成交价!L11</f>
        <v>194.07</v>
      </c>
      <c r="E42">
        <v>1</v>
      </c>
      <c r="H42" s="3723"/>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23"/>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5">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5"/>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5"/>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6">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6"/>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6"/>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2:H34"/>
    <mergeCell ref="H2:H4"/>
    <mergeCell ref="H5:H7"/>
    <mergeCell ref="H8:H10"/>
    <mergeCell ref="H11:H13"/>
    <mergeCell ref="H14:H16"/>
    <mergeCell ref="H17:H19"/>
    <mergeCell ref="H20:H22"/>
    <mergeCell ref="H23:H25"/>
    <mergeCell ref="H26:H28"/>
    <mergeCell ref="H29:H31"/>
    <mergeCell ref="H35:H37"/>
    <mergeCell ref="H38:H40"/>
    <mergeCell ref="H41:H43"/>
    <mergeCell ref="H44:H46"/>
    <mergeCell ref="H47:H49"/>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O89"/>
  <sheetViews>
    <sheetView tabSelected="1" zoomScale="130" zoomScaleNormal="130" workbookViewId="0">
      <pane xSplit="6" ySplit="1" topLeftCell="AD2" activePane="bottomRight" state="frozen"/>
      <selection pane="topRight" activeCell="H1" sqref="H1"/>
      <selection pane="bottomLeft" activeCell="A2" sqref="A2"/>
      <selection pane="bottomRight" activeCell="AL56" sqref="AL56"/>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9" style="3198"/>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41" ht="27">
      <c r="D1" s="3247" t="s">
        <v>3445</v>
      </c>
      <c r="E1" s="3366" t="s">
        <v>3934</v>
      </c>
      <c r="F1" s="3247" t="s">
        <v>3494</v>
      </c>
      <c r="G1" s="3247" t="s">
        <v>3387</v>
      </c>
      <c r="H1" s="3281" t="s">
        <v>3761</v>
      </c>
      <c r="I1" s="1429" t="s">
        <v>3480</v>
      </c>
      <c r="J1" s="1429" t="s">
        <v>3718</v>
      </c>
      <c r="K1" s="3281" t="s">
        <v>3757</v>
      </c>
      <c r="L1" s="1429" t="s">
        <v>3481</v>
      </c>
      <c r="M1" s="3277" t="s">
        <v>3482</v>
      </c>
      <c r="N1" s="3277" t="s">
        <v>3476</v>
      </c>
      <c r="O1" s="3281" t="s">
        <v>3778</v>
      </c>
      <c r="P1" s="3277" t="s">
        <v>3477</v>
      </c>
      <c r="Q1" s="3281" t="s">
        <v>3779</v>
      </c>
      <c r="R1" s="3277" t="s">
        <v>3935</v>
      </c>
      <c r="S1" s="3281" t="s">
        <v>3780</v>
      </c>
      <c r="T1" s="3277" t="s">
        <v>3913</v>
      </c>
      <c r="U1" s="3281"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c r="AN1" s="3280"/>
      <c r="AO1" s="3280"/>
    </row>
    <row r="2" spans="1:41" hidden="1">
      <c r="A2" s="3277">
        <v>3.33</v>
      </c>
      <c r="B2" s="3277" t="s">
        <v>3728</v>
      </c>
      <c r="D2" s="3727">
        <v>80</v>
      </c>
      <c r="E2" s="3273">
        <v>100</v>
      </c>
      <c r="F2" s="3276">
        <v>-1</v>
      </c>
      <c r="G2" s="3276">
        <f>房源表及成交价!N2</f>
        <v>203</v>
      </c>
      <c r="H2" s="3281">
        <v>100</v>
      </c>
      <c r="I2" s="3277">
        <v>3.6</v>
      </c>
      <c r="J2" s="3277">
        <v>3.33</v>
      </c>
      <c r="K2" s="3281">
        <f t="shared" ref="K2:K9" si="0">IF(I2&lt;=3.3,97,IF(I2&lt;=3.3,98,IF(I2&lt;=3.6,99,IF(I2&lt;=3.9,100,101))))</f>
        <v>99</v>
      </c>
      <c r="L2" s="3277">
        <v>14.2</v>
      </c>
      <c r="M2" s="3277">
        <v>13.73</v>
      </c>
      <c r="N2" s="3277" t="s">
        <v>3908</v>
      </c>
      <c r="O2" s="3281">
        <f t="shared" ref="O2:O49" si="1">VLOOKUP(N2,$N$63:$O$66,2,0)</f>
        <v>85</v>
      </c>
      <c r="P2" s="3286" t="s">
        <v>3774</v>
      </c>
      <c r="Q2" s="3281">
        <f t="shared" ref="Q2:Q49" si="2">VLOOKUP(P2,$P$63:$Q$65,2,0)</f>
        <v>80</v>
      </c>
      <c r="R2" s="3286" t="s">
        <v>3776</v>
      </c>
      <c r="S2" s="3281">
        <f t="shared" ref="S2:S49" si="3">VLOOKUP(R2,$R$63:$S$64,2,0)</f>
        <v>90</v>
      </c>
      <c r="T2" s="3286" t="s">
        <v>3897</v>
      </c>
      <c r="U2" s="3281">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8">
        <f>G2+G3+G4</f>
        <v>397.07</v>
      </c>
      <c r="AA2" s="3728">
        <f>房源表及成交价!R2</f>
        <v>1067.2199000000001</v>
      </c>
      <c r="AB2" s="3728">
        <f>ROUND(AA2/Z2*10000,0)</f>
        <v>26877</v>
      </c>
      <c r="AC2" s="3281">
        <f>ROUND(AC3*X2,0)</f>
        <v>15886</v>
      </c>
      <c r="AD2" s="3286">
        <f>ROUND(AC2*G2/10000,2)</f>
        <v>322.49</v>
      </c>
      <c r="AE2" s="3728">
        <v>1</v>
      </c>
      <c r="AF2" s="3728">
        <f ca="1">VLOOKUP(AE2,标定地价!$O$16:$R$19,4,0)</f>
        <v>6822</v>
      </c>
      <c r="AG2" s="3728">
        <v>1.01</v>
      </c>
      <c r="AH2" s="3728">
        <v>1.02</v>
      </c>
      <c r="AI2" s="3728">
        <f ca="1">ROUND(AF2*AG2*AH2,0)</f>
        <v>7028</v>
      </c>
      <c r="AJ2" s="3728">
        <f ca="1">AC2-AI2</f>
        <v>8858</v>
      </c>
      <c r="AK2" s="3728">
        <f ca="1">AJ2*G2</f>
        <v>1798174</v>
      </c>
      <c r="AL2" s="3732">
        <f ca="1">ROUND(AK2/AA2/10000,4)</f>
        <v>0.16850000000000001</v>
      </c>
      <c r="AN2" s="3728">
        <v>1797971</v>
      </c>
      <c r="AO2" s="3728">
        <f ca="1">AK2-AN2</f>
        <v>203</v>
      </c>
    </row>
    <row r="3" spans="1:41" hidden="1">
      <c r="A3" s="3277" t="s">
        <v>3748</v>
      </c>
      <c r="B3" s="3277"/>
      <c r="D3" s="3727"/>
      <c r="E3" s="3273">
        <v>100</v>
      </c>
      <c r="F3" s="3276">
        <v>1</v>
      </c>
      <c r="G3" s="3276">
        <f>房源表及成交价!I2</f>
        <v>123.31</v>
      </c>
      <c r="H3" s="3281">
        <v>100</v>
      </c>
      <c r="I3" s="3277">
        <v>3.9</v>
      </c>
      <c r="J3" s="3277">
        <v>3.79</v>
      </c>
      <c r="K3" s="3281">
        <f t="shared" si="0"/>
        <v>100</v>
      </c>
      <c r="L3" s="3277">
        <f>3.7+7.6</f>
        <v>11.3</v>
      </c>
      <c r="M3" s="3277">
        <v>13.7</v>
      </c>
      <c r="N3" s="3277" t="s">
        <v>3770</v>
      </c>
      <c r="O3" s="3281">
        <f t="shared" si="1"/>
        <v>100</v>
      </c>
      <c r="P3" s="3277" t="s">
        <v>3775</v>
      </c>
      <c r="Q3" s="3281">
        <f t="shared" si="2"/>
        <v>100</v>
      </c>
      <c r="R3" s="3277" t="s">
        <v>3777</v>
      </c>
      <c r="S3" s="3281">
        <f t="shared" si="3"/>
        <v>100</v>
      </c>
      <c r="T3" s="3277" t="s">
        <v>3894</v>
      </c>
      <c r="U3" s="3281">
        <f t="shared" si="4"/>
        <v>100</v>
      </c>
      <c r="V3" s="3355" t="s">
        <v>3893</v>
      </c>
      <c r="W3" s="3356">
        <f t="shared" si="5"/>
        <v>100</v>
      </c>
      <c r="X3" s="3273">
        <f t="shared" ref="X3:X49" si="6">ROUND(E3/100*K3/100*O3/100*Q3/100*S3/100*U3/100,4)</f>
        <v>1</v>
      </c>
      <c r="Y3" s="3277" t="e">
        <f>ROUND(I3/100*L3/100*P3/100*R3/100*T3/100*X3/100,4)</f>
        <v>#VALUE!</v>
      </c>
      <c r="Z3" s="3729"/>
      <c r="AA3" s="3729"/>
      <c r="AB3" s="3729"/>
      <c r="AC3" s="3276">
        <f>ROUND(AA2*10000/(X2*G2+X3*G3+X4*G4),0)</f>
        <v>37459</v>
      </c>
      <c r="AD3" s="3277">
        <f t="shared" ref="AD3:AD49" si="7">ROUND(AC3*G3/10000,2)</f>
        <v>461.91</v>
      </c>
      <c r="AE3" s="3729"/>
      <c r="AF3" s="3729"/>
      <c r="AG3" s="3729"/>
      <c r="AH3" s="3729"/>
      <c r="AI3" s="3729"/>
      <c r="AJ3" s="3729"/>
      <c r="AK3" s="3729"/>
      <c r="AL3" s="3733"/>
      <c r="AM3">
        <f ca="1">ROUND(AK2/10000,1)</f>
        <v>179.8</v>
      </c>
      <c r="AN3" s="3729"/>
      <c r="AO3" s="3729"/>
    </row>
    <row r="4" spans="1:41" hidden="1">
      <c r="A4" s="3277">
        <v>3.19</v>
      </c>
      <c r="B4" s="3277"/>
      <c r="D4" s="3727"/>
      <c r="E4" s="3273">
        <v>100</v>
      </c>
      <c r="F4" s="3276">
        <v>2</v>
      </c>
      <c r="G4" s="3276">
        <f>房源表及成交价!J2</f>
        <v>70.760000000000005</v>
      </c>
      <c r="H4" s="3281">
        <v>100</v>
      </c>
      <c r="I4" s="3277">
        <v>3.3</v>
      </c>
      <c r="J4" s="3277">
        <v>3.19</v>
      </c>
      <c r="K4" s="3382">
        <v>97</v>
      </c>
      <c r="L4" s="3277">
        <f>3.7+7.48</f>
        <v>11.18</v>
      </c>
      <c r="M4" s="3277">
        <f>9.8+2.4</f>
        <v>12.200000000000001</v>
      </c>
      <c r="N4" s="3277" t="s">
        <v>3770</v>
      </c>
      <c r="O4" s="3382">
        <f t="shared" si="1"/>
        <v>100</v>
      </c>
      <c r="P4" s="3277" t="s">
        <v>3775</v>
      </c>
      <c r="Q4" s="3382">
        <f t="shared" si="2"/>
        <v>100</v>
      </c>
      <c r="R4" s="3277" t="s">
        <v>3777</v>
      </c>
      <c r="S4" s="3382">
        <f t="shared" si="3"/>
        <v>100</v>
      </c>
      <c r="T4" s="3277" t="s">
        <v>3892</v>
      </c>
      <c r="U4" s="3382">
        <f t="shared" si="4"/>
        <v>110</v>
      </c>
      <c r="V4" s="3355" t="s">
        <v>3895</v>
      </c>
      <c r="W4" s="3356">
        <f t="shared" si="5"/>
        <v>100</v>
      </c>
      <c r="X4" s="3273">
        <f t="shared" si="6"/>
        <v>1.0669999999999999</v>
      </c>
      <c r="Y4" s="3277" t="e">
        <f>ROUND(I4/100*L4/100*P4/100*R4/100*T4/100*X4/100,4)</f>
        <v>#VALUE!</v>
      </c>
      <c r="Z4" s="3730"/>
      <c r="AA4" s="3730"/>
      <c r="AB4" s="3730"/>
      <c r="AC4" s="3276">
        <f>ROUND(AC3*X4,0)</f>
        <v>39969</v>
      </c>
      <c r="AD4" s="3277">
        <f t="shared" si="7"/>
        <v>282.82</v>
      </c>
      <c r="AE4" s="3730"/>
      <c r="AF4" s="3730"/>
      <c r="AG4" s="3730"/>
      <c r="AH4" s="3730"/>
      <c r="AI4" s="3730"/>
      <c r="AJ4" s="3730"/>
      <c r="AK4" s="3730"/>
      <c r="AL4" s="3734"/>
      <c r="AN4" s="3730"/>
      <c r="AO4" s="3730"/>
    </row>
    <row r="5" spans="1:41" hidden="1">
      <c r="A5" s="3279">
        <v>2.71</v>
      </c>
      <c r="B5" s="3279" t="s">
        <v>3728</v>
      </c>
      <c r="D5" s="3731">
        <v>87</v>
      </c>
      <c r="E5" s="3274">
        <v>100</v>
      </c>
      <c r="F5" s="3278">
        <v>-1</v>
      </c>
      <c r="G5" s="3278">
        <f>房源表及成交价!N3</f>
        <v>205.8</v>
      </c>
      <c r="H5" s="3282">
        <v>100</v>
      </c>
      <c r="I5" s="3279">
        <v>3.6</v>
      </c>
      <c r="J5" s="3279">
        <v>2.71</v>
      </c>
      <c r="K5" s="3282">
        <f t="shared" si="0"/>
        <v>99</v>
      </c>
      <c r="L5" s="3279">
        <v>14.4</v>
      </c>
      <c r="M5" s="3279">
        <v>13.73</v>
      </c>
      <c r="N5" s="3279" t="s">
        <v>3908</v>
      </c>
      <c r="O5" s="3282">
        <f t="shared" si="1"/>
        <v>85</v>
      </c>
      <c r="P5" s="3279" t="s">
        <v>3774</v>
      </c>
      <c r="Q5" s="3282">
        <f t="shared" si="2"/>
        <v>80</v>
      </c>
      <c r="R5" s="3279" t="s">
        <v>3776</v>
      </c>
      <c r="S5" s="3282">
        <f t="shared" si="3"/>
        <v>90</v>
      </c>
      <c r="T5" s="3279" t="s">
        <v>3897</v>
      </c>
      <c r="U5" s="3282">
        <f t="shared" si="4"/>
        <v>70</v>
      </c>
      <c r="V5" s="3355" t="s">
        <v>3916</v>
      </c>
      <c r="W5" s="3356">
        <f t="shared" si="5"/>
        <v>100</v>
      </c>
      <c r="X5" s="3274">
        <f t="shared" si="6"/>
        <v>0.42409999999999998</v>
      </c>
      <c r="Y5" s="3728">
        <f t="shared" ref="Y5" si="8">ROUND((X5*G5+X6*G6+X7*G7)/Z5,4)</f>
        <v>0.71550000000000002</v>
      </c>
      <c r="Z5" s="3728">
        <f>G5+G6+G7</f>
        <v>399.87</v>
      </c>
      <c r="AA5" s="3728">
        <f>房源表及成交价!R3</f>
        <v>1166.1550999999999</v>
      </c>
      <c r="AB5" s="3728">
        <f t="shared" ref="AB5" si="9">ROUND(AA5/Z5*10000,0)</f>
        <v>29163</v>
      </c>
      <c r="AC5" s="3282">
        <f>ROUND(AC6*X5,0)</f>
        <v>17287</v>
      </c>
      <c r="AD5" s="3279">
        <f t="shared" si="7"/>
        <v>355.77</v>
      </c>
      <c r="AE5" s="3728">
        <v>1</v>
      </c>
      <c r="AF5" s="3728">
        <f ca="1">VLOOKUP(AE5,标定地价!$O$16:$R$19,4,0)</f>
        <v>6822</v>
      </c>
      <c r="AG5" s="3728">
        <f>$AG$2</f>
        <v>1.01</v>
      </c>
      <c r="AH5" s="3728">
        <v>1.02</v>
      </c>
      <c r="AI5" s="3728">
        <f t="shared" ref="AI5" ca="1" si="10">ROUND(AF5*AG5*AH5,0)</f>
        <v>7028</v>
      </c>
      <c r="AJ5" s="3728">
        <f t="shared" ref="AJ5" ca="1" si="11">AC5-AI5</f>
        <v>10259</v>
      </c>
      <c r="AK5" s="3728">
        <f t="shared" ref="AK5:AK47" ca="1" si="12">AJ5*G5</f>
        <v>2111302.2000000002</v>
      </c>
      <c r="AL5" s="3732">
        <f ca="1">ROUND(AK5/AA5/10000,4)</f>
        <v>0.18099999999999999</v>
      </c>
      <c r="AN5" s="3728">
        <v>2111096.4</v>
      </c>
      <c r="AO5" s="3728">
        <f t="shared" ref="AO5" ca="1" si="13">AK5-AN5</f>
        <v>205.8000000002794</v>
      </c>
    </row>
    <row r="6" spans="1:41" hidden="1">
      <c r="A6" s="3279">
        <v>3.17</v>
      </c>
      <c r="B6" s="3279"/>
      <c r="D6" s="3731"/>
      <c r="E6" s="3274">
        <v>100</v>
      </c>
      <c r="F6" s="3278">
        <v>1</v>
      </c>
      <c r="G6" s="3278">
        <f>房源表及成交价!I3</f>
        <v>123.31</v>
      </c>
      <c r="H6" s="3282">
        <v>100</v>
      </c>
      <c r="I6" s="3279">
        <v>3.9</v>
      </c>
      <c r="J6" s="3279">
        <v>3.17</v>
      </c>
      <c r="K6" s="3282">
        <f t="shared" si="0"/>
        <v>100</v>
      </c>
      <c r="L6" s="3279">
        <f>3.7+7.6</f>
        <v>11.3</v>
      </c>
      <c r="M6" s="3279">
        <v>13.7</v>
      </c>
      <c r="N6" s="3279" t="s">
        <v>3770</v>
      </c>
      <c r="O6" s="3282">
        <f t="shared" si="1"/>
        <v>100</v>
      </c>
      <c r="P6" s="3279" t="s">
        <v>3775</v>
      </c>
      <c r="Q6" s="3282">
        <f t="shared" si="2"/>
        <v>100</v>
      </c>
      <c r="R6" s="3279" t="s">
        <v>3777</v>
      </c>
      <c r="S6" s="3282">
        <f t="shared" si="3"/>
        <v>100</v>
      </c>
      <c r="T6" s="3279" t="s">
        <v>3894</v>
      </c>
      <c r="U6" s="3282">
        <f t="shared" si="4"/>
        <v>100</v>
      </c>
      <c r="V6" s="3355" t="s">
        <v>3892</v>
      </c>
      <c r="W6" s="3356">
        <f t="shared" si="5"/>
        <v>100</v>
      </c>
      <c r="X6" s="3274">
        <f t="shared" si="6"/>
        <v>1</v>
      </c>
      <c r="Y6" s="3729"/>
      <c r="Z6" s="3729"/>
      <c r="AA6" s="3729"/>
      <c r="AB6" s="3729"/>
      <c r="AC6" s="3279">
        <f>ROUND(AA5*10000/(X5*G5+X6*G6+X7*G7),0)</f>
        <v>40762</v>
      </c>
      <c r="AD6" s="3279">
        <f t="shared" si="7"/>
        <v>502.64</v>
      </c>
      <c r="AE6" s="3729"/>
      <c r="AF6" s="3729"/>
      <c r="AG6" s="3729"/>
      <c r="AH6" s="3729"/>
      <c r="AI6" s="3729"/>
      <c r="AJ6" s="3729"/>
      <c r="AK6" s="3729"/>
      <c r="AL6" s="3733"/>
      <c r="AM6">
        <f ca="1">ROUND(AK5/10000,1)</f>
        <v>211.1</v>
      </c>
      <c r="AN6" s="3729"/>
      <c r="AO6" s="3729"/>
    </row>
    <row r="7" spans="1:41" hidden="1">
      <c r="A7" s="3279">
        <v>2.97</v>
      </c>
      <c r="B7" s="3279"/>
      <c r="D7" s="3731"/>
      <c r="E7" s="3274">
        <v>100</v>
      </c>
      <c r="F7" s="3278">
        <v>2</v>
      </c>
      <c r="G7" s="3278">
        <f>房源表及成交价!J3</f>
        <v>70.760000000000005</v>
      </c>
      <c r="H7" s="3282">
        <v>100</v>
      </c>
      <c r="I7" s="3279">
        <v>3.3</v>
      </c>
      <c r="J7" s="3279">
        <v>2.97</v>
      </c>
      <c r="K7" s="3382">
        <v>97</v>
      </c>
      <c r="L7" s="3279">
        <f>3.7+7.48</f>
        <v>11.18</v>
      </c>
      <c r="M7" s="3279">
        <f>9.8+2.4</f>
        <v>12.200000000000001</v>
      </c>
      <c r="N7" s="3279" t="s">
        <v>3770</v>
      </c>
      <c r="O7" s="3382">
        <f t="shared" si="1"/>
        <v>100</v>
      </c>
      <c r="P7" s="3279" t="s">
        <v>3775</v>
      </c>
      <c r="Q7" s="3382">
        <f t="shared" si="2"/>
        <v>100</v>
      </c>
      <c r="R7" s="3279" t="s">
        <v>3777</v>
      </c>
      <c r="S7" s="3382">
        <f t="shared" si="3"/>
        <v>100</v>
      </c>
      <c r="T7" s="3279" t="s">
        <v>3892</v>
      </c>
      <c r="U7" s="3382">
        <f t="shared" si="4"/>
        <v>110</v>
      </c>
      <c r="V7" s="3355" t="s">
        <v>3894</v>
      </c>
      <c r="W7" s="3356">
        <f t="shared" si="5"/>
        <v>100</v>
      </c>
      <c r="X7" s="3274">
        <f t="shared" si="6"/>
        <v>1.0669999999999999</v>
      </c>
      <c r="Y7" s="3730"/>
      <c r="Z7" s="3730"/>
      <c r="AA7" s="3730"/>
      <c r="AB7" s="3730"/>
      <c r="AC7" s="3278">
        <f>ROUND(AC6*X7,0)</f>
        <v>43493</v>
      </c>
      <c r="AD7" s="3279">
        <f t="shared" si="7"/>
        <v>307.76</v>
      </c>
      <c r="AE7" s="3730"/>
      <c r="AF7" s="3730"/>
      <c r="AG7" s="3730"/>
      <c r="AH7" s="3730"/>
      <c r="AI7" s="3730"/>
      <c r="AJ7" s="3730"/>
      <c r="AK7" s="3730"/>
      <c r="AL7" s="3734"/>
      <c r="AN7" s="3730"/>
      <c r="AO7" s="3730"/>
    </row>
    <row r="8" spans="1:41" hidden="1">
      <c r="A8" s="3277">
        <v>3.35</v>
      </c>
      <c r="B8" s="3277" t="s">
        <v>3728</v>
      </c>
      <c r="D8" s="3727">
        <v>88</v>
      </c>
      <c r="E8" s="3273">
        <v>100</v>
      </c>
      <c r="F8" s="3276">
        <v>-1</v>
      </c>
      <c r="G8" s="3276">
        <f>房源表及成交价!N4</f>
        <v>205.8</v>
      </c>
      <c r="H8" s="3281">
        <v>100</v>
      </c>
      <c r="I8" s="3277">
        <v>3.6</v>
      </c>
      <c r="J8" s="3277">
        <v>3.35</v>
      </c>
      <c r="K8" s="3281">
        <f>IF(I8&lt;=3,97,IF(I8&lt;=3.3,98,IF(I8&lt;=3.6,99,IF(I8&lt;=3.9,100,101))))</f>
        <v>99</v>
      </c>
      <c r="L8" s="3277">
        <v>14.4</v>
      </c>
      <c r="M8" s="3277">
        <v>13.73</v>
      </c>
      <c r="N8" s="3277" t="s">
        <v>3908</v>
      </c>
      <c r="O8" s="3281">
        <f t="shared" si="1"/>
        <v>85</v>
      </c>
      <c r="P8" s="3286" t="s">
        <v>3774</v>
      </c>
      <c r="Q8" s="3281">
        <f t="shared" si="2"/>
        <v>80</v>
      </c>
      <c r="R8" s="3286" t="s">
        <v>3776</v>
      </c>
      <c r="S8" s="3281">
        <f t="shared" si="3"/>
        <v>90</v>
      </c>
      <c r="T8" s="3286" t="s">
        <v>3897</v>
      </c>
      <c r="U8" s="3281">
        <f t="shared" si="4"/>
        <v>70</v>
      </c>
      <c r="V8" s="3357" t="s">
        <v>3916</v>
      </c>
      <c r="W8" s="3356">
        <f t="shared" si="5"/>
        <v>100</v>
      </c>
      <c r="X8" s="3273">
        <f t="shared" si="6"/>
        <v>0.42409999999999998</v>
      </c>
      <c r="Y8" s="3728">
        <f>ROUND((X8*G8+X9*G9+X10*G10)/Z8,4)</f>
        <v>0.71550000000000002</v>
      </c>
      <c r="Z8" s="3728">
        <f t="shared" ref="Z8" si="14">G8+G9+G10</f>
        <v>399.87</v>
      </c>
      <c r="AA8" s="3728">
        <f>房源表及成交价!R4</f>
        <v>1124.923</v>
      </c>
      <c r="AB8" s="3728">
        <f t="shared" ref="AB8" si="15">ROUND(AA8/Z8*10000,0)</f>
        <v>28132</v>
      </c>
      <c r="AC8" s="3281">
        <f>ROUND(AC9*X8,0)</f>
        <v>16676</v>
      </c>
      <c r="AD8" s="3286">
        <f t="shared" si="7"/>
        <v>343.19</v>
      </c>
      <c r="AE8" s="3728">
        <v>1</v>
      </c>
      <c r="AF8" s="3728">
        <f ca="1">VLOOKUP(AE8,标定地价!$O$16:$R$19,4,0)</f>
        <v>6822</v>
      </c>
      <c r="AG8" s="3728">
        <f t="shared" ref="AG8" si="16">$AG$2</f>
        <v>1.01</v>
      </c>
      <c r="AH8" s="3728">
        <v>1.02</v>
      </c>
      <c r="AI8" s="3728">
        <f t="shared" ref="AI8" ca="1" si="17">ROUND(AF8*AG8*AH8,0)</f>
        <v>7028</v>
      </c>
      <c r="AJ8" s="3728">
        <f t="shared" ref="AJ8" ca="1" si="18">AC8-AI8</f>
        <v>9648</v>
      </c>
      <c r="AK8" s="3728">
        <f t="shared" ca="1" si="12"/>
        <v>1985558.4000000001</v>
      </c>
      <c r="AL8" s="3732">
        <f t="shared" ref="AL8" ca="1" si="19">ROUND(AK8/AA8/10000,4)</f>
        <v>0.17649999999999999</v>
      </c>
      <c r="AN8" s="3728">
        <v>1985352.6</v>
      </c>
      <c r="AO8" s="3728">
        <f t="shared" ref="AO8" ca="1" si="20">AK8-AN8</f>
        <v>205.80000000004657</v>
      </c>
    </row>
    <row r="9" spans="1:41" hidden="1">
      <c r="A9" s="3277" t="s">
        <v>3749</v>
      </c>
      <c r="B9" s="3277"/>
      <c r="D9" s="3727"/>
      <c r="E9" s="3273">
        <v>100</v>
      </c>
      <c r="F9" s="3276">
        <v>1</v>
      </c>
      <c r="G9" s="3276">
        <f>房源表及成交价!I4</f>
        <v>123.31</v>
      </c>
      <c r="H9" s="3281">
        <v>100</v>
      </c>
      <c r="I9" s="3277">
        <v>3.9</v>
      </c>
      <c r="J9" s="3277">
        <v>3.77</v>
      </c>
      <c r="K9" s="3281">
        <f t="shared" si="0"/>
        <v>100</v>
      </c>
      <c r="L9" s="3277">
        <f>3.7+7.6</f>
        <v>11.3</v>
      </c>
      <c r="M9" s="3277">
        <v>13.7</v>
      </c>
      <c r="N9" s="3277" t="s">
        <v>3770</v>
      </c>
      <c r="O9" s="3281">
        <f t="shared" si="1"/>
        <v>100</v>
      </c>
      <c r="P9" s="3277" t="s">
        <v>3775</v>
      </c>
      <c r="Q9" s="3281">
        <f t="shared" si="2"/>
        <v>100</v>
      </c>
      <c r="R9" s="3277" t="s">
        <v>3777</v>
      </c>
      <c r="S9" s="3281">
        <f t="shared" si="3"/>
        <v>100</v>
      </c>
      <c r="T9" s="3277" t="s">
        <v>3894</v>
      </c>
      <c r="U9" s="3281">
        <f t="shared" si="4"/>
        <v>100</v>
      </c>
      <c r="V9" s="3355" t="s">
        <v>3892</v>
      </c>
      <c r="W9" s="3356">
        <f t="shared" si="5"/>
        <v>100</v>
      </c>
      <c r="X9" s="3273">
        <f t="shared" si="6"/>
        <v>1</v>
      </c>
      <c r="Y9" s="3729"/>
      <c r="Z9" s="3729"/>
      <c r="AA9" s="3729"/>
      <c r="AB9" s="3729"/>
      <c r="AC9" s="3276">
        <f>ROUND(AA8*10000/(X8*G8+X9*G9+X10*G10),0)</f>
        <v>39321</v>
      </c>
      <c r="AD9" s="3277">
        <f t="shared" si="7"/>
        <v>484.87</v>
      </c>
      <c r="AE9" s="3729"/>
      <c r="AF9" s="3729"/>
      <c r="AG9" s="3729"/>
      <c r="AH9" s="3729"/>
      <c r="AI9" s="3729"/>
      <c r="AJ9" s="3729"/>
      <c r="AK9" s="3729"/>
      <c r="AL9" s="3733"/>
      <c r="AM9">
        <f ca="1">ROUND(AK8/10000,1)</f>
        <v>198.6</v>
      </c>
      <c r="AN9" s="3729"/>
      <c r="AO9" s="3729"/>
    </row>
    <row r="10" spans="1:41" hidden="1">
      <c r="A10" s="3277">
        <v>3.23</v>
      </c>
      <c r="B10" s="3277"/>
      <c r="D10" s="3727"/>
      <c r="E10" s="3273">
        <v>100</v>
      </c>
      <c r="F10" s="3276">
        <v>2</v>
      </c>
      <c r="G10" s="3276">
        <f>房源表及成交价!J4</f>
        <v>70.760000000000005</v>
      </c>
      <c r="H10" s="3281">
        <v>100</v>
      </c>
      <c r="I10" s="3277">
        <v>3.3</v>
      </c>
      <c r="J10" s="3277">
        <v>3.23</v>
      </c>
      <c r="K10" s="3382">
        <v>97</v>
      </c>
      <c r="L10" s="3277">
        <f>3.7+7.48</f>
        <v>11.18</v>
      </c>
      <c r="M10" s="3277">
        <f>9.8+2.4</f>
        <v>12.200000000000001</v>
      </c>
      <c r="N10" s="3277" t="s">
        <v>3770</v>
      </c>
      <c r="O10" s="3382">
        <f t="shared" si="1"/>
        <v>100</v>
      </c>
      <c r="P10" s="3277" t="s">
        <v>3775</v>
      </c>
      <c r="Q10" s="3382">
        <f t="shared" si="2"/>
        <v>100</v>
      </c>
      <c r="R10" s="3277" t="s">
        <v>3777</v>
      </c>
      <c r="S10" s="3382">
        <f t="shared" si="3"/>
        <v>100</v>
      </c>
      <c r="T10" s="3277" t="s">
        <v>3892</v>
      </c>
      <c r="U10" s="3382">
        <f t="shared" si="4"/>
        <v>110</v>
      </c>
      <c r="V10" s="3355" t="s">
        <v>3894</v>
      </c>
      <c r="W10" s="3356">
        <f t="shared" si="5"/>
        <v>100</v>
      </c>
      <c r="X10" s="3273">
        <f t="shared" si="6"/>
        <v>1.0669999999999999</v>
      </c>
      <c r="Y10" s="3730"/>
      <c r="Z10" s="3730"/>
      <c r="AA10" s="3730"/>
      <c r="AB10" s="3730"/>
      <c r="AC10" s="3276">
        <f>ROUND(AC9*X10,0)</f>
        <v>41956</v>
      </c>
      <c r="AD10" s="3277">
        <f t="shared" si="7"/>
        <v>296.88</v>
      </c>
      <c r="AE10" s="3730"/>
      <c r="AF10" s="3730"/>
      <c r="AG10" s="3730"/>
      <c r="AH10" s="3730"/>
      <c r="AI10" s="3730"/>
      <c r="AJ10" s="3730"/>
      <c r="AK10" s="3730"/>
      <c r="AL10" s="3734"/>
      <c r="AN10" s="3730"/>
      <c r="AO10" s="3730"/>
    </row>
    <row r="11" spans="1:41" hidden="1">
      <c r="A11" s="3279">
        <v>3.32</v>
      </c>
      <c r="B11" s="3279" t="s">
        <v>3728</v>
      </c>
      <c r="D11" s="3731">
        <v>85</v>
      </c>
      <c r="E11" s="3274">
        <v>100</v>
      </c>
      <c r="F11" s="3278">
        <v>-1</v>
      </c>
      <c r="G11" s="3278">
        <f>房源表及成交价!N5</f>
        <v>205.8</v>
      </c>
      <c r="H11" s="3282">
        <v>100</v>
      </c>
      <c r="I11" s="3279">
        <v>3.6</v>
      </c>
      <c r="J11" s="3279">
        <v>3.32</v>
      </c>
      <c r="K11" s="3282">
        <f>IF(I11&lt;=3,97,IF(I11&lt;=3.3,98,IF(I11&lt;=3.6,99,IF(I11&lt;=3.9,100,101))))</f>
        <v>99</v>
      </c>
      <c r="L11" s="3279">
        <v>14.4</v>
      </c>
      <c r="M11" s="3279">
        <v>13.73</v>
      </c>
      <c r="N11" s="3279" t="s">
        <v>3908</v>
      </c>
      <c r="O11" s="3282">
        <f t="shared" si="1"/>
        <v>85</v>
      </c>
      <c r="P11" s="3279" t="s">
        <v>3774</v>
      </c>
      <c r="Q11" s="3282">
        <f t="shared" si="2"/>
        <v>80</v>
      </c>
      <c r="R11" s="3279" t="s">
        <v>3776</v>
      </c>
      <c r="S11" s="3282">
        <f t="shared" si="3"/>
        <v>90</v>
      </c>
      <c r="T11" s="3279" t="s">
        <v>3897</v>
      </c>
      <c r="U11" s="3282">
        <f t="shared" si="4"/>
        <v>70</v>
      </c>
      <c r="V11" s="3355" t="s">
        <v>3916</v>
      </c>
      <c r="W11" s="3356">
        <f t="shared" si="5"/>
        <v>100</v>
      </c>
      <c r="X11" s="3274">
        <f t="shared" si="6"/>
        <v>0.42409999999999998</v>
      </c>
      <c r="Y11" s="3728">
        <f t="shared" ref="Y11" si="21">ROUND((X11*G11+X12*G12+X13*G13)/Z11,4)</f>
        <v>0.71550000000000002</v>
      </c>
      <c r="Z11" s="3728">
        <f t="shared" ref="Z11" si="22">G11+G12+G13</f>
        <v>399.87</v>
      </c>
      <c r="AA11" s="3728">
        <f>房源表及成交价!R5</f>
        <v>1209.0226</v>
      </c>
      <c r="AB11" s="3728">
        <f t="shared" ref="AB11" si="23">ROUND(AA11/Z11*10000,0)</f>
        <v>30235</v>
      </c>
      <c r="AC11" s="3282">
        <f>ROUND(AC12*X11,0)</f>
        <v>17922</v>
      </c>
      <c r="AD11" s="3279">
        <f t="shared" si="7"/>
        <v>368.83</v>
      </c>
      <c r="AE11" s="3728">
        <v>1</v>
      </c>
      <c r="AF11" s="3728">
        <f ca="1">VLOOKUP(AE11,标定地价!$O$16:$R$19,4,0)</f>
        <v>6822</v>
      </c>
      <c r="AG11" s="3728">
        <f t="shared" ref="AG11" si="24">$AG$2</f>
        <v>1.01</v>
      </c>
      <c r="AH11" s="3728">
        <v>1.02</v>
      </c>
      <c r="AI11" s="3728">
        <f t="shared" ref="AI11" ca="1" si="25">ROUND(AF11*AG11*AH11,0)</f>
        <v>7028</v>
      </c>
      <c r="AJ11" s="3728">
        <f t="shared" ref="AJ11" ca="1" si="26">AC11-AI11</f>
        <v>10894</v>
      </c>
      <c r="AK11" s="3728">
        <f t="shared" ca="1" si="12"/>
        <v>2241985.2000000002</v>
      </c>
      <c r="AL11" s="3732">
        <f t="shared" ref="AL11" ca="1" si="27">ROUND(AK11/AA11/10000,4)</f>
        <v>0.18540000000000001</v>
      </c>
      <c r="AN11" s="3728">
        <v>2241779.4</v>
      </c>
      <c r="AO11" s="3728">
        <f t="shared" ref="AO11" ca="1" si="28">AK11-AN11</f>
        <v>205.8000000002794</v>
      </c>
    </row>
    <row r="12" spans="1:41" hidden="1">
      <c r="A12" s="3279">
        <v>3.77</v>
      </c>
      <c r="B12" s="3279"/>
      <c r="D12" s="3731"/>
      <c r="E12" s="3274">
        <v>100</v>
      </c>
      <c r="F12" s="3278">
        <v>1</v>
      </c>
      <c r="G12" s="3278">
        <f>房源表及成交价!I5</f>
        <v>123.31</v>
      </c>
      <c r="H12" s="3282">
        <v>100</v>
      </c>
      <c r="I12" s="3279">
        <v>3.9</v>
      </c>
      <c r="J12" s="3279">
        <v>3.77</v>
      </c>
      <c r="K12" s="3282">
        <f>IF(I12&lt;=3,97,IF(I12&lt;=3.3,98,IF(I12&lt;=3.6,99,IF(I12&lt;=3.9,100,101))))</f>
        <v>100</v>
      </c>
      <c r="L12" s="3279">
        <f>3.7+7.6</f>
        <v>11.3</v>
      </c>
      <c r="M12" s="3279">
        <v>13.7</v>
      </c>
      <c r="N12" s="3279" t="s">
        <v>3770</v>
      </c>
      <c r="O12" s="3282">
        <f t="shared" si="1"/>
        <v>100</v>
      </c>
      <c r="P12" s="3279" t="s">
        <v>3775</v>
      </c>
      <c r="Q12" s="3282">
        <f t="shared" si="2"/>
        <v>100</v>
      </c>
      <c r="R12" s="3279" t="s">
        <v>3777</v>
      </c>
      <c r="S12" s="3282">
        <f t="shared" si="3"/>
        <v>100</v>
      </c>
      <c r="T12" s="3279" t="s">
        <v>3894</v>
      </c>
      <c r="U12" s="3282">
        <f t="shared" si="4"/>
        <v>100</v>
      </c>
      <c r="V12" s="3355" t="s">
        <v>3892</v>
      </c>
      <c r="W12" s="3356">
        <f t="shared" si="5"/>
        <v>100</v>
      </c>
      <c r="X12" s="3274">
        <f t="shared" si="6"/>
        <v>1</v>
      </c>
      <c r="Y12" s="3729"/>
      <c r="Z12" s="3729"/>
      <c r="AA12" s="3729"/>
      <c r="AB12" s="3729"/>
      <c r="AC12" s="3279">
        <f>ROUND(AA11*10000/(X11*G11+X12*G12+X13*G13),0)</f>
        <v>42260</v>
      </c>
      <c r="AD12" s="3279">
        <f t="shared" si="7"/>
        <v>521.11</v>
      </c>
      <c r="AE12" s="3729"/>
      <c r="AF12" s="3729"/>
      <c r="AG12" s="3729"/>
      <c r="AH12" s="3729"/>
      <c r="AI12" s="3729"/>
      <c r="AJ12" s="3729"/>
      <c r="AK12" s="3729"/>
      <c r="AL12" s="3733"/>
      <c r="AM12">
        <f ca="1">ROUND(AK11/10000,1)</f>
        <v>224.2</v>
      </c>
      <c r="AN12" s="3729"/>
      <c r="AO12" s="3729"/>
    </row>
    <row r="13" spans="1:41" hidden="1">
      <c r="A13" s="3279">
        <v>3.21</v>
      </c>
      <c r="B13" s="3279"/>
      <c r="D13" s="3731"/>
      <c r="E13" s="3274">
        <v>100</v>
      </c>
      <c r="F13" s="3278">
        <v>2</v>
      </c>
      <c r="G13" s="3278">
        <f>房源表及成交价!J5</f>
        <v>70.760000000000005</v>
      </c>
      <c r="H13" s="3282">
        <v>100</v>
      </c>
      <c r="I13" s="3279">
        <v>3.3</v>
      </c>
      <c r="J13" s="3279">
        <v>3.21</v>
      </c>
      <c r="K13" s="3382">
        <v>97</v>
      </c>
      <c r="L13" s="3279">
        <f>3.7+7.48</f>
        <v>11.18</v>
      </c>
      <c r="M13" s="3279">
        <f>9.8+2.4</f>
        <v>12.200000000000001</v>
      </c>
      <c r="N13" s="3279" t="s">
        <v>3770</v>
      </c>
      <c r="O13" s="3382">
        <f t="shared" si="1"/>
        <v>100</v>
      </c>
      <c r="P13" s="3279" t="s">
        <v>3775</v>
      </c>
      <c r="Q13" s="3382">
        <f t="shared" si="2"/>
        <v>100</v>
      </c>
      <c r="R13" s="3279" t="s">
        <v>3777</v>
      </c>
      <c r="S13" s="3382">
        <f t="shared" si="3"/>
        <v>100</v>
      </c>
      <c r="T13" s="3279" t="s">
        <v>3892</v>
      </c>
      <c r="U13" s="3382">
        <f t="shared" si="4"/>
        <v>110</v>
      </c>
      <c r="V13" s="3355" t="s">
        <v>3894</v>
      </c>
      <c r="W13" s="3356">
        <f t="shared" si="5"/>
        <v>100</v>
      </c>
      <c r="X13" s="3274">
        <f>ROUND(E13/100*K13/100*O13/100*Q13/100*S13/100*U13/100,4)</f>
        <v>1.0669999999999999</v>
      </c>
      <c r="Y13" s="3730"/>
      <c r="Z13" s="3730"/>
      <c r="AA13" s="3730"/>
      <c r="AB13" s="3730"/>
      <c r="AC13" s="3278">
        <f>ROUND(AC12*X13,0)</f>
        <v>45091</v>
      </c>
      <c r="AD13" s="3279">
        <f t="shared" si="7"/>
        <v>319.06</v>
      </c>
      <c r="AE13" s="3730"/>
      <c r="AF13" s="3730"/>
      <c r="AG13" s="3730"/>
      <c r="AH13" s="3730"/>
      <c r="AI13" s="3730"/>
      <c r="AJ13" s="3730"/>
      <c r="AK13" s="3730"/>
      <c r="AL13" s="3734"/>
      <c r="AN13" s="3730"/>
      <c r="AO13" s="3730"/>
    </row>
    <row r="14" spans="1:41" hidden="1">
      <c r="A14" s="3277">
        <v>2.97</v>
      </c>
      <c r="B14" s="3277" t="s">
        <v>3728</v>
      </c>
      <c r="D14" s="3727">
        <v>86</v>
      </c>
      <c r="E14" s="3273">
        <v>100</v>
      </c>
      <c r="F14" s="3276">
        <v>-1</v>
      </c>
      <c r="G14" s="3276">
        <f>房源表及成交价!N6</f>
        <v>205.8</v>
      </c>
      <c r="H14" s="3281">
        <v>100</v>
      </c>
      <c r="I14" s="3277">
        <v>3.6</v>
      </c>
      <c r="J14" s="3277">
        <v>2.97</v>
      </c>
      <c r="K14" s="3281">
        <f>IF(I14&lt;=3,97,IF(I14&lt;=3.3,98,IF(I14&lt;=3.6,99,IF(I14&lt;=3.9,100,101))))</f>
        <v>99</v>
      </c>
      <c r="L14" s="3277">
        <v>14.4</v>
      </c>
      <c r="M14" s="3277">
        <v>13.73</v>
      </c>
      <c r="N14" s="3277" t="s">
        <v>3908</v>
      </c>
      <c r="O14" s="3281">
        <f t="shared" si="1"/>
        <v>85</v>
      </c>
      <c r="P14" s="3286" t="s">
        <v>3774</v>
      </c>
      <c r="Q14" s="3281">
        <f t="shared" si="2"/>
        <v>80</v>
      </c>
      <c r="R14" s="3286" t="s">
        <v>3776</v>
      </c>
      <c r="S14" s="3281">
        <f t="shared" si="3"/>
        <v>90</v>
      </c>
      <c r="T14" s="3286" t="s">
        <v>3897</v>
      </c>
      <c r="U14" s="3281">
        <f t="shared" si="4"/>
        <v>70</v>
      </c>
      <c r="V14" s="3357" t="s">
        <v>3916</v>
      </c>
      <c r="W14" s="3356">
        <f t="shared" si="5"/>
        <v>100</v>
      </c>
      <c r="X14" s="3273">
        <f t="shared" si="6"/>
        <v>0.42409999999999998</v>
      </c>
      <c r="Y14" s="3728">
        <f t="shared" ref="Y14" si="29">ROUND((X14*G14+X15*G15+X16*G16)/Z14,4)</f>
        <v>0.71550000000000002</v>
      </c>
      <c r="Z14" s="3728">
        <f t="shared" ref="Z14:Z47" si="30">G14+G15+G16</f>
        <v>399.87</v>
      </c>
      <c r="AA14" s="3728">
        <f>房源表及成交价!R6</f>
        <v>1197.7209</v>
      </c>
      <c r="AB14" s="3728">
        <f t="shared" ref="AB14" si="31">ROUND(AA14/Z14*10000,0)</f>
        <v>29953</v>
      </c>
      <c r="AC14" s="3281">
        <f>ROUND(AC15*X14,0)</f>
        <v>17755</v>
      </c>
      <c r="AD14" s="3286">
        <f t="shared" si="7"/>
        <v>365.4</v>
      </c>
      <c r="AE14" s="3728">
        <v>1</v>
      </c>
      <c r="AF14" s="3728">
        <f ca="1">VLOOKUP(AE14,标定地价!$O$16:$R$19,4,0)</f>
        <v>6822</v>
      </c>
      <c r="AG14" s="3728">
        <f t="shared" ref="AG14" si="32">$AG$2</f>
        <v>1.01</v>
      </c>
      <c r="AH14" s="3728">
        <v>1.02</v>
      </c>
      <c r="AI14" s="3728">
        <f t="shared" ref="AI14" ca="1" si="33">ROUND(AF14*AG14*AH14,0)</f>
        <v>7028</v>
      </c>
      <c r="AJ14" s="3728">
        <f t="shared" ref="AJ14" ca="1" si="34">AC14-AI14</f>
        <v>10727</v>
      </c>
      <c r="AK14" s="3728">
        <f t="shared" ca="1" si="12"/>
        <v>2207616.6</v>
      </c>
      <c r="AL14" s="3732">
        <f t="shared" ref="AL14" ca="1" si="35">ROUND(AK14/AA14/10000,4)</f>
        <v>0.18429999999999999</v>
      </c>
      <c r="AN14" s="3728">
        <v>2207410.8000000003</v>
      </c>
      <c r="AO14" s="3728">
        <f t="shared" ref="AO14" ca="1" si="36">AK14-AN14</f>
        <v>205.79999999981374</v>
      </c>
    </row>
    <row r="15" spans="1:41" hidden="1">
      <c r="A15" s="3277">
        <v>3.24</v>
      </c>
      <c r="B15" s="3277"/>
      <c r="D15" s="3727"/>
      <c r="E15" s="3273">
        <v>100</v>
      </c>
      <c r="F15" s="3276">
        <v>1</v>
      </c>
      <c r="G15" s="3276">
        <f>房源表及成交价!I6</f>
        <v>123.31</v>
      </c>
      <c r="H15" s="3281">
        <v>100</v>
      </c>
      <c r="I15" s="3277">
        <v>3.9</v>
      </c>
      <c r="J15" s="3277">
        <v>3.24</v>
      </c>
      <c r="K15" s="3281">
        <f>IF(I15&lt;=3,97,IF(I15&lt;=3.3,98,IF(I15&lt;=3.6,99,IF(I15&lt;=3.9,100,101))))</f>
        <v>100</v>
      </c>
      <c r="L15" s="3277">
        <f>3.7+7.6</f>
        <v>11.3</v>
      </c>
      <c r="M15" s="3277">
        <f>13.7</f>
        <v>13.7</v>
      </c>
      <c r="N15" s="3277" t="s">
        <v>3770</v>
      </c>
      <c r="O15" s="3281">
        <f t="shared" si="1"/>
        <v>100</v>
      </c>
      <c r="P15" s="3277" t="s">
        <v>3775</v>
      </c>
      <c r="Q15" s="3281">
        <f t="shared" si="2"/>
        <v>100</v>
      </c>
      <c r="R15" s="3277" t="s">
        <v>3777</v>
      </c>
      <c r="S15" s="3281">
        <f t="shared" si="3"/>
        <v>100</v>
      </c>
      <c r="T15" s="3277" t="s">
        <v>3894</v>
      </c>
      <c r="U15" s="3281">
        <f t="shared" si="4"/>
        <v>100</v>
      </c>
      <c r="V15" s="3355" t="s">
        <v>3892</v>
      </c>
      <c r="W15" s="3356">
        <f t="shared" si="5"/>
        <v>100</v>
      </c>
      <c r="X15" s="3273">
        <f t="shared" si="6"/>
        <v>1</v>
      </c>
      <c r="Y15" s="3729"/>
      <c r="Z15" s="3729"/>
      <c r="AA15" s="3729"/>
      <c r="AB15" s="3729"/>
      <c r="AC15" s="3276">
        <f>ROUND(AA14*10000/(X14*G14+X15*G15+X16*G16),0)</f>
        <v>41865</v>
      </c>
      <c r="AD15" s="3277">
        <f t="shared" si="7"/>
        <v>516.24</v>
      </c>
      <c r="AE15" s="3729"/>
      <c r="AF15" s="3729"/>
      <c r="AG15" s="3729"/>
      <c r="AH15" s="3729"/>
      <c r="AI15" s="3729"/>
      <c r="AJ15" s="3729"/>
      <c r="AK15" s="3729"/>
      <c r="AL15" s="3733"/>
      <c r="AM15">
        <f ca="1">ROUND(AK14/10000,1)</f>
        <v>220.8</v>
      </c>
      <c r="AN15" s="3729"/>
      <c r="AO15" s="3729"/>
    </row>
    <row r="16" spans="1:41" hidden="1">
      <c r="A16" s="3277">
        <v>2.72</v>
      </c>
      <c r="B16" s="3277"/>
      <c r="D16" s="3727"/>
      <c r="E16" s="3273">
        <v>100</v>
      </c>
      <c r="F16" s="3276">
        <v>2</v>
      </c>
      <c r="G16" s="3276">
        <f>房源表及成交价!J6</f>
        <v>70.760000000000005</v>
      </c>
      <c r="H16" s="3281">
        <v>100</v>
      </c>
      <c r="I16" s="3277">
        <v>3.3</v>
      </c>
      <c r="J16" s="3277">
        <v>2.72</v>
      </c>
      <c r="K16" s="3382">
        <v>97</v>
      </c>
      <c r="L16" s="3277">
        <f>3.7+7.48</f>
        <v>11.18</v>
      </c>
      <c r="M16" s="3277">
        <f>9.8+2.4</f>
        <v>12.200000000000001</v>
      </c>
      <c r="N16" s="3277" t="s">
        <v>3770</v>
      </c>
      <c r="O16" s="3382">
        <f t="shared" si="1"/>
        <v>100</v>
      </c>
      <c r="P16" s="3277" t="s">
        <v>3775</v>
      </c>
      <c r="Q16" s="3382">
        <f t="shared" si="2"/>
        <v>100</v>
      </c>
      <c r="R16" s="3277" t="s">
        <v>3777</v>
      </c>
      <c r="S16" s="3382">
        <f t="shared" si="3"/>
        <v>100</v>
      </c>
      <c r="T16" s="3277" t="s">
        <v>3892</v>
      </c>
      <c r="U16" s="3382">
        <f t="shared" si="4"/>
        <v>110</v>
      </c>
      <c r="V16" s="3355" t="s">
        <v>3894</v>
      </c>
      <c r="W16" s="3356">
        <f t="shared" si="5"/>
        <v>100</v>
      </c>
      <c r="X16" s="3273">
        <f t="shared" si="6"/>
        <v>1.0669999999999999</v>
      </c>
      <c r="Y16" s="3730"/>
      <c r="Z16" s="3730"/>
      <c r="AA16" s="3730"/>
      <c r="AB16" s="3730"/>
      <c r="AC16" s="3276">
        <f>ROUND(AC15*X16,0)</f>
        <v>44670</v>
      </c>
      <c r="AD16" s="3277">
        <f t="shared" si="7"/>
        <v>316.08</v>
      </c>
      <c r="AE16" s="3730"/>
      <c r="AF16" s="3730"/>
      <c r="AG16" s="3730"/>
      <c r="AH16" s="3730"/>
      <c r="AI16" s="3730"/>
      <c r="AJ16" s="3730"/>
      <c r="AK16" s="3730"/>
      <c r="AL16" s="3734"/>
      <c r="AN16" s="3730"/>
      <c r="AO16" s="3730"/>
    </row>
    <row r="17" spans="1:41" hidden="1">
      <c r="A17" s="3279">
        <v>3.36</v>
      </c>
      <c r="B17" s="3279" t="s">
        <v>3730</v>
      </c>
      <c r="D17" s="3731">
        <v>117</v>
      </c>
      <c r="E17" s="3274">
        <v>100</v>
      </c>
      <c r="F17" s="3278">
        <v>-1</v>
      </c>
      <c r="G17" s="3278">
        <f>房源表及成交价!N7</f>
        <v>236</v>
      </c>
      <c r="H17" s="3282">
        <v>100</v>
      </c>
      <c r="I17" s="3279">
        <v>3.6</v>
      </c>
      <c r="J17" s="3279">
        <v>3.36</v>
      </c>
      <c r="K17" s="3282">
        <f>IF(I17&lt;=3,97,IF(I17&lt;=3.3,98,IF(I17&lt;=3.6,99,IF(I17&lt;=3.9,100,101))))</f>
        <v>99</v>
      </c>
      <c r="L17" s="3279">
        <v>16.7</v>
      </c>
      <c r="M17" s="3279">
        <v>13.73</v>
      </c>
      <c r="N17" s="3279" t="s">
        <v>3908</v>
      </c>
      <c r="O17" s="3282">
        <f t="shared" si="1"/>
        <v>85</v>
      </c>
      <c r="P17" s="3279" t="s">
        <v>3774</v>
      </c>
      <c r="Q17" s="3282">
        <f t="shared" si="2"/>
        <v>80</v>
      </c>
      <c r="R17" s="3279" t="s">
        <v>3776</v>
      </c>
      <c r="S17" s="3282">
        <f t="shared" si="3"/>
        <v>90</v>
      </c>
      <c r="T17" s="3279" t="s">
        <v>3897</v>
      </c>
      <c r="U17" s="3282">
        <f t="shared" si="4"/>
        <v>70</v>
      </c>
      <c r="V17" s="3355" t="s">
        <v>3916</v>
      </c>
      <c r="W17" s="3356">
        <f t="shared" si="5"/>
        <v>100</v>
      </c>
      <c r="X17" s="3274">
        <f t="shared" si="6"/>
        <v>0.42409999999999998</v>
      </c>
      <c r="Y17" s="3728">
        <f t="shared" ref="Y17" si="37">ROUND((X17*G17+X18*G18+X19*G19)/Z17,4)</f>
        <v>0.69499999999999995</v>
      </c>
      <c r="Z17" s="3728">
        <f t="shared" si="30"/>
        <v>430.07</v>
      </c>
      <c r="AA17" s="3728">
        <f>房源表及成交价!R7</f>
        <v>1545.0806</v>
      </c>
      <c r="AB17" s="3728">
        <f t="shared" ref="AB17" si="38">ROUND(AA17/Z17*10000,0)</f>
        <v>35926</v>
      </c>
      <c r="AC17" s="3282">
        <f>ROUND(AC18*X17,0)</f>
        <v>21923</v>
      </c>
      <c r="AD17" s="3279">
        <f t="shared" si="7"/>
        <v>517.38</v>
      </c>
      <c r="AE17" s="3728">
        <v>1</v>
      </c>
      <c r="AF17" s="3728">
        <f ca="1">VLOOKUP(AE17,标定地价!$O$16:$R$19,4,0)</f>
        <v>6822</v>
      </c>
      <c r="AG17" s="3728">
        <f t="shared" ref="AG17" si="39">$AG$2</f>
        <v>1.01</v>
      </c>
      <c r="AH17" s="3728">
        <v>1.02</v>
      </c>
      <c r="AI17" s="3728">
        <f t="shared" ref="AI17" ca="1" si="40">ROUND(AF17*AG17*AH17,0)</f>
        <v>7028</v>
      </c>
      <c r="AJ17" s="3728">
        <f t="shared" ref="AJ17" ca="1" si="41">AC17-AI17</f>
        <v>14895</v>
      </c>
      <c r="AK17" s="3728">
        <f t="shared" ca="1" si="12"/>
        <v>3515220</v>
      </c>
      <c r="AL17" s="3732">
        <f t="shared" ref="AL17" ca="1" si="42">ROUND(AK17/AA17/10000,4)</f>
        <v>0.22750000000000001</v>
      </c>
      <c r="AN17" s="3728">
        <v>3514984</v>
      </c>
      <c r="AO17" s="3728">
        <f t="shared" ref="AO17" ca="1" si="43">AK17-AN17</f>
        <v>236</v>
      </c>
    </row>
    <row r="18" spans="1:41" hidden="1">
      <c r="A18" s="3279" t="s">
        <v>3749</v>
      </c>
      <c r="B18" s="3279"/>
      <c r="D18" s="3731"/>
      <c r="E18" s="3274">
        <v>100</v>
      </c>
      <c r="F18" s="3278">
        <v>1</v>
      </c>
      <c r="G18" s="3278">
        <f>房源表及成交价!I7</f>
        <v>123.31</v>
      </c>
      <c r="H18" s="3282">
        <v>100</v>
      </c>
      <c r="I18" s="3279">
        <v>3.9</v>
      </c>
      <c r="J18" s="3279">
        <v>3.77</v>
      </c>
      <c r="K18" s="3282">
        <f>IF(I18&lt;=3,97,IF(I18&lt;=3.3,98,IF(I18&lt;=3.6,99,IF(I18&lt;=3.9,100,101))))</f>
        <v>100</v>
      </c>
      <c r="L18" s="3279">
        <f>3.7+7.6</f>
        <v>11.3</v>
      </c>
      <c r="M18" s="3279">
        <v>13.7</v>
      </c>
      <c r="N18" s="3279" t="s">
        <v>3770</v>
      </c>
      <c r="O18" s="3282">
        <f t="shared" si="1"/>
        <v>100</v>
      </c>
      <c r="P18" s="3279" t="s">
        <v>3775</v>
      </c>
      <c r="Q18" s="3282">
        <f t="shared" si="2"/>
        <v>100</v>
      </c>
      <c r="R18" s="3279" t="s">
        <v>3777</v>
      </c>
      <c r="S18" s="3282">
        <f t="shared" si="3"/>
        <v>100</v>
      </c>
      <c r="T18" s="3279" t="s">
        <v>3894</v>
      </c>
      <c r="U18" s="3282">
        <f t="shared" si="4"/>
        <v>100</v>
      </c>
      <c r="V18" s="3355" t="s">
        <v>3892</v>
      </c>
      <c r="W18" s="3356">
        <f t="shared" si="5"/>
        <v>100</v>
      </c>
      <c r="X18" s="3274">
        <f t="shared" si="6"/>
        <v>1</v>
      </c>
      <c r="Y18" s="3729"/>
      <c r="Z18" s="3729"/>
      <c r="AA18" s="3729"/>
      <c r="AB18" s="3729"/>
      <c r="AC18" s="3279">
        <f>ROUND(AA17*10000/(X17*G17+X18*G18+X19*G19),0)</f>
        <v>51692</v>
      </c>
      <c r="AD18" s="3279">
        <f t="shared" si="7"/>
        <v>637.41</v>
      </c>
      <c r="AE18" s="3729"/>
      <c r="AF18" s="3729"/>
      <c r="AG18" s="3729"/>
      <c r="AH18" s="3729"/>
      <c r="AI18" s="3729"/>
      <c r="AJ18" s="3729"/>
      <c r="AK18" s="3729"/>
      <c r="AL18" s="3733"/>
      <c r="AM18">
        <f ca="1">ROUND(AK17/10000,1)</f>
        <v>351.5</v>
      </c>
      <c r="AN18" s="3729"/>
      <c r="AO18" s="3729"/>
    </row>
    <row r="19" spans="1:41" hidden="1">
      <c r="A19" s="3279">
        <v>3.19</v>
      </c>
      <c r="B19" s="3279"/>
      <c r="D19" s="3731"/>
      <c r="E19" s="3274">
        <v>100</v>
      </c>
      <c r="F19" s="3278">
        <v>2</v>
      </c>
      <c r="G19" s="3278">
        <f>房源表及成交价!J7</f>
        <v>70.760000000000005</v>
      </c>
      <c r="H19" s="3282">
        <v>100</v>
      </c>
      <c r="I19" s="3279">
        <v>3.3</v>
      </c>
      <c r="J19" s="3279">
        <v>3.19</v>
      </c>
      <c r="K19" s="3382">
        <v>97</v>
      </c>
      <c r="L19" s="3279">
        <f>3.7+7.48</f>
        <v>11.18</v>
      </c>
      <c r="M19" s="3279">
        <f>9.8+2.4</f>
        <v>12.200000000000001</v>
      </c>
      <c r="N19" s="3279" t="s">
        <v>3770</v>
      </c>
      <c r="O19" s="3382">
        <f t="shared" si="1"/>
        <v>100</v>
      </c>
      <c r="P19" s="3279" t="s">
        <v>3775</v>
      </c>
      <c r="Q19" s="3382">
        <f t="shared" si="2"/>
        <v>100</v>
      </c>
      <c r="R19" s="3279" t="s">
        <v>3777</v>
      </c>
      <c r="S19" s="3382">
        <f t="shared" si="3"/>
        <v>100</v>
      </c>
      <c r="T19" s="3279" t="s">
        <v>3892</v>
      </c>
      <c r="U19" s="3382">
        <f t="shared" si="4"/>
        <v>110</v>
      </c>
      <c r="V19" s="3355" t="s">
        <v>3894</v>
      </c>
      <c r="W19" s="3356">
        <f t="shared" si="5"/>
        <v>100</v>
      </c>
      <c r="X19" s="3274">
        <f t="shared" si="6"/>
        <v>1.0669999999999999</v>
      </c>
      <c r="Y19" s="3730"/>
      <c r="Z19" s="3730"/>
      <c r="AA19" s="3730"/>
      <c r="AB19" s="3730"/>
      <c r="AC19" s="3278">
        <f>ROUND(AC18*X19,0)</f>
        <v>55155</v>
      </c>
      <c r="AD19" s="3279">
        <f t="shared" si="7"/>
        <v>390.28</v>
      </c>
      <c r="AE19" s="3730"/>
      <c r="AF19" s="3730"/>
      <c r="AG19" s="3730"/>
      <c r="AH19" s="3730"/>
      <c r="AI19" s="3730"/>
      <c r="AJ19" s="3730"/>
      <c r="AK19" s="3730"/>
      <c r="AL19" s="3734"/>
      <c r="AN19" s="3730"/>
      <c r="AO19" s="3730"/>
    </row>
    <row r="20" spans="1:41">
      <c r="A20" s="3277">
        <v>3.34</v>
      </c>
      <c r="B20" s="3277" t="s">
        <v>3728</v>
      </c>
      <c r="D20" s="3727">
        <v>98</v>
      </c>
      <c r="E20" s="3273">
        <v>100</v>
      </c>
      <c r="F20" s="3276">
        <v>-1</v>
      </c>
      <c r="G20" s="3276">
        <f>房源表及成交价!N8</f>
        <v>253.4</v>
      </c>
      <c r="H20" s="3281">
        <v>100</v>
      </c>
      <c r="I20" s="3277">
        <v>3.6</v>
      </c>
      <c r="J20" s="3277">
        <v>3.34</v>
      </c>
      <c r="K20" s="3281">
        <f>IF(I20&lt;=3,97,IF(I20&lt;=3.3,98,IF(I20&lt;=3.6,99,IF(I20&lt;=3.9,100,101))))</f>
        <v>99</v>
      </c>
      <c r="L20" s="3277">
        <v>18.100000000000001</v>
      </c>
      <c r="M20" s="3277">
        <v>13.72</v>
      </c>
      <c r="N20" s="3277" t="s">
        <v>3908</v>
      </c>
      <c r="O20" s="3281">
        <f t="shared" si="1"/>
        <v>85</v>
      </c>
      <c r="P20" s="3286" t="s">
        <v>3774</v>
      </c>
      <c r="Q20" s="3281">
        <f t="shared" si="2"/>
        <v>80</v>
      </c>
      <c r="R20" s="3286" t="s">
        <v>3776</v>
      </c>
      <c r="S20" s="3281">
        <f t="shared" si="3"/>
        <v>90</v>
      </c>
      <c r="T20" s="3286" t="s">
        <v>3897</v>
      </c>
      <c r="U20" s="3281">
        <f t="shared" si="4"/>
        <v>70</v>
      </c>
      <c r="V20" s="3357" t="s">
        <v>3916</v>
      </c>
      <c r="W20" s="3356">
        <f t="shared" si="5"/>
        <v>100</v>
      </c>
      <c r="X20" s="3273">
        <f t="shared" si="6"/>
        <v>0.42409999999999998</v>
      </c>
      <c r="Y20" s="3728">
        <f t="shared" ref="Y20" si="44">ROUND((X20*G20+X21*G21+X22*G22)/Z20,4)</f>
        <v>0.6845</v>
      </c>
      <c r="Z20" s="3728">
        <f t="shared" si="30"/>
        <v>447.47</v>
      </c>
      <c r="AA20" s="3728">
        <f>房源表及成交价!R8</f>
        <v>1285.1251999999999</v>
      </c>
      <c r="AB20" s="3728">
        <f t="shared" ref="AB20" si="45">ROUND(AA20/Z20*10000,0)</f>
        <v>28720</v>
      </c>
      <c r="AC20" s="3281">
        <f>ROUND(AC21*X20,0)</f>
        <v>17795</v>
      </c>
      <c r="AD20" s="3286">
        <f t="shared" si="7"/>
        <v>450.93</v>
      </c>
      <c r="AE20" s="3728">
        <v>1</v>
      </c>
      <c r="AF20" s="3728">
        <f ca="1">VLOOKUP(AE20,标定地价!$O$16:$R$19,4,0)</f>
        <v>6822</v>
      </c>
      <c r="AG20" s="3728">
        <f t="shared" ref="AG20" si="46">$AG$2</f>
        <v>1.01</v>
      </c>
      <c r="AH20" s="3728">
        <v>1.02</v>
      </c>
      <c r="AI20" s="3728">
        <f t="shared" ref="AI20" ca="1" si="47">ROUND(AF20*AG20*AH20,0)</f>
        <v>7028</v>
      </c>
      <c r="AJ20" s="3728">
        <f t="shared" ref="AJ20" ca="1" si="48">AC20-AI20</f>
        <v>10767</v>
      </c>
      <c r="AK20" s="3728">
        <f t="shared" ca="1" si="12"/>
        <v>2728357.8000000003</v>
      </c>
      <c r="AL20" s="3732">
        <f t="shared" ref="AL20" ca="1" si="49">ROUND(AK20/AA20/10000,4)</f>
        <v>0.21229999999999999</v>
      </c>
      <c r="AN20" s="3728">
        <v>2728104.4</v>
      </c>
      <c r="AO20" s="3728">
        <f t="shared" ref="AO20" ca="1" si="50">AK20-AN20</f>
        <v>253.40000000037253</v>
      </c>
    </row>
    <row r="21" spans="1:41">
      <c r="A21" s="3277" t="s">
        <v>3750</v>
      </c>
      <c r="B21" s="3277"/>
      <c r="D21" s="3727"/>
      <c r="E21" s="3273">
        <v>100</v>
      </c>
      <c r="F21" s="3276">
        <v>1</v>
      </c>
      <c r="G21" s="3276">
        <f>房源表及成交价!I8</f>
        <v>123.31</v>
      </c>
      <c r="H21" s="3281">
        <v>100</v>
      </c>
      <c r="I21" s="3277">
        <v>3.9</v>
      </c>
      <c r="J21" s="3277">
        <v>3.78</v>
      </c>
      <c r="K21" s="3281">
        <f>IF(I21&lt;=3,97,IF(I21&lt;=3.3,98,IF(I21&lt;=3.6,99,IF(I21&lt;=3.9,100,101))))</f>
        <v>100</v>
      </c>
      <c r="L21" s="3277">
        <f>3.7+7.6</f>
        <v>11.3</v>
      </c>
      <c r="M21" s="3277">
        <v>13.7</v>
      </c>
      <c r="N21" s="3277" t="s">
        <v>3770</v>
      </c>
      <c r="O21" s="3281">
        <f t="shared" si="1"/>
        <v>100</v>
      </c>
      <c r="P21" s="3277" t="s">
        <v>3775</v>
      </c>
      <c r="Q21" s="3281">
        <f t="shared" si="2"/>
        <v>100</v>
      </c>
      <c r="R21" s="3277" t="s">
        <v>3777</v>
      </c>
      <c r="S21" s="3281">
        <f t="shared" si="3"/>
        <v>100</v>
      </c>
      <c r="T21" s="3277" t="s">
        <v>3894</v>
      </c>
      <c r="U21" s="3281">
        <f t="shared" si="4"/>
        <v>100</v>
      </c>
      <c r="V21" s="3355" t="s">
        <v>3892</v>
      </c>
      <c r="W21" s="3356">
        <f t="shared" si="5"/>
        <v>100</v>
      </c>
      <c r="X21" s="3273">
        <f t="shared" si="6"/>
        <v>1</v>
      </c>
      <c r="Y21" s="3729"/>
      <c r="Z21" s="3729"/>
      <c r="AA21" s="3729"/>
      <c r="AB21" s="3729"/>
      <c r="AC21" s="3276">
        <f>ROUND(AA20*10000/(X20*G20+X21*G21+X22*G22),0)</f>
        <v>41959</v>
      </c>
      <c r="AD21" s="3277">
        <f t="shared" si="7"/>
        <v>517.4</v>
      </c>
      <c r="AE21" s="3729"/>
      <c r="AF21" s="3729"/>
      <c r="AG21" s="3729"/>
      <c r="AH21" s="3729"/>
      <c r="AI21" s="3729"/>
      <c r="AJ21" s="3729"/>
      <c r="AK21" s="3729"/>
      <c r="AL21" s="3733"/>
      <c r="AM21">
        <f ca="1">ROUND(AK20/10000,1)</f>
        <v>272.8</v>
      </c>
      <c r="AN21" s="3729"/>
      <c r="AO21" s="3729"/>
    </row>
    <row r="22" spans="1:41">
      <c r="A22" s="3277">
        <v>3.23</v>
      </c>
      <c r="B22" s="3277"/>
      <c r="D22" s="3727"/>
      <c r="E22" s="3273">
        <v>100</v>
      </c>
      <c r="F22" s="3276">
        <v>2</v>
      </c>
      <c r="G22" s="3276">
        <f>房源表及成交价!J8</f>
        <v>70.760000000000005</v>
      </c>
      <c r="H22" s="3281">
        <v>100</v>
      </c>
      <c r="I22" s="3277">
        <v>3.3</v>
      </c>
      <c r="J22" s="3277">
        <v>3.23</v>
      </c>
      <c r="K22" s="3382">
        <v>97</v>
      </c>
      <c r="L22" s="3277">
        <f>3.7+7.48</f>
        <v>11.18</v>
      </c>
      <c r="M22" s="3277">
        <f>9.8+2.4</f>
        <v>12.200000000000001</v>
      </c>
      <c r="N22" s="3277" t="s">
        <v>3770</v>
      </c>
      <c r="O22" s="3382">
        <f t="shared" si="1"/>
        <v>100</v>
      </c>
      <c r="P22" s="3277" t="s">
        <v>3775</v>
      </c>
      <c r="Q22" s="3382">
        <f t="shared" si="2"/>
        <v>100</v>
      </c>
      <c r="R22" s="3277" t="s">
        <v>3777</v>
      </c>
      <c r="S22" s="3382">
        <f t="shared" si="3"/>
        <v>100</v>
      </c>
      <c r="T22" s="3277" t="s">
        <v>3892</v>
      </c>
      <c r="U22" s="3382">
        <f t="shared" si="4"/>
        <v>110</v>
      </c>
      <c r="V22" s="3355" t="s">
        <v>3894</v>
      </c>
      <c r="W22" s="3356">
        <f t="shared" si="5"/>
        <v>100</v>
      </c>
      <c r="X22" s="3273">
        <f t="shared" si="6"/>
        <v>1.0669999999999999</v>
      </c>
      <c r="Y22" s="3730"/>
      <c r="Z22" s="3730"/>
      <c r="AA22" s="3730"/>
      <c r="AB22" s="3730"/>
      <c r="AC22" s="3276">
        <f t="shared" ref="AC22" si="51">ROUND(AC21*X22,0)</f>
        <v>44770</v>
      </c>
      <c r="AD22" s="3277">
        <f t="shared" si="7"/>
        <v>316.79000000000002</v>
      </c>
      <c r="AE22" s="3730"/>
      <c r="AF22" s="3730"/>
      <c r="AG22" s="3730"/>
      <c r="AH22" s="3730"/>
      <c r="AI22" s="3730"/>
      <c r="AJ22" s="3730"/>
      <c r="AK22" s="3730"/>
      <c r="AL22" s="3734"/>
      <c r="AN22" s="3730"/>
      <c r="AO22" s="3730"/>
    </row>
    <row r="23" spans="1:41">
      <c r="A23" s="3279">
        <v>3.35</v>
      </c>
      <c r="B23" s="3279" t="s">
        <v>3728</v>
      </c>
      <c r="D23" s="3731">
        <v>107</v>
      </c>
      <c r="E23" s="3274">
        <v>100</v>
      </c>
      <c r="F23" s="3278">
        <v>-1</v>
      </c>
      <c r="G23" s="3278">
        <f>房源表及成交价!N9</f>
        <v>253.4</v>
      </c>
      <c r="H23" s="3282">
        <v>100</v>
      </c>
      <c r="I23" s="3279">
        <v>3.6</v>
      </c>
      <c r="J23" s="3279">
        <v>3.35</v>
      </c>
      <c r="K23" s="3282">
        <f>IF(I23&lt;=3,97,IF(I23&lt;=3.3,98,IF(I23&lt;=3.6,99,IF(I23&lt;=3.9,100,101))))</f>
        <v>99</v>
      </c>
      <c r="L23" s="3279">
        <v>18.100000000000001</v>
      </c>
      <c r="M23" s="3279">
        <v>13.73</v>
      </c>
      <c r="N23" s="3279" t="s">
        <v>3908</v>
      </c>
      <c r="O23" s="3282">
        <f t="shared" si="1"/>
        <v>85</v>
      </c>
      <c r="P23" s="3279" t="s">
        <v>3774</v>
      </c>
      <c r="Q23" s="3282">
        <f t="shared" si="2"/>
        <v>80</v>
      </c>
      <c r="R23" s="3279" t="s">
        <v>3776</v>
      </c>
      <c r="S23" s="3282">
        <f t="shared" si="3"/>
        <v>90</v>
      </c>
      <c r="T23" s="3279" t="s">
        <v>3897</v>
      </c>
      <c r="U23" s="3282">
        <f t="shared" si="4"/>
        <v>70</v>
      </c>
      <c r="V23" s="3355" t="s">
        <v>3916</v>
      </c>
      <c r="W23" s="3356">
        <f t="shared" si="5"/>
        <v>100</v>
      </c>
      <c r="X23" s="3274">
        <f t="shared" si="6"/>
        <v>0.42409999999999998</v>
      </c>
      <c r="Y23" s="3728">
        <f t="shared" ref="Y23" si="52">ROUND((X23*G23+X24*G24+X25*G25)/Z23,4)</f>
        <v>0.6845</v>
      </c>
      <c r="Z23" s="3728">
        <f t="shared" si="30"/>
        <v>447.47</v>
      </c>
      <c r="AA23" s="3728">
        <f>房源表及成交价!R9</f>
        <v>1253.2926</v>
      </c>
      <c r="AB23" s="3728">
        <f t="shared" ref="AB23" si="53">ROUND(AA23/Z23*10000,0)</f>
        <v>28008</v>
      </c>
      <c r="AC23" s="3282">
        <f>ROUND(AC24*X23,0)</f>
        <v>17354</v>
      </c>
      <c r="AD23" s="3279">
        <f t="shared" si="7"/>
        <v>439.75</v>
      </c>
      <c r="AE23" s="3728">
        <v>1</v>
      </c>
      <c r="AF23" s="3728">
        <f ca="1">VLOOKUP(AE23,标定地价!$O$16:$R$19,4,0)</f>
        <v>6822</v>
      </c>
      <c r="AG23" s="3728">
        <f t="shared" ref="AG23" si="54">$AG$2</f>
        <v>1.01</v>
      </c>
      <c r="AH23" s="3728">
        <v>1.02</v>
      </c>
      <c r="AI23" s="3728">
        <f t="shared" ref="AI23" ca="1" si="55">ROUND(AF23*AG23*AH23,0)</f>
        <v>7028</v>
      </c>
      <c r="AJ23" s="3728">
        <f t="shared" ref="AJ23" ca="1" si="56">AC23-AI23</f>
        <v>10326</v>
      </c>
      <c r="AK23" s="3728">
        <f t="shared" ca="1" si="12"/>
        <v>2616608.4</v>
      </c>
      <c r="AL23" s="3732">
        <f t="shared" ref="AL23" ca="1" si="57">ROUND(AK23/AA23/10000,4)</f>
        <v>0.20880000000000001</v>
      </c>
      <c r="AN23" s="3728">
        <v>2616355</v>
      </c>
      <c r="AO23" s="3728">
        <f t="shared" ref="AO23" ca="1" si="58">AK23-AN23</f>
        <v>253.39999999990687</v>
      </c>
    </row>
    <row r="24" spans="1:41">
      <c r="A24" s="3279" t="s">
        <v>3751</v>
      </c>
      <c r="B24" s="3279"/>
      <c r="D24" s="3731"/>
      <c r="E24" s="3274">
        <v>100</v>
      </c>
      <c r="F24" s="3278">
        <v>1</v>
      </c>
      <c r="G24" s="3278">
        <f>房源表及成交价!I9</f>
        <v>123.31</v>
      </c>
      <c r="H24" s="3282">
        <v>100</v>
      </c>
      <c r="I24" s="3279">
        <v>3.9</v>
      </c>
      <c r="J24" s="3279">
        <v>3.75</v>
      </c>
      <c r="K24" s="3282">
        <f>IF(I24&lt;=3,97,IF(I24&lt;=3.3,98,IF(I24&lt;=3.6,99,IF(I24&lt;=3.9,100,101))))</f>
        <v>100</v>
      </c>
      <c r="L24" s="3279">
        <f>3.7+7.6</f>
        <v>11.3</v>
      </c>
      <c r="M24" s="3279">
        <v>13.7</v>
      </c>
      <c r="N24" s="3279" t="s">
        <v>3770</v>
      </c>
      <c r="O24" s="3282">
        <f t="shared" si="1"/>
        <v>100</v>
      </c>
      <c r="P24" s="3279" t="s">
        <v>3775</v>
      </c>
      <c r="Q24" s="3282">
        <f t="shared" si="2"/>
        <v>100</v>
      </c>
      <c r="R24" s="3279" t="s">
        <v>3777</v>
      </c>
      <c r="S24" s="3282">
        <f t="shared" si="3"/>
        <v>100</v>
      </c>
      <c r="T24" s="3279" t="s">
        <v>3894</v>
      </c>
      <c r="U24" s="3282">
        <f t="shared" si="4"/>
        <v>100</v>
      </c>
      <c r="V24" s="3355" t="s">
        <v>3892</v>
      </c>
      <c r="W24" s="3356">
        <f t="shared" si="5"/>
        <v>100</v>
      </c>
      <c r="X24" s="3274">
        <f t="shared" si="6"/>
        <v>1</v>
      </c>
      <c r="Y24" s="3729"/>
      <c r="Z24" s="3729"/>
      <c r="AA24" s="3729"/>
      <c r="AB24" s="3729"/>
      <c r="AC24" s="3279">
        <f>ROUND(AA23*10000/(X23*G23+X24*G24+X25*G25),0)</f>
        <v>40920</v>
      </c>
      <c r="AD24" s="3279">
        <f t="shared" si="7"/>
        <v>504.58</v>
      </c>
      <c r="AE24" s="3729"/>
      <c r="AF24" s="3729"/>
      <c r="AG24" s="3729"/>
      <c r="AH24" s="3729"/>
      <c r="AI24" s="3729"/>
      <c r="AJ24" s="3729"/>
      <c r="AK24" s="3729"/>
      <c r="AL24" s="3733"/>
      <c r="AM24">
        <f ca="1">ROUND(AK23/10000,1)</f>
        <v>261.7</v>
      </c>
      <c r="AN24" s="3729"/>
      <c r="AO24" s="3729"/>
    </row>
    <row r="25" spans="1:41">
      <c r="A25" s="3279">
        <v>3.22</v>
      </c>
      <c r="B25" s="3279"/>
      <c r="D25" s="3731"/>
      <c r="E25" s="3274">
        <v>100</v>
      </c>
      <c r="F25" s="3278">
        <v>2</v>
      </c>
      <c r="G25" s="3278">
        <f>房源表及成交价!J9</f>
        <v>70.760000000000005</v>
      </c>
      <c r="H25" s="3282">
        <v>100</v>
      </c>
      <c r="I25" s="3279">
        <v>3.3</v>
      </c>
      <c r="J25" s="3279">
        <v>3.22</v>
      </c>
      <c r="K25" s="3282">
        <v>97</v>
      </c>
      <c r="L25" s="3279">
        <f>3.7+7.48</f>
        <v>11.18</v>
      </c>
      <c r="M25" s="3279">
        <f>9.8+2.4</f>
        <v>12.200000000000001</v>
      </c>
      <c r="N25" s="3279" t="s">
        <v>3770</v>
      </c>
      <c r="O25" s="3282">
        <f t="shared" si="1"/>
        <v>100</v>
      </c>
      <c r="P25" s="3279" t="s">
        <v>3775</v>
      </c>
      <c r="Q25" s="3282">
        <f t="shared" si="2"/>
        <v>100</v>
      </c>
      <c r="R25" s="3279" t="s">
        <v>3777</v>
      </c>
      <c r="S25" s="3282">
        <f t="shared" si="3"/>
        <v>100</v>
      </c>
      <c r="T25" s="3279" t="s">
        <v>3892</v>
      </c>
      <c r="U25" s="3282">
        <f t="shared" si="4"/>
        <v>110</v>
      </c>
      <c r="V25" s="3355" t="s">
        <v>3894</v>
      </c>
      <c r="W25" s="3356">
        <f t="shared" si="5"/>
        <v>100</v>
      </c>
      <c r="X25" s="3274">
        <f t="shared" si="6"/>
        <v>1.0669999999999999</v>
      </c>
      <c r="Y25" s="3730"/>
      <c r="Z25" s="3730"/>
      <c r="AA25" s="3730"/>
      <c r="AB25" s="3730"/>
      <c r="AC25" s="3278">
        <f>ROUND(AC24*X25,0)</f>
        <v>43662</v>
      </c>
      <c r="AD25" s="3279">
        <f t="shared" si="7"/>
        <v>308.95</v>
      </c>
      <c r="AE25" s="3730"/>
      <c r="AF25" s="3730"/>
      <c r="AG25" s="3730"/>
      <c r="AH25" s="3730"/>
      <c r="AI25" s="3730"/>
      <c r="AJ25" s="3730"/>
      <c r="AK25" s="3730"/>
      <c r="AL25" s="3734"/>
      <c r="AN25" s="3730"/>
      <c r="AO25" s="3730"/>
    </row>
    <row r="26" spans="1:41">
      <c r="A26" s="3277">
        <v>3.42</v>
      </c>
      <c r="B26" s="3277" t="s">
        <v>3728</v>
      </c>
      <c r="D26" s="3727">
        <v>7</v>
      </c>
      <c r="E26" s="3273">
        <v>100</v>
      </c>
      <c r="F26" s="3276">
        <v>-1</v>
      </c>
      <c r="G26" s="3276">
        <f>房源表及成交价!N10</f>
        <v>253.4</v>
      </c>
      <c r="H26" s="3281">
        <v>100</v>
      </c>
      <c r="I26" s="3277">
        <v>3.6</v>
      </c>
      <c r="J26" s="3277">
        <v>3.42</v>
      </c>
      <c r="K26" s="3281">
        <f>IF(I26&lt;=3,97,IF(I26&lt;=3.3,98,IF(I26&lt;=3.6,99,IF(I26&lt;=3.9,100,101))))</f>
        <v>99</v>
      </c>
      <c r="L26" s="3277">
        <v>18.100000000000001</v>
      </c>
      <c r="M26" s="3277">
        <v>13.73</v>
      </c>
      <c r="N26" s="3277" t="s">
        <v>3908</v>
      </c>
      <c r="O26" s="3281">
        <f t="shared" si="1"/>
        <v>85</v>
      </c>
      <c r="P26" s="3286" t="s">
        <v>3774</v>
      </c>
      <c r="Q26" s="3281">
        <f t="shared" si="2"/>
        <v>80</v>
      </c>
      <c r="R26" s="3286" t="s">
        <v>3776</v>
      </c>
      <c r="S26" s="3281">
        <f t="shared" si="3"/>
        <v>90</v>
      </c>
      <c r="T26" s="3286" t="s">
        <v>3897</v>
      </c>
      <c r="U26" s="3281">
        <f t="shared" si="4"/>
        <v>70</v>
      </c>
      <c r="V26" s="3357" t="s">
        <v>3916</v>
      </c>
      <c r="W26" s="3356">
        <f t="shared" si="5"/>
        <v>100</v>
      </c>
      <c r="X26" s="3273">
        <f t="shared" si="6"/>
        <v>0.42409999999999998</v>
      </c>
      <c r="Y26" s="3728">
        <f t="shared" ref="Y26" si="59">ROUND((X26*G26+X27*G27+X28*G28)/Z26,4)</f>
        <v>0.6845</v>
      </c>
      <c r="Z26" s="3728">
        <f t="shared" si="30"/>
        <v>447.47</v>
      </c>
      <c r="AA26" s="3728">
        <f>房源表及成交价!R10</f>
        <v>1470.7482</v>
      </c>
      <c r="AB26" s="3728">
        <f t="shared" ref="AB26" si="60">ROUND(AA26/Z26*10000,0)</f>
        <v>32868</v>
      </c>
      <c r="AC26" s="3281">
        <f>ROUND(AC27*X26,0)</f>
        <v>20365</v>
      </c>
      <c r="AD26" s="3286">
        <f t="shared" si="7"/>
        <v>516.04999999999995</v>
      </c>
      <c r="AE26" s="3728">
        <v>1</v>
      </c>
      <c r="AF26" s="3728">
        <f ca="1">VLOOKUP(AE26,标定地价!$O$16:$R$19,4,0)</f>
        <v>6822</v>
      </c>
      <c r="AG26" s="3728">
        <f t="shared" ref="AG26" si="61">$AG$2</f>
        <v>1.01</v>
      </c>
      <c r="AH26" s="3728">
        <v>1.02</v>
      </c>
      <c r="AI26" s="3728">
        <f t="shared" ref="AI26" ca="1" si="62">ROUND(AF26*AG26*AH26,0)</f>
        <v>7028</v>
      </c>
      <c r="AJ26" s="3728">
        <f t="shared" ref="AJ26" ca="1" si="63">AC26-AI26</f>
        <v>13337</v>
      </c>
      <c r="AK26" s="3728">
        <f ca="1">AJ26*G26</f>
        <v>3379595.8000000003</v>
      </c>
      <c r="AL26" s="3732">
        <f t="shared" ref="AL26" ca="1" si="64">ROUND(AK26/AA26/10000,4)</f>
        <v>0.2298</v>
      </c>
      <c r="AN26" s="3728">
        <v>3379342.4</v>
      </c>
      <c r="AO26" s="3728">
        <f t="shared" ref="AO26" ca="1" si="65">AK26-AN26</f>
        <v>253.40000000037253</v>
      </c>
    </row>
    <row r="27" spans="1:41">
      <c r="A27" s="3277" t="s">
        <v>3750</v>
      </c>
      <c r="B27" s="3277"/>
      <c r="D27" s="3727"/>
      <c r="E27" s="3273">
        <v>100</v>
      </c>
      <c r="F27" s="3276">
        <v>1</v>
      </c>
      <c r="G27" s="3276">
        <f>房源表及成交价!I10</f>
        <v>123.31</v>
      </c>
      <c r="H27" s="3281">
        <v>100</v>
      </c>
      <c r="I27" s="3277">
        <v>3.9</v>
      </c>
      <c r="J27" s="3277">
        <v>3.78</v>
      </c>
      <c r="K27" s="3281">
        <f>IF(I27&lt;=3,97,IF(I27&lt;=3.3,98,IF(I27&lt;=3.6,99,IF(I27&lt;=3.9,100,101))))</f>
        <v>100</v>
      </c>
      <c r="L27" s="3277">
        <f>3.7+7.6</f>
        <v>11.3</v>
      </c>
      <c r="M27" s="3277">
        <v>13.7</v>
      </c>
      <c r="N27" s="3277" t="s">
        <v>3770</v>
      </c>
      <c r="O27" s="3281">
        <f t="shared" si="1"/>
        <v>100</v>
      </c>
      <c r="P27" s="3277" t="s">
        <v>3775</v>
      </c>
      <c r="Q27" s="3281">
        <f t="shared" si="2"/>
        <v>100</v>
      </c>
      <c r="R27" s="3277" t="s">
        <v>3777</v>
      </c>
      <c r="S27" s="3281">
        <f t="shared" si="3"/>
        <v>100</v>
      </c>
      <c r="T27" s="3277" t="s">
        <v>3894</v>
      </c>
      <c r="U27" s="3281">
        <f t="shared" si="4"/>
        <v>100</v>
      </c>
      <c r="V27" s="3355" t="s">
        <v>3892</v>
      </c>
      <c r="W27" s="3356">
        <f t="shared" si="5"/>
        <v>100</v>
      </c>
      <c r="X27" s="3273">
        <f t="shared" si="6"/>
        <v>1</v>
      </c>
      <c r="Y27" s="3729"/>
      <c r="Z27" s="3729"/>
      <c r="AA27" s="3729"/>
      <c r="AB27" s="3729"/>
      <c r="AC27" s="3276">
        <f>ROUND(AA26*10000/(X26*G26+X27*G27+X28*G28),0)</f>
        <v>48020</v>
      </c>
      <c r="AD27" s="3277">
        <f t="shared" si="7"/>
        <v>592.13</v>
      </c>
      <c r="AE27" s="3729"/>
      <c r="AF27" s="3729"/>
      <c r="AG27" s="3729"/>
      <c r="AH27" s="3729"/>
      <c r="AI27" s="3729"/>
      <c r="AJ27" s="3729"/>
      <c r="AK27" s="3729"/>
      <c r="AL27" s="3733"/>
      <c r="AM27">
        <f ca="1">ROUND(AK26/10000,1)</f>
        <v>338</v>
      </c>
      <c r="AN27" s="3729"/>
      <c r="AO27" s="3729"/>
    </row>
    <row r="28" spans="1:41">
      <c r="A28" s="3277">
        <v>3.22</v>
      </c>
      <c r="B28" s="3277"/>
      <c r="D28" s="3727"/>
      <c r="E28" s="3273">
        <v>100</v>
      </c>
      <c r="F28" s="3276">
        <v>2</v>
      </c>
      <c r="G28" s="3276">
        <f>房源表及成交价!J10</f>
        <v>70.760000000000005</v>
      </c>
      <c r="H28" s="3281">
        <v>100</v>
      </c>
      <c r="I28" s="3277">
        <v>3.3</v>
      </c>
      <c r="J28" s="3277">
        <v>3.22</v>
      </c>
      <c r="K28" s="3382">
        <v>97</v>
      </c>
      <c r="L28" s="3277">
        <f>3.7+7.48</f>
        <v>11.18</v>
      </c>
      <c r="M28" s="3277">
        <f>9.8+2.4</f>
        <v>12.200000000000001</v>
      </c>
      <c r="N28" s="3277" t="s">
        <v>3770</v>
      </c>
      <c r="O28" s="3382">
        <f t="shared" si="1"/>
        <v>100</v>
      </c>
      <c r="P28" s="3277" t="s">
        <v>3775</v>
      </c>
      <c r="Q28" s="3382">
        <f t="shared" si="2"/>
        <v>100</v>
      </c>
      <c r="R28" s="3277" t="s">
        <v>3777</v>
      </c>
      <c r="S28" s="3382">
        <f t="shared" si="3"/>
        <v>100</v>
      </c>
      <c r="T28" s="3277" t="s">
        <v>3892</v>
      </c>
      <c r="U28" s="3382">
        <f t="shared" si="4"/>
        <v>110</v>
      </c>
      <c r="V28" s="3355" t="s">
        <v>3894</v>
      </c>
      <c r="W28" s="3356">
        <f t="shared" si="5"/>
        <v>100</v>
      </c>
      <c r="X28" s="3273">
        <f t="shared" si="6"/>
        <v>1.0669999999999999</v>
      </c>
      <c r="Y28" s="3730"/>
      <c r="Z28" s="3730"/>
      <c r="AA28" s="3730"/>
      <c r="AB28" s="3730"/>
      <c r="AC28" s="3276">
        <f>ROUND(AC27*X28,0)</f>
        <v>51237</v>
      </c>
      <c r="AD28" s="3277">
        <f t="shared" si="7"/>
        <v>362.55</v>
      </c>
      <c r="AE28" s="3730"/>
      <c r="AF28" s="3730"/>
      <c r="AG28" s="3730"/>
      <c r="AH28" s="3730"/>
      <c r="AI28" s="3730"/>
      <c r="AJ28" s="3730"/>
      <c r="AK28" s="3730"/>
      <c r="AL28" s="3734"/>
      <c r="AN28" s="3730"/>
      <c r="AO28" s="3730"/>
    </row>
    <row r="29" spans="1:41">
      <c r="A29" s="3279">
        <v>3.36</v>
      </c>
      <c r="B29" s="3279" t="s">
        <v>3728</v>
      </c>
      <c r="D29" s="3731">
        <v>10</v>
      </c>
      <c r="E29" s="3274">
        <v>100</v>
      </c>
      <c r="F29" s="3278">
        <v>-1</v>
      </c>
      <c r="G29" s="3278">
        <f>房源表及成交价!N11</f>
        <v>253.4</v>
      </c>
      <c r="H29" s="3282">
        <v>100</v>
      </c>
      <c r="I29" s="3279">
        <v>3.6</v>
      </c>
      <c r="J29" s="3279">
        <v>3.36</v>
      </c>
      <c r="K29" s="3282">
        <f>IF(I29&lt;=3,97,IF(I29&lt;=3.3,98,IF(I29&lt;=3.6,99,IF(I29&lt;=3.9,100,101))))</f>
        <v>99</v>
      </c>
      <c r="L29" s="3279">
        <v>18.100000000000001</v>
      </c>
      <c r="M29" s="3279">
        <v>13.73</v>
      </c>
      <c r="N29" s="3279" t="s">
        <v>3908</v>
      </c>
      <c r="O29" s="3282">
        <f t="shared" si="1"/>
        <v>85</v>
      </c>
      <c r="P29" s="3279" t="s">
        <v>3774</v>
      </c>
      <c r="Q29" s="3282">
        <f t="shared" si="2"/>
        <v>80</v>
      </c>
      <c r="R29" s="3279" t="s">
        <v>3776</v>
      </c>
      <c r="S29" s="3282">
        <f t="shared" si="3"/>
        <v>90</v>
      </c>
      <c r="T29" s="3279" t="s">
        <v>3897</v>
      </c>
      <c r="U29" s="3282">
        <f t="shared" si="4"/>
        <v>70</v>
      </c>
      <c r="V29" s="3355" t="s">
        <v>3916</v>
      </c>
      <c r="W29" s="3356">
        <f t="shared" si="5"/>
        <v>100</v>
      </c>
      <c r="X29" s="3274">
        <f t="shared" si="6"/>
        <v>0.42409999999999998</v>
      </c>
      <c r="Y29" s="3728">
        <f t="shared" ref="Y29" si="66">ROUND((X29*G29+X30*G30+X31*G31)/Z29,4)</f>
        <v>0.6845</v>
      </c>
      <c r="Z29" s="3728">
        <f t="shared" si="30"/>
        <v>447.47</v>
      </c>
      <c r="AA29" s="3728">
        <f>房源表及成交价!R11</f>
        <v>1521.0175999999999</v>
      </c>
      <c r="AB29" s="3728">
        <f t="shared" ref="AB29" si="67">ROUND(AA29/Z29*10000,0)</f>
        <v>33991</v>
      </c>
      <c r="AC29" s="3282">
        <f>ROUND(AC30*X29,0)</f>
        <v>21061</v>
      </c>
      <c r="AD29" s="3279">
        <f t="shared" si="7"/>
        <v>533.69000000000005</v>
      </c>
      <c r="AE29" s="3728">
        <v>1</v>
      </c>
      <c r="AF29" s="3728">
        <f ca="1">VLOOKUP(AE29,标定地价!$O$16:$R$19,4,0)</f>
        <v>6822</v>
      </c>
      <c r="AG29" s="3728">
        <f t="shared" ref="AG29" si="68">$AG$2</f>
        <v>1.01</v>
      </c>
      <c r="AH29" s="3728">
        <v>1.02</v>
      </c>
      <c r="AI29" s="3728">
        <f t="shared" ref="AI29" ca="1" si="69">ROUND(AF29*AG29*AH29,0)</f>
        <v>7028</v>
      </c>
      <c r="AJ29" s="3728">
        <f t="shared" ref="AJ29" ca="1" si="70">AC29-AI29</f>
        <v>14033</v>
      </c>
      <c r="AK29" s="3728">
        <f t="shared" ca="1" si="12"/>
        <v>3555962.2</v>
      </c>
      <c r="AL29" s="3732">
        <f t="shared" ref="AL29" ca="1" si="71">ROUND(AK29/AA29/10000,4)</f>
        <v>0.23380000000000001</v>
      </c>
      <c r="AN29" s="3728">
        <v>3555708.8000000003</v>
      </c>
      <c r="AO29" s="3728">
        <f t="shared" ref="AO29" ca="1" si="72">AK29-AN29</f>
        <v>253.39999999990687</v>
      </c>
    </row>
    <row r="30" spans="1:41">
      <c r="A30" s="3279" t="s">
        <v>3752</v>
      </c>
      <c r="B30" s="3279"/>
      <c r="D30" s="3731"/>
      <c r="E30" s="3274">
        <v>100</v>
      </c>
      <c r="F30" s="3278">
        <v>1</v>
      </c>
      <c r="G30" s="3278">
        <f>房源表及成交价!I11</f>
        <v>123.31</v>
      </c>
      <c r="H30" s="3282">
        <v>100</v>
      </c>
      <c r="I30" s="3279">
        <v>3.9</v>
      </c>
      <c r="J30" s="3279">
        <v>3.78</v>
      </c>
      <c r="K30" s="3282">
        <f>IF(I30&lt;=3,97,IF(I30&lt;=3.3,98,IF(I30&lt;=3.6,99,IF(I30&lt;=3.9,100,101))))</f>
        <v>100</v>
      </c>
      <c r="L30" s="3279">
        <f>3.7+7.6</f>
        <v>11.3</v>
      </c>
      <c r="M30" s="3279">
        <f>13.7</f>
        <v>13.7</v>
      </c>
      <c r="N30" s="3279" t="s">
        <v>3770</v>
      </c>
      <c r="O30" s="3282">
        <f t="shared" si="1"/>
        <v>100</v>
      </c>
      <c r="P30" s="3279" t="s">
        <v>3775</v>
      </c>
      <c r="Q30" s="3282">
        <f t="shared" si="2"/>
        <v>100</v>
      </c>
      <c r="R30" s="3279" t="s">
        <v>3777</v>
      </c>
      <c r="S30" s="3282">
        <f t="shared" si="3"/>
        <v>100</v>
      </c>
      <c r="T30" s="3279" t="s">
        <v>3894</v>
      </c>
      <c r="U30" s="3282">
        <f t="shared" si="4"/>
        <v>100</v>
      </c>
      <c r="V30" s="3355" t="s">
        <v>3892</v>
      </c>
      <c r="W30" s="3356">
        <f t="shared" si="5"/>
        <v>100</v>
      </c>
      <c r="X30" s="3274">
        <f t="shared" si="6"/>
        <v>1</v>
      </c>
      <c r="Y30" s="3729"/>
      <c r="Z30" s="3729"/>
      <c r="AA30" s="3729"/>
      <c r="AB30" s="3729"/>
      <c r="AC30" s="3279">
        <f>ROUND(AA29*10000/(X29*G29+X30*G30+X31*G31),0)</f>
        <v>49661</v>
      </c>
      <c r="AD30" s="3279">
        <f t="shared" si="7"/>
        <v>612.37</v>
      </c>
      <c r="AE30" s="3729"/>
      <c r="AF30" s="3729"/>
      <c r="AG30" s="3729"/>
      <c r="AH30" s="3729"/>
      <c r="AI30" s="3729"/>
      <c r="AJ30" s="3729"/>
      <c r="AK30" s="3729"/>
      <c r="AL30" s="3733"/>
      <c r="AM30">
        <f ca="1">ROUND(AK29/10000,1)</f>
        <v>355.6</v>
      </c>
      <c r="AN30" s="3729"/>
      <c r="AO30" s="3729"/>
    </row>
    <row r="31" spans="1:41">
      <c r="A31" s="3279">
        <v>3.22</v>
      </c>
      <c r="B31" s="3279"/>
      <c r="D31" s="3731"/>
      <c r="E31" s="3274">
        <v>100</v>
      </c>
      <c r="F31" s="3278">
        <v>2</v>
      </c>
      <c r="G31" s="3278">
        <f>房源表及成交价!J11</f>
        <v>70.760000000000005</v>
      </c>
      <c r="H31" s="3282">
        <v>100</v>
      </c>
      <c r="I31" s="3279">
        <v>3.3</v>
      </c>
      <c r="J31" s="3279">
        <v>3.22</v>
      </c>
      <c r="K31" s="3382">
        <v>97</v>
      </c>
      <c r="L31" s="3279">
        <f>3.7+7.48</f>
        <v>11.18</v>
      </c>
      <c r="M31" s="3279">
        <f>9.8+2.4</f>
        <v>12.200000000000001</v>
      </c>
      <c r="N31" s="3279" t="s">
        <v>3770</v>
      </c>
      <c r="O31" s="3382">
        <f t="shared" si="1"/>
        <v>100</v>
      </c>
      <c r="P31" s="3279" t="s">
        <v>3775</v>
      </c>
      <c r="Q31" s="3382">
        <f t="shared" si="2"/>
        <v>100</v>
      </c>
      <c r="R31" s="3279" t="s">
        <v>3777</v>
      </c>
      <c r="S31" s="3382">
        <f t="shared" si="3"/>
        <v>100</v>
      </c>
      <c r="T31" s="3279" t="s">
        <v>3892</v>
      </c>
      <c r="U31" s="3382">
        <f t="shared" si="4"/>
        <v>110</v>
      </c>
      <c r="V31" s="3355" t="s">
        <v>3894</v>
      </c>
      <c r="W31" s="3356">
        <f t="shared" si="5"/>
        <v>100</v>
      </c>
      <c r="X31" s="3274">
        <f t="shared" si="6"/>
        <v>1.0669999999999999</v>
      </c>
      <c r="Y31" s="3730"/>
      <c r="Z31" s="3730"/>
      <c r="AA31" s="3730"/>
      <c r="AB31" s="3730"/>
      <c r="AC31" s="3278">
        <f>ROUND(AC30*X31,0)</f>
        <v>52988</v>
      </c>
      <c r="AD31" s="3279">
        <f t="shared" si="7"/>
        <v>374.94</v>
      </c>
      <c r="AE31" s="3730"/>
      <c r="AF31" s="3730"/>
      <c r="AG31" s="3730"/>
      <c r="AH31" s="3730"/>
      <c r="AI31" s="3730"/>
      <c r="AJ31" s="3730"/>
      <c r="AK31" s="3730"/>
      <c r="AL31" s="3734"/>
      <c r="AN31" s="3730"/>
      <c r="AO31" s="3730"/>
    </row>
    <row r="32" spans="1:41">
      <c r="A32" s="3277">
        <v>3.36</v>
      </c>
      <c r="B32" s="3277" t="s">
        <v>3729</v>
      </c>
      <c r="D32" s="3727">
        <v>8</v>
      </c>
      <c r="E32" s="3273">
        <v>100</v>
      </c>
      <c r="F32" s="3276">
        <v>-1</v>
      </c>
      <c r="G32" s="3276">
        <f>房源表及成交价!N12</f>
        <v>253.4</v>
      </c>
      <c r="H32" s="3281">
        <v>100</v>
      </c>
      <c r="I32" s="3277">
        <v>3.6</v>
      </c>
      <c r="J32" s="3277">
        <v>3.36</v>
      </c>
      <c r="K32" s="3281">
        <f>IF(I32&lt;=3,97,IF(I32&lt;=3.3,98,IF(I32&lt;=3.6,99,IF(I32&lt;=3.9,100,101))))</f>
        <v>99</v>
      </c>
      <c r="L32" s="3277">
        <v>18.100000000000001</v>
      </c>
      <c r="M32" s="3277">
        <v>13.73</v>
      </c>
      <c r="N32" s="3277" t="s">
        <v>3908</v>
      </c>
      <c r="O32" s="3281">
        <f t="shared" si="1"/>
        <v>85</v>
      </c>
      <c r="P32" s="3286" t="s">
        <v>3774</v>
      </c>
      <c r="Q32" s="3281">
        <f t="shared" si="2"/>
        <v>80</v>
      </c>
      <c r="R32" s="3286" t="s">
        <v>3776</v>
      </c>
      <c r="S32" s="3281">
        <f t="shared" si="3"/>
        <v>90</v>
      </c>
      <c r="T32" s="3286" t="s">
        <v>3897</v>
      </c>
      <c r="U32" s="3281">
        <f t="shared" si="4"/>
        <v>70</v>
      </c>
      <c r="V32" s="3357" t="s">
        <v>3916</v>
      </c>
      <c r="W32" s="3356">
        <f t="shared" si="5"/>
        <v>100</v>
      </c>
      <c r="X32" s="3273">
        <f t="shared" si="6"/>
        <v>0.42409999999999998</v>
      </c>
      <c r="Y32" s="3728">
        <f t="shared" ref="Y32" si="73">ROUND((X32*G32+X33*G33+X34*G34)/Z32,4)</f>
        <v>0.6845</v>
      </c>
      <c r="Z32" s="3728">
        <f t="shared" si="30"/>
        <v>447.47</v>
      </c>
      <c r="AA32" s="3728">
        <f>房源表及成交价!R12</f>
        <v>1377.7284999999999</v>
      </c>
      <c r="AB32" s="3728">
        <f t="shared" ref="AB32" si="74">ROUND(AA32/Z32*10000,0)</f>
        <v>30789</v>
      </c>
      <c r="AC32" s="3281">
        <f>ROUND(AC33*X32,0)</f>
        <v>19077</v>
      </c>
      <c r="AD32" s="3286">
        <f t="shared" si="7"/>
        <v>483.41</v>
      </c>
      <c r="AE32" s="3728">
        <v>1</v>
      </c>
      <c r="AF32" s="3728">
        <f ca="1">VLOOKUP(AE32,标定地价!$O$16:$R$19,4,0)</f>
        <v>6822</v>
      </c>
      <c r="AG32" s="3728">
        <f t="shared" ref="AG32" si="75">$AG$2</f>
        <v>1.01</v>
      </c>
      <c r="AH32" s="3728">
        <v>1.02</v>
      </c>
      <c r="AI32" s="3728">
        <f t="shared" ref="AI32" ca="1" si="76">ROUND(AF32*AG32*AH32,0)</f>
        <v>7028</v>
      </c>
      <c r="AJ32" s="3728">
        <f t="shared" ref="AJ32" ca="1" si="77">AC32-AI32</f>
        <v>12049</v>
      </c>
      <c r="AK32" s="3728">
        <f t="shared" ca="1" si="12"/>
        <v>3053216.6</v>
      </c>
      <c r="AL32" s="3732">
        <f t="shared" ref="AL32" ca="1" si="78">ROUND(AK32/AA32/10000,4)</f>
        <v>0.22159999999999999</v>
      </c>
      <c r="AN32" s="3728">
        <v>3052963.2</v>
      </c>
      <c r="AO32" s="3728">
        <f t="shared" ref="AO32" ca="1" si="79">AK32-AN32</f>
        <v>253.39999999990687</v>
      </c>
    </row>
    <row r="33" spans="1:41">
      <c r="A33" s="3277">
        <v>3.58</v>
      </c>
      <c r="B33" s="3277"/>
      <c r="D33" s="3727"/>
      <c r="E33" s="3273">
        <v>100</v>
      </c>
      <c r="F33" s="3276">
        <v>1</v>
      </c>
      <c r="G33" s="3276">
        <f>房源表及成交价!I12</f>
        <v>123.31</v>
      </c>
      <c r="H33" s="3281">
        <v>100</v>
      </c>
      <c r="I33" s="3277">
        <v>3.9</v>
      </c>
      <c r="J33" s="3277">
        <v>3.58</v>
      </c>
      <c r="K33" s="3281">
        <f>IF(I33&lt;=3,97,IF(I33&lt;=3.3,98,IF(I33&lt;=3.6,99,IF(I33&lt;=3.9,100,101))))</f>
        <v>100</v>
      </c>
      <c r="L33" s="3277">
        <f>7.6+3.7</f>
        <v>11.3</v>
      </c>
      <c r="M33" s="3277">
        <v>13.7</v>
      </c>
      <c r="N33" s="3277" t="s">
        <v>3770</v>
      </c>
      <c r="O33" s="3281">
        <f t="shared" si="1"/>
        <v>100</v>
      </c>
      <c r="P33" s="3277" t="s">
        <v>3775</v>
      </c>
      <c r="Q33" s="3281">
        <f t="shared" si="2"/>
        <v>100</v>
      </c>
      <c r="R33" s="3277" t="s">
        <v>3777</v>
      </c>
      <c r="S33" s="3281">
        <f t="shared" si="3"/>
        <v>100</v>
      </c>
      <c r="T33" s="3277" t="s">
        <v>3894</v>
      </c>
      <c r="U33" s="3281">
        <f t="shared" si="4"/>
        <v>100</v>
      </c>
      <c r="V33" s="3355" t="s">
        <v>3892</v>
      </c>
      <c r="W33" s="3356">
        <f t="shared" si="5"/>
        <v>100</v>
      </c>
      <c r="X33" s="3273">
        <f t="shared" si="6"/>
        <v>1</v>
      </c>
      <c r="Y33" s="3729"/>
      <c r="Z33" s="3729"/>
      <c r="AA33" s="3729"/>
      <c r="AB33" s="3729"/>
      <c r="AC33" s="3276">
        <f>ROUND(AA32*10000/(X32*G32+X33*G33+X34*G34),0)</f>
        <v>44983</v>
      </c>
      <c r="AD33" s="3277">
        <f t="shared" si="7"/>
        <v>554.69000000000005</v>
      </c>
      <c r="AE33" s="3729"/>
      <c r="AF33" s="3729"/>
      <c r="AG33" s="3729"/>
      <c r="AH33" s="3729"/>
      <c r="AI33" s="3729"/>
      <c r="AJ33" s="3729"/>
      <c r="AK33" s="3729"/>
      <c r="AL33" s="3733"/>
      <c r="AM33">
        <f ca="1">ROUND(AK32/10000,1)</f>
        <v>305.3</v>
      </c>
      <c r="AN33" s="3729"/>
      <c r="AO33" s="3729"/>
    </row>
    <row r="34" spans="1:41">
      <c r="A34" s="3277">
        <v>3.21</v>
      </c>
      <c r="B34" s="3277"/>
      <c r="D34" s="3727"/>
      <c r="E34" s="3273">
        <v>100</v>
      </c>
      <c r="F34" s="3276">
        <v>2</v>
      </c>
      <c r="G34" s="3276">
        <f>房源表及成交价!J12</f>
        <v>70.760000000000005</v>
      </c>
      <c r="H34" s="3281">
        <v>100</v>
      </c>
      <c r="I34" s="3277">
        <v>3.3</v>
      </c>
      <c r="J34" s="3277">
        <v>3.21</v>
      </c>
      <c r="K34" s="3382">
        <v>97</v>
      </c>
      <c r="L34" s="3277">
        <f>8.85+2.45</f>
        <v>11.3</v>
      </c>
      <c r="M34" s="3277">
        <f>2.4+9.8</f>
        <v>12.200000000000001</v>
      </c>
      <c r="N34" s="3277" t="s">
        <v>3770</v>
      </c>
      <c r="O34" s="3382">
        <f t="shared" si="1"/>
        <v>100</v>
      </c>
      <c r="P34" s="3277" t="s">
        <v>3775</v>
      </c>
      <c r="Q34" s="3382">
        <f t="shared" si="2"/>
        <v>100</v>
      </c>
      <c r="R34" s="3277" t="s">
        <v>3777</v>
      </c>
      <c r="S34" s="3382">
        <f t="shared" si="3"/>
        <v>100</v>
      </c>
      <c r="T34" s="3277" t="s">
        <v>3892</v>
      </c>
      <c r="U34" s="3382">
        <f t="shared" si="4"/>
        <v>110</v>
      </c>
      <c r="V34" s="3355" t="s">
        <v>3894</v>
      </c>
      <c r="W34" s="3356">
        <f t="shared" si="5"/>
        <v>100</v>
      </c>
      <c r="X34" s="3273">
        <f t="shared" si="6"/>
        <v>1.0669999999999999</v>
      </c>
      <c r="Y34" s="3730"/>
      <c r="Z34" s="3730"/>
      <c r="AA34" s="3730"/>
      <c r="AB34" s="3730"/>
      <c r="AC34" s="3276">
        <f t="shared" ref="AC34" si="80">ROUND(AC33*X34,0)</f>
        <v>47997</v>
      </c>
      <c r="AD34" s="3277">
        <f t="shared" si="7"/>
        <v>339.63</v>
      </c>
      <c r="AE34" s="3730"/>
      <c r="AF34" s="3730"/>
      <c r="AG34" s="3730"/>
      <c r="AH34" s="3730"/>
      <c r="AI34" s="3730"/>
      <c r="AJ34" s="3730"/>
      <c r="AK34" s="3730"/>
      <c r="AL34" s="3734"/>
      <c r="AN34" s="3730"/>
      <c r="AO34" s="3730"/>
    </row>
    <row r="35" spans="1:41" hidden="1">
      <c r="A35" s="3279">
        <v>3.38</v>
      </c>
      <c r="B35" s="3279" t="s">
        <v>3728</v>
      </c>
      <c r="D35" s="3731">
        <v>14</v>
      </c>
      <c r="E35" s="3274">
        <v>100</v>
      </c>
      <c r="F35" s="3278">
        <v>-1</v>
      </c>
      <c r="G35" s="3278">
        <f>房源表及成交价!N13</f>
        <v>255.11</v>
      </c>
      <c r="H35" s="3282">
        <v>100</v>
      </c>
      <c r="I35" s="3279">
        <v>3.6</v>
      </c>
      <c r="J35" s="3279">
        <v>3.38</v>
      </c>
      <c r="K35" s="3282">
        <f>IF(I35&lt;=3,97,IF(I35&lt;=3.3,98,IF(I35&lt;=3.6,99,IF(I35&lt;=3.9,100,101))))</f>
        <v>99</v>
      </c>
      <c r="L35" s="3279">
        <v>18.12</v>
      </c>
      <c r="M35" s="3279">
        <v>13.73</v>
      </c>
      <c r="N35" s="3279" t="s">
        <v>3908</v>
      </c>
      <c r="O35" s="3282">
        <f t="shared" si="1"/>
        <v>85</v>
      </c>
      <c r="P35" s="3279" t="s">
        <v>3774</v>
      </c>
      <c r="Q35" s="3282">
        <f t="shared" si="2"/>
        <v>80</v>
      </c>
      <c r="R35" s="3279" t="s">
        <v>3776</v>
      </c>
      <c r="S35" s="3282">
        <f t="shared" si="3"/>
        <v>90</v>
      </c>
      <c r="T35" s="3279" t="s">
        <v>3897</v>
      </c>
      <c r="U35" s="3282">
        <f t="shared" si="4"/>
        <v>70</v>
      </c>
      <c r="V35" s="3355" t="s">
        <v>3916</v>
      </c>
      <c r="W35" s="3356">
        <f t="shared" si="5"/>
        <v>100</v>
      </c>
      <c r="X35" s="3274">
        <f t="shared" si="6"/>
        <v>0.42409999999999998</v>
      </c>
      <c r="Y35" s="3728">
        <f t="shared" ref="Y35" si="81">ROUND((X35*G35+X36*G36+X37*G37)/Z35,4)</f>
        <v>0.6835</v>
      </c>
      <c r="Z35" s="3728">
        <f t="shared" si="30"/>
        <v>449.18</v>
      </c>
      <c r="AA35" s="3728">
        <f>房源表及成交价!R13</f>
        <v>1262.8794</v>
      </c>
      <c r="AB35" s="3728">
        <f t="shared" ref="AB35" si="82">ROUND(AA35/Z35*10000,0)</f>
        <v>28115</v>
      </c>
      <c r="AC35" s="3282">
        <f>ROUND(AC36*X35,0)</f>
        <v>17446</v>
      </c>
      <c r="AD35" s="3279">
        <f t="shared" si="7"/>
        <v>445.06</v>
      </c>
      <c r="AE35" s="3728">
        <v>1</v>
      </c>
      <c r="AF35" s="3728">
        <f ca="1">VLOOKUP(AE35,标定地价!$O$16:$R$19,4,0)</f>
        <v>6822</v>
      </c>
      <c r="AG35" s="3728">
        <f t="shared" ref="AG35" si="83">$AG$2</f>
        <v>1.01</v>
      </c>
      <c r="AH35" s="3728">
        <v>1.02</v>
      </c>
      <c r="AI35" s="3728">
        <f t="shared" ref="AI35" ca="1" si="84">ROUND(AF35*AG35*AH35,0)</f>
        <v>7028</v>
      </c>
      <c r="AJ35" s="3728">
        <f t="shared" ref="AJ35" ca="1" si="85">AC35-AI35</f>
        <v>10418</v>
      </c>
      <c r="AK35" s="3728">
        <f t="shared" ca="1" si="12"/>
        <v>2657735.98</v>
      </c>
      <c r="AL35" s="3732">
        <f t="shared" ref="AL35" ca="1" si="86">ROUND(AK35/AA35/10000,4)</f>
        <v>0.21049999999999999</v>
      </c>
      <c r="AN35" s="3728">
        <v>2657480.87</v>
      </c>
      <c r="AO35" s="3728">
        <f t="shared" ref="AO35" ca="1" si="87">AK35-AN35</f>
        <v>255.10999999986961</v>
      </c>
    </row>
    <row r="36" spans="1:41" hidden="1">
      <c r="A36" s="3279" t="s">
        <v>3753</v>
      </c>
      <c r="B36" s="3279"/>
      <c r="D36" s="3731"/>
      <c r="E36" s="3274">
        <v>100</v>
      </c>
      <c r="F36" s="3278">
        <v>1</v>
      </c>
      <c r="G36" s="3278">
        <f>房源表及成交价!I13</f>
        <v>123.31</v>
      </c>
      <c r="H36" s="3282">
        <v>100</v>
      </c>
      <c r="I36" s="3279">
        <v>3.9</v>
      </c>
      <c r="J36" s="3279">
        <v>3.77</v>
      </c>
      <c r="K36" s="3282">
        <f>IF(I36&lt;=3,97,IF(I36&lt;=3.3,98,IF(I36&lt;=3.6,99,IF(I36&lt;=3.9,100,101))))</f>
        <v>100</v>
      </c>
      <c r="L36" s="3279">
        <f>3.7+7.6</f>
        <v>11.3</v>
      </c>
      <c r="M36" s="3279">
        <v>13.7</v>
      </c>
      <c r="N36" s="3279" t="s">
        <v>3770</v>
      </c>
      <c r="O36" s="3282">
        <f t="shared" si="1"/>
        <v>100</v>
      </c>
      <c r="P36" s="3279" t="s">
        <v>3775</v>
      </c>
      <c r="Q36" s="3282">
        <f t="shared" si="2"/>
        <v>100</v>
      </c>
      <c r="R36" s="3279" t="s">
        <v>3777</v>
      </c>
      <c r="S36" s="3282">
        <f t="shared" si="3"/>
        <v>100</v>
      </c>
      <c r="T36" s="3279" t="s">
        <v>3894</v>
      </c>
      <c r="U36" s="3282">
        <f t="shared" si="4"/>
        <v>100</v>
      </c>
      <c r="V36" s="3355" t="s">
        <v>3892</v>
      </c>
      <c r="W36" s="3356">
        <f t="shared" si="5"/>
        <v>100</v>
      </c>
      <c r="X36" s="3274">
        <f t="shared" si="6"/>
        <v>1</v>
      </c>
      <c r="Y36" s="3729"/>
      <c r="Z36" s="3729"/>
      <c r="AA36" s="3729"/>
      <c r="AB36" s="3729"/>
      <c r="AC36" s="3279">
        <f>ROUND(AA35*10000/(X35*G35+X36*G36+X37*G37),0)</f>
        <v>41136</v>
      </c>
      <c r="AD36" s="3279">
        <f t="shared" si="7"/>
        <v>507.25</v>
      </c>
      <c r="AE36" s="3729"/>
      <c r="AF36" s="3729"/>
      <c r="AG36" s="3729"/>
      <c r="AH36" s="3729"/>
      <c r="AI36" s="3729"/>
      <c r="AJ36" s="3729"/>
      <c r="AK36" s="3729"/>
      <c r="AL36" s="3733"/>
      <c r="AM36">
        <f ca="1">ROUND(AK35/10000,1)</f>
        <v>265.8</v>
      </c>
      <c r="AN36" s="3729"/>
      <c r="AO36" s="3729"/>
    </row>
    <row r="37" spans="1:41" hidden="1">
      <c r="A37" s="3279">
        <v>3.21</v>
      </c>
      <c r="B37" s="3279"/>
      <c r="D37" s="3731"/>
      <c r="E37" s="3274">
        <v>100</v>
      </c>
      <c r="F37" s="3278">
        <v>2</v>
      </c>
      <c r="G37" s="3278">
        <f>房源表及成交价!J13</f>
        <v>70.760000000000005</v>
      </c>
      <c r="H37" s="3282">
        <v>100</v>
      </c>
      <c r="I37" s="3279">
        <v>3.3</v>
      </c>
      <c r="J37" s="3279">
        <v>3.21</v>
      </c>
      <c r="K37" s="3282">
        <v>97</v>
      </c>
      <c r="L37" s="3279">
        <f>3.7+7.48</f>
        <v>11.18</v>
      </c>
      <c r="M37" s="3279">
        <f>9.8+2.4</f>
        <v>12.200000000000001</v>
      </c>
      <c r="N37" s="3279" t="s">
        <v>3770</v>
      </c>
      <c r="O37" s="3282">
        <f t="shared" si="1"/>
        <v>100</v>
      </c>
      <c r="P37" s="3279" t="s">
        <v>3775</v>
      </c>
      <c r="Q37" s="3282">
        <f t="shared" si="2"/>
        <v>100</v>
      </c>
      <c r="R37" s="3279" t="s">
        <v>3777</v>
      </c>
      <c r="S37" s="3282">
        <f t="shared" si="3"/>
        <v>100</v>
      </c>
      <c r="T37" s="3279" t="s">
        <v>3892</v>
      </c>
      <c r="U37" s="3282">
        <f t="shared" si="4"/>
        <v>110</v>
      </c>
      <c r="V37" s="3355" t="s">
        <v>3894</v>
      </c>
      <c r="W37" s="3356">
        <f t="shared" si="5"/>
        <v>100</v>
      </c>
      <c r="X37" s="3274">
        <f t="shared" si="6"/>
        <v>1.0669999999999999</v>
      </c>
      <c r="Y37" s="3730"/>
      <c r="Z37" s="3730"/>
      <c r="AA37" s="3730"/>
      <c r="AB37" s="3730"/>
      <c r="AC37" s="3278">
        <f>ROUND(AC36*X37,0)</f>
        <v>43892</v>
      </c>
      <c r="AD37" s="3279">
        <f t="shared" si="7"/>
        <v>310.58</v>
      </c>
      <c r="AE37" s="3730"/>
      <c r="AF37" s="3730"/>
      <c r="AG37" s="3730"/>
      <c r="AH37" s="3730"/>
      <c r="AI37" s="3730"/>
      <c r="AJ37" s="3730"/>
      <c r="AK37" s="3730"/>
      <c r="AL37" s="3734"/>
      <c r="AN37" s="3730"/>
      <c r="AO37" s="3730"/>
    </row>
    <row r="38" spans="1:41" hidden="1">
      <c r="A38" s="3277">
        <v>3.33</v>
      </c>
      <c r="B38" s="3277" t="s">
        <v>3730</v>
      </c>
      <c r="D38" s="3727">
        <v>111</v>
      </c>
      <c r="E38" s="3273">
        <v>100</v>
      </c>
      <c r="F38" s="3276">
        <v>-1</v>
      </c>
      <c r="G38" s="3276">
        <f>房源表及成交价!N14</f>
        <v>266.26</v>
      </c>
      <c r="H38" s="3281">
        <v>100</v>
      </c>
      <c r="I38" s="3277">
        <v>3.6</v>
      </c>
      <c r="J38" s="3277">
        <v>3.33</v>
      </c>
      <c r="K38" s="3281">
        <f>IF(I38&lt;=3,97,IF(I38&lt;=3.3,98,IF(I38&lt;=3.6,99,IF(I38&lt;=3.9,100,101))))</f>
        <v>99</v>
      </c>
      <c r="L38" s="3277">
        <f>14.89+5.39</f>
        <v>20.28</v>
      </c>
      <c r="M38" s="3277">
        <v>13.72</v>
      </c>
      <c r="N38" s="3277" t="s">
        <v>3908</v>
      </c>
      <c r="O38" s="3281">
        <f t="shared" si="1"/>
        <v>85</v>
      </c>
      <c r="P38" s="3286" t="s">
        <v>3774</v>
      </c>
      <c r="Q38" s="3281">
        <f t="shared" si="2"/>
        <v>80</v>
      </c>
      <c r="R38" s="3286" t="s">
        <v>3776</v>
      </c>
      <c r="S38" s="3281">
        <f t="shared" si="3"/>
        <v>90</v>
      </c>
      <c r="T38" s="3286" t="s">
        <v>3897</v>
      </c>
      <c r="U38" s="3281">
        <f t="shared" si="4"/>
        <v>70</v>
      </c>
      <c r="V38" s="3357" t="s">
        <v>3916</v>
      </c>
      <c r="W38" s="3356">
        <f t="shared" si="5"/>
        <v>100</v>
      </c>
      <c r="X38" s="3273">
        <f t="shared" si="6"/>
        <v>0.42409999999999998</v>
      </c>
      <c r="Y38" s="3728">
        <f t="shared" ref="Y38" si="88">ROUND((X38*G38+X39*G39+X40*G40)/Z38,4)</f>
        <v>0.67720000000000002</v>
      </c>
      <c r="Z38" s="3728">
        <f t="shared" si="30"/>
        <v>460.33</v>
      </c>
      <c r="AA38" s="3728">
        <f>房源表及成交价!R14</f>
        <v>1263.2236</v>
      </c>
      <c r="AB38" s="3728">
        <f t="shared" ref="AB38" si="89">ROUND(AA38/Z38*10000,0)</f>
        <v>27442</v>
      </c>
      <c r="AC38" s="3281">
        <f>ROUND(AC39*X38,0)</f>
        <v>17186</v>
      </c>
      <c r="AD38" s="3286">
        <f t="shared" si="7"/>
        <v>457.59</v>
      </c>
      <c r="AE38" s="3728">
        <v>1</v>
      </c>
      <c r="AF38" s="3728">
        <f ca="1">VLOOKUP(AE38,标定地价!$O$16:$R$19,4,0)</f>
        <v>6822</v>
      </c>
      <c r="AG38" s="3728">
        <f t="shared" ref="AG38" si="90">$AG$2</f>
        <v>1.01</v>
      </c>
      <c r="AH38" s="3728">
        <v>1.02</v>
      </c>
      <c r="AI38" s="3728">
        <f t="shared" ref="AI38" ca="1" si="91">ROUND(AF38*AG38*AH38,0)</f>
        <v>7028</v>
      </c>
      <c r="AJ38" s="3728">
        <f t="shared" ref="AJ38" ca="1" si="92">AC38-AI38</f>
        <v>10158</v>
      </c>
      <c r="AK38" s="3728">
        <f t="shared" ca="1" si="12"/>
        <v>2704669.08</v>
      </c>
      <c r="AL38" s="3732">
        <f t="shared" ref="AL38" ca="1" si="93">ROUND(AK38/AA38/10000,4)</f>
        <v>0.21410000000000001</v>
      </c>
      <c r="AN38" s="3728">
        <v>2704402.82</v>
      </c>
      <c r="AO38" s="3728">
        <f t="shared" ref="AO38" ca="1" si="94">AK38-AN38</f>
        <v>266.26000000024214</v>
      </c>
    </row>
    <row r="39" spans="1:41" hidden="1">
      <c r="A39" s="3277" t="s">
        <v>3754</v>
      </c>
      <c r="B39" s="3277"/>
      <c r="D39" s="3727"/>
      <c r="E39" s="3273">
        <v>100</v>
      </c>
      <c r="F39" s="3276">
        <v>1</v>
      </c>
      <c r="G39" s="3276">
        <f>房源表及成交价!I14</f>
        <v>123.31</v>
      </c>
      <c r="H39" s="3281">
        <v>100</v>
      </c>
      <c r="I39" s="3277">
        <v>3.9</v>
      </c>
      <c r="J39" s="3277">
        <v>3.75</v>
      </c>
      <c r="K39" s="3281">
        <f>IF(I39&lt;=3,97,IF(I39&lt;=3.3,98,IF(I39&lt;=3.6,99,IF(I39&lt;=3.9,100,101))))</f>
        <v>100</v>
      </c>
      <c r="L39" s="3277">
        <f>3.7+8.7</f>
        <v>12.399999999999999</v>
      </c>
      <c r="M39" s="3277">
        <v>13.7</v>
      </c>
      <c r="N39" s="3277" t="s">
        <v>3770</v>
      </c>
      <c r="O39" s="3281">
        <f t="shared" si="1"/>
        <v>100</v>
      </c>
      <c r="P39" s="3277" t="s">
        <v>3775</v>
      </c>
      <c r="Q39" s="3281">
        <f t="shared" si="2"/>
        <v>100</v>
      </c>
      <c r="R39" s="3277" t="s">
        <v>3777</v>
      </c>
      <c r="S39" s="3281">
        <f t="shared" si="3"/>
        <v>100</v>
      </c>
      <c r="T39" s="3277" t="s">
        <v>3894</v>
      </c>
      <c r="U39" s="3281">
        <f t="shared" si="4"/>
        <v>100</v>
      </c>
      <c r="V39" s="3355" t="s">
        <v>3892</v>
      </c>
      <c r="W39" s="3356">
        <f t="shared" si="5"/>
        <v>100</v>
      </c>
      <c r="X39" s="3273">
        <f t="shared" si="6"/>
        <v>1</v>
      </c>
      <c r="Y39" s="3729"/>
      <c r="Z39" s="3729"/>
      <c r="AA39" s="3729"/>
      <c r="AB39" s="3729"/>
      <c r="AC39" s="3276">
        <f>ROUND(AA38*10000/(X38*G38+X39*G39+X40*G40),0)</f>
        <v>40523</v>
      </c>
      <c r="AD39" s="3277">
        <f t="shared" si="7"/>
        <v>499.69</v>
      </c>
      <c r="AE39" s="3729"/>
      <c r="AF39" s="3729"/>
      <c r="AG39" s="3729"/>
      <c r="AH39" s="3729"/>
      <c r="AI39" s="3729"/>
      <c r="AJ39" s="3729"/>
      <c r="AK39" s="3729"/>
      <c r="AL39" s="3733"/>
      <c r="AM39">
        <f ca="1">ROUND(AK38/10000,1)</f>
        <v>270.5</v>
      </c>
      <c r="AN39" s="3729"/>
      <c r="AO39" s="3729"/>
    </row>
    <row r="40" spans="1:41" hidden="1">
      <c r="A40" s="3277">
        <v>3.21</v>
      </c>
      <c r="B40" s="3277"/>
      <c r="D40" s="3727"/>
      <c r="E40" s="3273">
        <v>100</v>
      </c>
      <c r="F40" s="3276">
        <v>2</v>
      </c>
      <c r="G40" s="3276">
        <f>房源表及成交价!J14</f>
        <v>70.760000000000005</v>
      </c>
      <c r="H40" s="3281">
        <v>100</v>
      </c>
      <c r="I40" s="3277">
        <v>3.3</v>
      </c>
      <c r="J40" s="3277">
        <v>3.21</v>
      </c>
      <c r="K40" s="3382">
        <v>97</v>
      </c>
      <c r="L40" s="3277">
        <f>3.7+7.48</f>
        <v>11.18</v>
      </c>
      <c r="M40" s="3277">
        <f>9.8+2.4</f>
        <v>12.200000000000001</v>
      </c>
      <c r="N40" s="3277" t="s">
        <v>3770</v>
      </c>
      <c r="O40" s="3382">
        <f t="shared" si="1"/>
        <v>100</v>
      </c>
      <c r="P40" s="3277" t="s">
        <v>3775</v>
      </c>
      <c r="Q40" s="3382">
        <f t="shared" si="2"/>
        <v>100</v>
      </c>
      <c r="R40" s="3277" t="s">
        <v>3777</v>
      </c>
      <c r="S40" s="3382">
        <f t="shared" si="3"/>
        <v>100</v>
      </c>
      <c r="T40" s="3277" t="s">
        <v>3892</v>
      </c>
      <c r="U40" s="3382">
        <f t="shared" si="4"/>
        <v>110</v>
      </c>
      <c r="V40" s="3355" t="s">
        <v>3894</v>
      </c>
      <c r="W40" s="3356">
        <f t="shared" si="5"/>
        <v>100</v>
      </c>
      <c r="X40" s="3273">
        <f t="shared" si="6"/>
        <v>1.0669999999999999</v>
      </c>
      <c r="Y40" s="3730"/>
      <c r="Z40" s="3730"/>
      <c r="AA40" s="3730"/>
      <c r="AB40" s="3730"/>
      <c r="AC40" s="3276">
        <f>ROUND(AC39*X40,0)</f>
        <v>43238</v>
      </c>
      <c r="AD40" s="3277">
        <f t="shared" si="7"/>
        <v>305.95</v>
      </c>
      <c r="AE40" s="3730"/>
      <c r="AF40" s="3730"/>
      <c r="AG40" s="3730"/>
      <c r="AH40" s="3730"/>
      <c r="AI40" s="3730"/>
      <c r="AJ40" s="3730"/>
      <c r="AK40" s="3730"/>
      <c r="AL40" s="3734"/>
      <c r="AN40" s="3730"/>
      <c r="AO40" s="3730"/>
    </row>
    <row r="41" spans="1:41" hidden="1">
      <c r="A41" s="3279">
        <v>3.41</v>
      </c>
      <c r="B41" s="3279" t="s">
        <v>3729</v>
      </c>
      <c r="D41" s="3731">
        <v>100</v>
      </c>
      <c r="E41" s="3274">
        <v>100</v>
      </c>
      <c r="F41" s="3278">
        <v>-1</v>
      </c>
      <c r="G41" s="3278">
        <f>房源表及成交价!N15</f>
        <v>311.24</v>
      </c>
      <c r="H41" s="3282">
        <v>100</v>
      </c>
      <c r="I41" s="3279">
        <v>3.6</v>
      </c>
      <c r="J41" s="3279">
        <v>3.41</v>
      </c>
      <c r="K41" s="3282">
        <f>IF(I41&lt;=3,97,IF(I41&lt;=3.3,98,IF(I41&lt;=3.6,99,IF(I41&lt;=3.9,100,101))))</f>
        <v>99</v>
      </c>
      <c r="L41" s="3279">
        <v>18.75</v>
      </c>
      <c r="M41" s="3279">
        <f>13.65+2.35</f>
        <v>16</v>
      </c>
      <c r="N41" s="3279" t="s">
        <v>3769</v>
      </c>
      <c r="O41" s="3282">
        <f t="shared" si="1"/>
        <v>70</v>
      </c>
      <c r="P41" s="3279" t="s">
        <v>3774</v>
      </c>
      <c r="Q41" s="3282">
        <f t="shared" si="2"/>
        <v>80</v>
      </c>
      <c r="R41" s="3279" t="s">
        <v>3776</v>
      </c>
      <c r="S41" s="3282">
        <f t="shared" si="3"/>
        <v>90</v>
      </c>
      <c r="T41" s="3279" t="s">
        <v>3897</v>
      </c>
      <c r="U41" s="3282">
        <f t="shared" si="4"/>
        <v>70</v>
      </c>
      <c r="V41" s="3355" t="s">
        <v>3916</v>
      </c>
      <c r="W41" s="3356">
        <f t="shared" si="5"/>
        <v>100</v>
      </c>
      <c r="X41" s="3274">
        <f t="shared" si="6"/>
        <v>0.3493</v>
      </c>
      <c r="Y41" s="3728">
        <f t="shared" ref="Y41" si="95">ROUND((X41*G41+X42*G42+X43*G43)/Z41,4)</f>
        <v>0.64770000000000005</v>
      </c>
      <c r="Z41" s="3728">
        <f t="shared" si="30"/>
        <v>557.32000000000005</v>
      </c>
      <c r="AA41" s="3728">
        <f>房源表及成交价!R15</f>
        <v>1812.1902</v>
      </c>
      <c r="AB41" s="3728">
        <f t="shared" ref="AB41" si="96">ROUND(AA41/Z41*10000,0)</f>
        <v>32516</v>
      </c>
      <c r="AC41" s="3282">
        <f>ROUND(AC42*X41,0)</f>
        <v>17535</v>
      </c>
      <c r="AD41" s="3279">
        <f t="shared" si="7"/>
        <v>545.76</v>
      </c>
      <c r="AE41" s="3728">
        <v>1</v>
      </c>
      <c r="AF41" s="3728">
        <f ca="1">VLOOKUP(AE41,标定地价!$O$16:$R$19,4,0)</f>
        <v>6822</v>
      </c>
      <c r="AG41" s="3728">
        <f t="shared" ref="AG41" si="97">$AG$2</f>
        <v>1.01</v>
      </c>
      <c r="AH41" s="3728">
        <v>1.02</v>
      </c>
      <c r="AI41" s="3728">
        <f t="shared" ref="AI41" ca="1" si="98">ROUND(AF41*AG41*AH41,0)</f>
        <v>7028</v>
      </c>
      <c r="AJ41" s="3728">
        <f t="shared" ref="AJ41" ca="1" si="99">AC41-AI41</f>
        <v>10507</v>
      </c>
      <c r="AK41" s="3728">
        <f t="shared" ca="1" si="12"/>
        <v>3270198.68</v>
      </c>
      <c r="AL41" s="3732">
        <f t="shared" ref="AL41" ca="1" si="100">ROUND(AK41/AA41/10000,4)</f>
        <v>0.18049999999999999</v>
      </c>
      <c r="AN41" s="3728">
        <v>3269887.44</v>
      </c>
      <c r="AO41" s="3728">
        <f t="shared" ref="AO41" ca="1" si="101">AK41-AN41</f>
        <v>311.24000000022352</v>
      </c>
    </row>
    <row r="42" spans="1:41" hidden="1">
      <c r="A42" s="3279" t="s">
        <v>3749</v>
      </c>
      <c r="B42" s="3279"/>
      <c r="D42" s="3731"/>
      <c r="E42" s="3274">
        <v>100</v>
      </c>
      <c r="F42" s="3278">
        <v>1</v>
      </c>
      <c r="G42" s="3278">
        <f>房源表及成交价!I15</f>
        <v>153.61000000000001</v>
      </c>
      <c r="H42" s="3282">
        <v>100</v>
      </c>
      <c r="I42" s="3279">
        <v>3.9</v>
      </c>
      <c r="J42" s="3279">
        <v>3.77</v>
      </c>
      <c r="K42" s="3282">
        <f>IF(I42&lt;=3,97,IF(I42&lt;=3.3,98,IF(I42&lt;=3.6,99,IF(I42&lt;=3.9,100,101))))</f>
        <v>100</v>
      </c>
      <c r="L42" s="3279">
        <f>3.9+3+5.1</f>
        <v>12</v>
      </c>
      <c r="M42" s="3279">
        <v>14.5</v>
      </c>
      <c r="N42" s="3279" t="s">
        <v>3770</v>
      </c>
      <c r="O42" s="3282">
        <f t="shared" si="1"/>
        <v>100</v>
      </c>
      <c r="P42" s="3279" t="s">
        <v>3775</v>
      </c>
      <c r="Q42" s="3282">
        <f t="shared" si="2"/>
        <v>100</v>
      </c>
      <c r="R42" s="3279" t="s">
        <v>3777</v>
      </c>
      <c r="S42" s="3282">
        <f t="shared" si="3"/>
        <v>100</v>
      </c>
      <c r="T42" s="3279" t="s">
        <v>3894</v>
      </c>
      <c r="U42" s="3282">
        <f t="shared" si="4"/>
        <v>100</v>
      </c>
      <c r="V42" s="3355" t="s">
        <v>3892</v>
      </c>
      <c r="W42" s="3356">
        <f t="shared" si="5"/>
        <v>100</v>
      </c>
      <c r="X42" s="3274">
        <f t="shared" si="6"/>
        <v>1</v>
      </c>
      <c r="Y42" s="3729"/>
      <c r="Z42" s="3729"/>
      <c r="AA42" s="3729"/>
      <c r="AB42" s="3729"/>
      <c r="AC42" s="3279">
        <f>ROUND(AA41*10000/(X41*G41+X42*G42+X43*G43),0)</f>
        <v>50200</v>
      </c>
      <c r="AD42" s="3279">
        <f t="shared" si="7"/>
        <v>771.12</v>
      </c>
      <c r="AE42" s="3729"/>
      <c r="AF42" s="3729"/>
      <c r="AG42" s="3729"/>
      <c r="AH42" s="3729"/>
      <c r="AI42" s="3729"/>
      <c r="AJ42" s="3729"/>
      <c r="AK42" s="3729"/>
      <c r="AL42" s="3733"/>
      <c r="AM42">
        <f ca="1">ROUND(AK41/10000,1)</f>
        <v>327</v>
      </c>
      <c r="AN42" s="3729"/>
      <c r="AO42" s="3729"/>
    </row>
    <row r="43" spans="1:41" hidden="1">
      <c r="A43" s="3279">
        <v>3.23</v>
      </c>
      <c r="B43" s="3279"/>
      <c r="D43" s="3731"/>
      <c r="E43" s="3274">
        <v>100</v>
      </c>
      <c r="F43" s="3278">
        <v>2</v>
      </c>
      <c r="G43" s="3278">
        <f>房源表及成交价!J15</f>
        <v>92.47</v>
      </c>
      <c r="H43" s="3282">
        <v>100</v>
      </c>
      <c r="I43" s="3279">
        <v>3.3</v>
      </c>
      <c r="J43" s="3279">
        <v>3.23</v>
      </c>
      <c r="K43" s="3382">
        <v>97</v>
      </c>
      <c r="L43" s="3279">
        <f>3.9+8.1</f>
        <v>12</v>
      </c>
      <c r="M43" s="3279">
        <v>14.5</v>
      </c>
      <c r="N43" s="3279" t="s">
        <v>3770</v>
      </c>
      <c r="O43" s="3382">
        <f t="shared" si="1"/>
        <v>100</v>
      </c>
      <c r="P43" s="3279" t="s">
        <v>3775</v>
      </c>
      <c r="Q43" s="3382">
        <f t="shared" si="2"/>
        <v>100</v>
      </c>
      <c r="R43" s="3279" t="s">
        <v>3777</v>
      </c>
      <c r="S43" s="3382">
        <f t="shared" si="3"/>
        <v>100</v>
      </c>
      <c r="T43" s="3279" t="s">
        <v>3892</v>
      </c>
      <c r="U43" s="3382">
        <f t="shared" si="4"/>
        <v>110</v>
      </c>
      <c r="V43" s="3355" t="s">
        <v>3894</v>
      </c>
      <c r="W43" s="3356">
        <f t="shared" si="5"/>
        <v>100</v>
      </c>
      <c r="X43" s="3274">
        <f t="shared" si="6"/>
        <v>1.0669999999999999</v>
      </c>
      <c r="Y43" s="3730"/>
      <c r="Z43" s="3730"/>
      <c r="AA43" s="3730"/>
      <c r="AB43" s="3730"/>
      <c r="AC43" s="3278">
        <f>ROUND(AC42*X43,0)</f>
        <v>53563</v>
      </c>
      <c r="AD43" s="3279">
        <f t="shared" si="7"/>
        <v>495.3</v>
      </c>
      <c r="AE43" s="3730"/>
      <c r="AF43" s="3730"/>
      <c r="AG43" s="3730"/>
      <c r="AH43" s="3730"/>
      <c r="AI43" s="3730"/>
      <c r="AJ43" s="3730"/>
      <c r="AK43" s="3730"/>
      <c r="AL43" s="3734"/>
      <c r="AN43" s="3730"/>
      <c r="AO43" s="3730"/>
    </row>
    <row r="44" spans="1:41" hidden="1">
      <c r="A44" s="3277">
        <v>3.43</v>
      </c>
      <c r="B44" s="3277" t="s">
        <v>3729</v>
      </c>
      <c r="D44" s="3727">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81">
        <f t="shared" si="1"/>
        <v>70</v>
      </c>
      <c r="P44" s="3286" t="s">
        <v>3774</v>
      </c>
      <c r="Q44" s="3281">
        <f t="shared" si="2"/>
        <v>80</v>
      </c>
      <c r="R44" s="3286" t="s">
        <v>3776</v>
      </c>
      <c r="S44" s="3281">
        <f t="shared" si="3"/>
        <v>90</v>
      </c>
      <c r="T44" s="3286" t="s">
        <v>3897</v>
      </c>
      <c r="U44" s="3281">
        <f t="shared" si="4"/>
        <v>70</v>
      </c>
      <c r="V44" s="3357" t="s">
        <v>3916</v>
      </c>
      <c r="W44" s="3356">
        <f t="shared" si="5"/>
        <v>100</v>
      </c>
      <c r="X44" s="3273">
        <f t="shared" si="6"/>
        <v>0.3493</v>
      </c>
      <c r="Y44" s="3728">
        <f t="shared" ref="Y44" si="102">ROUND((X44*G44+X45*G45+X46*G46)/Z44,4)</f>
        <v>0.68100000000000005</v>
      </c>
      <c r="Z44" s="3728">
        <f t="shared" si="30"/>
        <v>687.33999999999992</v>
      </c>
      <c r="AA44" s="3728">
        <f>房源表及成交价!R16</f>
        <v>2784.9094</v>
      </c>
      <c r="AB44" s="3728">
        <f t="shared" ref="AB44" si="103">ROUND(AA44/Z44*10000,0)</f>
        <v>40517</v>
      </c>
      <c r="AC44" s="3281">
        <f>ROUND(AC45*X44,0)</f>
        <v>20782</v>
      </c>
      <c r="AD44" s="3286">
        <f t="shared" si="7"/>
        <v>733.81</v>
      </c>
      <c r="AE44" s="3728">
        <v>1</v>
      </c>
      <c r="AF44" s="3728">
        <f ca="1">VLOOKUP(AE44,标定地价!$O$16:$R$19,4,0)</f>
        <v>6822</v>
      </c>
      <c r="AG44" s="3728">
        <f t="shared" ref="AG44" si="104">$AG$2</f>
        <v>1.01</v>
      </c>
      <c r="AH44" s="3728">
        <v>1.02</v>
      </c>
      <c r="AI44" s="3728">
        <f t="shared" ref="AI44" ca="1" si="105">ROUND(AF44*AG44*AH44,0)</f>
        <v>7028</v>
      </c>
      <c r="AJ44" s="3728">
        <f t="shared" ref="AJ44" ca="1" si="106">AC44-AI44</f>
        <v>13754</v>
      </c>
      <c r="AK44" s="3728">
        <f t="shared" ca="1" si="12"/>
        <v>4856537.4000000004</v>
      </c>
      <c r="AL44" s="3732">
        <f t="shared" ref="AL44" ca="1" si="107">ROUND(AK44/AA44/10000,4)</f>
        <v>0.1744</v>
      </c>
      <c r="AN44" s="3728">
        <v>4856184.3000000007</v>
      </c>
      <c r="AO44" s="3728">
        <f t="shared" ref="AO44" ca="1" si="108">AK44-AN44</f>
        <v>353.09999999962747</v>
      </c>
    </row>
    <row r="45" spans="1:41" hidden="1">
      <c r="A45" s="3277" t="s">
        <v>3755</v>
      </c>
      <c r="B45" s="3277"/>
      <c r="D45" s="3727"/>
      <c r="E45" s="3273">
        <v>100</v>
      </c>
      <c r="F45" s="3276">
        <v>1</v>
      </c>
      <c r="G45" s="3276">
        <f>房源表及成交价!I16</f>
        <v>199.67</v>
      </c>
      <c r="H45" s="3281">
        <v>100</v>
      </c>
      <c r="I45" s="3277">
        <v>4.2</v>
      </c>
      <c r="J45" s="3277">
        <v>4.04</v>
      </c>
      <c r="K45" s="3281">
        <f>IF(I45&lt;=3,96,IF(I45&lt;=3.3,97,IF(I45&lt;=3.6,98,IF(I45&lt;=3.9,99,100))))</f>
        <v>100</v>
      </c>
      <c r="L45" s="3277">
        <f>4.3+4.2+7.9</f>
        <v>16.399999999999999</v>
      </c>
      <c r="M45" s="3277">
        <v>13.2</v>
      </c>
      <c r="N45" s="3277" t="s">
        <v>3770</v>
      </c>
      <c r="O45" s="3281">
        <f t="shared" si="1"/>
        <v>100</v>
      </c>
      <c r="P45" s="3277" t="s">
        <v>3775</v>
      </c>
      <c r="Q45" s="3281">
        <f t="shared" si="2"/>
        <v>100</v>
      </c>
      <c r="R45" s="3277" t="s">
        <v>3777</v>
      </c>
      <c r="S45" s="3281">
        <f t="shared" si="3"/>
        <v>100</v>
      </c>
      <c r="T45" s="3277" t="s">
        <v>3894</v>
      </c>
      <c r="U45" s="3281">
        <f t="shared" si="4"/>
        <v>100</v>
      </c>
      <c r="V45" s="3355" t="s">
        <v>3892</v>
      </c>
      <c r="W45" s="3356">
        <f t="shared" si="5"/>
        <v>100</v>
      </c>
      <c r="X45" s="3273">
        <f t="shared" si="6"/>
        <v>1</v>
      </c>
      <c r="Y45" s="3729"/>
      <c r="Z45" s="3729"/>
      <c r="AA45" s="3729"/>
      <c r="AB45" s="3729"/>
      <c r="AC45" s="3276">
        <f>ROUND(AA44*10000/(X44*G44+X45*G45+X46*G46),0)</f>
        <v>59497</v>
      </c>
      <c r="AD45" s="3277">
        <f t="shared" si="7"/>
        <v>1187.98</v>
      </c>
      <c r="AE45" s="3729"/>
      <c r="AF45" s="3729"/>
      <c r="AG45" s="3729"/>
      <c r="AH45" s="3729"/>
      <c r="AI45" s="3729"/>
      <c r="AJ45" s="3729"/>
      <c r="AK45" s="3729"/>
      <c r="AL45" s="3733"/>
      <c r="AM45">
        <f ca="1">ROUND(AK44/10000,1)</f>
        <v>485.7</v>
      </c>
      <c r="AN45" s="3729"/>
      <c r="AO45" s="3729"/>
    </row>
    <row r="46" spans="1:41" hidden="1">
      <c r="A46" s="3277">
        <v>3.12</v>
      </c>
      <c r="B46" s="3277"/>
      <c r="D46" s="3727"/>
      <c r="E46" s="3273">
        <v>100</v>
      </c>
      <c r="F46" s="3276">
        <v>2</v>
      </c>
      <c r="G46" s="3276">
        <f>房源表及成交价!J16</f>
        <v>134.57</v>
      </c>
      <c r="H46" s="3281">
        <v>100</v>
      </c>
      <c r="I46" s="3277">
        <v>3.4</v>
      </c>
      <c r="J46" s="3277">
        <v>3.12</v>
      </c>
      <c r="K46" s="3382">
        <v>98</v>
      </c>
      <c r="L46" s="3277">
        <f>4.3+4.2+7.9</f>
        <v>16.399999999999999</v>
      </c>
      <c r="M46" s="3277">
        <v>13.2</v>
      </c>
      <c r="N46" s="3277" t="s">
        <v>3770</v>
      </c>
      <c r="O46" s="3382">
        <f t="shared" si="1"/>
        <v>100</v>
      </c>
      <c r="P46" s="3277" t="s">
        <v>3775</v>
      </c>
      <c r="Q46" s="3382">
        <f t="shared" si="2"/>
        <v>100</v>
      </c>
      <c r="R46" s="3277" t="s">
        <v>3777</v>
      </c>
      <c r="S46" s="3382">
        <f t="shared" si="3"/>
        <v>100</v>
      </c>
      <c r="T46" s="3277" t="s">
        <v>3892</v>
      </c>
      <c r="U46" s="3382">
        <f t="shared" si="4"/>
        <v>110</v>
      </c>
      <c r="V46" s="3355" t="s">
        <v>3894</v>
      </c>
      <c r="W46" s="3356">
        <f t="shared" si="5"/>
        <v>100</v>
      </c>
      <c r="X46" s="3273">
        <f t="shared" si="6"/>
        <v>1.0780000000000001</v>
      </c>
      <c r="Y46" s="3730"/>
      <c r="Z46" s="3730"/>
      <c r="AA46" s="3730"/>
      <c r="AB46" s="3730"/>
      <c r="AC46" s="3276">
        <f>ROUND(AC45*X46,0)</f>
        <v>64138</v>
      </c>
      <c r="AD46" s="3277">
        <f t="shared" si="7"/>
        <v>863.11</v>
      </c>
      <c r="AE46" s="3730"/>
      <c r="AF46" s="3730"/>
      <c r="AG46" s="3730"/>
      <c r="AH46" s="3730"/>
      <c r="AI46" s="3730"/>
      <c r="AJ46" s="3730"/>
      <c r="AK46" s="3730"/>
      <c r="AL46" s="3734"/>
      <c r="AN46" s="3730"/>
      <c r="AO46" s="3730"/>
    </row>
    <row r="47" spans="1:41" hidden="1">
      <c r="A47" s="3279">
        <v>3.45</v>
      </c>
      <c r="B47" s="3279" t="s">
        <v>3729</v>
      </c>
      <c r="D47" s="3731">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82">
        <f t="shared" si="1"/>
        <v>70</v>
      </c>
      <c r="P47" s="3279" t="s">
        <v>3774</v>
      </c>
      <c r="Q47" s="3282">
        <f t="shared" si="2"/>
        <v>80</v>
      </c>
      <c r="R47" s="3279" t="s">
        <v>3776</v>
      </c>
      <c r="S47" s="3282">
        <f t="shared" si="3"/>
        <v>90</v>
      </c>
      <c r="T47" s="3279" t="s">
        <v>3900</v>
      </c>
      <c r="U47" s="3282">
        <f t="shared" si="4"/>
        <v>70</v>
      </c>
      <c r="V47" s="3355" t="s">
        <v>3916</v>
      </c>
      <c r="W47" s="3356">
        <f t="shared" si="5"/>
        <v>100</v>
      </c>
      <c r="X47" s="3274">
        <f t="shared" si="6"/>
        <v>0.3493</v>
      </c>
      <c r="Y47" s="3728">
        <f t="shared" ref="Y47" si="109">ROUND((X47*G47+X48*G48+X49*G49)/Z47,4)</f>
        <v>0.63959999999999995</v>
      </c>
      <c r="Z47" s="3728">
        <f t="shared" si="30"/>
        <v>785.45</v>
      </c>
      <c r="AA47" s="3728">
        <f>房源表及成交价!R17</f>
        <v>2624.7078000000001</v>
      </c>
      <c r="AB47" s="3728">
        <f t="shared" ref="AB47" si="110">ROUND(AA47/Z47*10000,0)</f>
        <v>33417</v>
      </c>
      <c r="AC47" s="3282">
        <f>ROUND(AC48*X47,0)</f>
        <v>18251</v>
      </c>
      <c r="AD47" s="3279">
        <f t="shared" si="7"/>
        <v>823.5</v>
      </c>
      <c r="AE47" s="3728">
        <v>1</v>
      </c>
      <c r="AF47" s="3728">
        <f ca="1">VLOOKUP(AE47,标定地价!$O$16:$R$19,4,0)</f>
        <v>6822</v>
      </c>
      <c r="AG47" s="3728">
        <f t="shared" ref="AG47" si="111">$AG$2</f>
        <v>1.01</v>
      </c>
      <c r="AH47" s="3728">
        <v>1.02</v>
      </c>
      <c r="AI47" s="3728">
        <f ca="1">ROUND(AF47*AG47*AH47,0)</f>
        <v>7028</v>
      </c>
      <c r="AJ47" s="3728">
        <f t="shared" ref="AJ47" ca="1" si="112">AC47-AI47</f>
        <v>11223</v>
      </c>
      <c r="AK47" s="3728">
        <f t="shared" ca="1" si="12"/>
        <v>5063929.83</v>
      </c>
      <c r="AL47" s="3732">
        <f t="shared" ref="AL47" ca="1" si="113">ROUND(AK47/AA47/10000,4)</f>
        <v>0.19289999999999999</v>
      </c>
      <c r="AN47" s="3728">
        <v>5063478.62</v>
      </c>
      <c r="AO47" s="3728">
        <f t="shared" ref="AO47" ca="1" si="114">AK47-AN47</f>
        <v>451.20999999996275</v>
      </c>
    </row>
    <row r="48" spans="1:41" hidden="1">
      <c r="A48" s="3279" t="s">
        <v>3756</v>
      </c>
      <c r="B48" s="3279"/>
      <c r="D48" s="3731"/>
      <c r="E48" s="3274">
        <v>100</v>
      </c>
      <c r="F48" s="3278">
        <v>1</v>
      </c>
      <c r="G48" s="3278">
        <f>房源表及成交价!I17</f>
        <v>199.67</v>
      </c>
      <c r="H48" s="3282">
        <v>100</v>
      </c>
      <c r="I48" s="3279">
        <v>4.2</v>
      </c>
      <c r="J48" s="3279">
        <v>4.09</v>
      </c>
      <c r="K48" s="3282">
        <f>IF(I48&lt;=3,96,IF(I48&lt;=3.3,97,IF(I48&lt;=3.6,98,IF(I48&lt;=3.9,99,100))))</f>
        <v>100</v>
      </c>
      <c r="L48" s="3279">
        <f>7.9+4.2+4.3</f>
        <v>16.400000000000002</v>
      </c>
      <c r="M48" s="3279">
        <v>13.2</v>
      </c>
      <c r="N48" s="3279" t="s">
        <v>3770</v>
      </c>
      <c r="O48" s="3282">
        <f t="shared" si="1"/>
        <v>100</v>
      </c>
      <c r="P48" s="3279" t="s">
        <v>3775</v>
      </c>
      <c r="Q48" s="3282">
        <f t="shared" si="2"/>
        <v>100</v>
      </c>
      <c r="R48" s="3279" t="s">
        <v>3777</v>
      </c>
      <c r="S48" s="3282">
        <f t="shared" si="3"/>
        <v>100</v>
      </c>
      <c r="T48" s="3279" t="s">
        <v>3901</v>
      </c>
      <c r="U48" s="3282">
        <f t="shared" si="4"/>
        <v>100</v>
      </c>
      <c r="V48" s="3355" t="s">
        <v>3892</v>
      </c>
      <c r="W48" s="3356">
        <f t="shared" si="5"/>
        <v>100</v>
      </c>
      <c r="X48" s="3274">
        <f t="shared" si="6"/>
        <v>1</v>
      </c>
      <c r="Y48" s="3729"/>
      <c r="Z48" s="3729"/>
      <c r="AA48" s="3729"/>
      <c r="AB48" s="3729"/>
      <c r="AC48" s="3279">
        <f>ROUND(AA47*10000/(X47*G47+X48*G48+X49*G49),0)</f>
        <v>52249</v>
      </c>
      <c r="AD48" s="3279">
        <f t="shared" si="7"/>
        <v>1043.26</v>
      </c>
      <c r="AE48" s="3729"/>
      <c r="AF48" s="3729"/>
      <c r="AG48" s="3729"/>
      <c r="AH48" s="3729"/>
      <c r="AI48" s="3729"/>
      <c r="AJ48" s="3729"/>
      <c r="AK48" s="3729"/>
      <c r="AL48" s="3733"/>
      <c r="AM48">
        <f ca="1">ROUND(AK47/10000,1)</f>
        <v>506.4</v>
      </c>
      <c r="AN48" s="3729"/>
      <c r="AO48" s="3729"/>
    </row>
    <row r="49" spans="1:41" hidden="1">
      <c r="A49" s="3279">
        <v>3.3</v>
      </c>
      <c r="D49" s="3731"/>
      <c r="E49" s="3274">
        <v>100</v>
      </c>
      <c r="F49" s="3278">
        <v>2</v>
      </c>
      <c r="G49" s="3278">
        <f>房源表及成交价!J17</f>
        <v>134.57</v>
      </c>
      <c r="H49" s="3282">
        <v>100</v>
      </c>
      <c r="I49" s="3279">
        <v>3.4</v>
      </c>
      <c r="J49" s="3279">
        <v>3.3</v>
      </c>
      <c r="K49" s="3382">
        <v>98</v>
      </c>
      <c r="L49" s="3279">
        <f>7.9+4.2+4.3</f>
        <v>16.400000000000002</v>
      </c>
      <c r="M49" s="3279">
        <v>13.2</v>
      </c>
      <c r="N49" s="3279" t="s">
        <v>3770</v>
      </c>
      <c r="O49" s="3382">
        <f t="shared" si="1"/>
        <v>100</v>
      </c>
      <c r="P49" s="3279" t="s">
        <v>3775</v>
      </c>
      <c r="Q49" s="3382">
        <f t="shared" si="2"/>
        <v>100</v>
      </c>
      <c r="R49" s="3279" t="s">
        <v>3777</v>
      </c>
      <c r="S49" s="3382">
        <f t="shared" si="3"/>
        <v>100</v>
      </c>
      <c r="T49" s="3279" t="s">
        <v>3902</v>
      </c>
      <c r="U49" s="3382">
        <f t="shared" si="4"/>
        <v>110</v>
      </c>
      <c r="V49" s="3355" t="s">
        <v>3894</v>
      </c>
      <c r="W49" s="3356">
        <f t="shared" si="5"/>
        <v>100</v>
      </c>
      <c r="X49" s="3274">
        <f t="shared" si="6"/>
        <v>1.0780000000000001</v>
      </c>
      <c r="Y49" s="3730"/>
      <c r="Z49" s="3730"/>
      <c r="AA49" s="3730"/>
      <c r="AB49" s="3730"/>
      <c r="AC49" s="3278">
        <f>ROUND(AC48*X49,0)</f>
        <v>56324</v>
      </c>
      <c r="AD49" s="3279">
        <f t="shared" si="7"/>
        <v>757.95</v>
      </c>
      <c r="AE49" s="3730"/>
      <c r="AF49" s="3730"/>
      <c r="AG49" s="3730"/>
      <c r="AH49" s="3730"/>
      <c r="AI49" s="3730"/>
      <c r="AJ49" s="3730"/>
      <c r="AK49" s="3730"/>
      <c r="AL49" s="3734"/>
      <c r="AN49" s="3730"/>
      <c r="AO49" s="3730"/>
    </row>
    <row r="50" spans="1:41">
      <c r="A50" s="3286"/>
      <c r="D50" s="3340"/>
      <c r="E50" s="3275"/>
      <c r="F50" s="3341"/>
      <c r="G50" s="3341"/>
      <c r="H50" s="3342"/>
      <c r="I50" s="3286"/>
      <c r="J50" s="3286"/>
      <c r="K50" s="3342"/>
      <c r="L50" s="3286"/>
      <c r="M50" s="3286"/>
      <c r="N50" s="3286"/>
      <c r="O50" s="3342"/>
      <c r="Q50" s="3342"/>
      <c r="S50" s="3342"/>
      <c r="U50" s="3342"/>
      <c r="W50" s="3357"/>
      <c r="X50" s="3286"/>
      <c r="Y50" s="3286"/>
      <c r="Z50" s="3286"/>
      <c r="AA50" s="3284"/>
      <c r="AB50" s="3284"/>
      <c r="AC50" s="3341"/>
      <c r="AE50" s="3284"/>
      <c r="AF50" s="3284"/>
      <c r="AG50" s="3284"/>
      <c r="AH50" s="3284"/>
      <c r="AI50" s="3284"/>
      <c r="AJ50" s="3284"/>
      <c r="AK50" s="3284"/>
      <c r="AL50" s="3344"/>
      <c r="AN50" s="3284"/>
      <c r="AO50" s="3284"/>
    </row>
    <row r="51" spans="1:41">
      <c r="A51" s="3286"/>
      <c r="D51" s="3340"/>
      <c r="E51" s="3275"/>
      <c r="F51" s="3341"/>
      <c r="G51" s="3341"/>
      <c r="H51" s="3342"/>
      <c r="I51" s="3286"/>
      <c r="J51" s="3286"/>
      <c r="K51" s="3342"/>
      <c r="L51" s="3286"/>
      <c r="M51" s="3286"/>
      <c r="N51" s="3286"/>
      <c r="O51" s="3342"/>
      <c r="Q51" s="3342"/>
      <c r="S51" s="3342"/>
      <c r="U51" s="3342"/>
      <c r="W51" s="3357"/>
      <c r="X51" s="3286"/>
      <c r="Y51" s="3286"/>
      <c r="Z51" s="3286"/>
      <c r="AA51" s="3284"/>
      <c r="AB51" s="3284"/>
      <c r="AC51" s="3341"/>
      <c r="AE51" s="3284"/>
      <c r="AF51" s="3284"/>
      <c r="AG51" s="3284"/>
      <c r="AH51" s="3284"/>
      <c r="AI51" s="3284"/>
      <c r="AJ51" s="3284"/>
      <c r="AK51" s="3284"/>
      <c r="AL51" s="3344"/>
      <c r="AN51" s="3284"/>
      <c r="AO51" s="3284"/>
    </row>
    <row r="52" spans="1:41">
      <c r="A52" s="3286"/>
      <c r="D52" s="3340"/>
      <c r="E52" s="3275"/>
      <c r="F52" s="3341"/>
      <c r="G52" s="3341"/>
      <c r="H52" s="3342"/>
      <c r="I52" s="3286"/>
      <c r="J52" s="3286"/>
      <c r="K52" s="3342"/>
      <c r="L52" s="3286"/>
      <c r="M52" s="3286"/>
      <c r="N52" s="3286"/>
      <c r="O52" s="3342"/>
      <c r="Q52" s="3342"/>
      <c r="S52" s="3342"/>
      <c r="U52" s="3342"/>
      <c r="W52" s="3357"/>
      <c r="X52" s="3286"/>
      <c r="Y52" s="3286"/>
      <c r="Z52" s="3286"/>
      <c r="AA52" s="3284"/>
      <c r="AB52" s="3284"/>
      <c r="AC52" s="3341"/>
      <c r="AE52" s="3284"/>
      <c r="AF52" s="3284"/>
      <c r="AG52" s="3284"/>
      <c r="AH52" s="3284"/>
      <c r="AI52" s="3284"/>
      <c r="AJ52" s="3284"/>
      <c r="AK52" s="3284"/>
      <c r="AL52" s="3344"/>
      <c r="AN52" s="3284"/>
      <c r="AO52" s="3284"/>
    </row>
    <row r="53" spans="1:41">
      <c r="A53" s="3286"/>
      <c r="D53" s="3340"/>
      <c r="E53" s="3275"/>
      <c r="F53" s="3341"/>
      <c r="G53" s="3341"/>
      <c r="H53" s="3342"/>
      <c r="I53" s="3286"/>
      <c r="J53" s="3286"/>
      <c r="K53" s="3342"/>
      <c r="L53" s="3286"/>
      <c r="M53" s="3286"/>
      <c r="N53" s="3286"/>
      <c r="O53" s="3342"/>
      <c r="Q53" s="3342"/>
      <c r="S53" s="3342"/>
      <c r="U53" s="3342"/>
      <c r="W53" s="3357"/>
      <c r="X53" s="3286"/>
      <c r="Y53" s="3286"/>
      <c r="Z53" s="3286"/>
      <c r="AA53" s="3284"/>
      <c r="AB53" s="3284"/>
      <c r="AC53" s="3341"/>
      <c r="AE53" s="3284"/>
      <c r="AF53" s="3284"/>
      <c r="AG53" s="3284"/>
      <c r="AH53" s="3284"/>
      <c r="AI53" s="3284"/>
      <c r="AJ53" s="3284"/>
      <c r="AK53" s="3284"/>
      <c r="AL53" s="3344"/>
      <c r="AN53" s="3284"/>
      <c r="AO53" s="3284"/>
    </row>
    <row r="54" spans="1:41">
      <c r="A54" s="3286"/>
      <c r="D54" s="3340"/>
      <c r="E54" s="3284"/>
      <c r="F54" s="3341"/>
      <c r="G54" s="3341"/>
      <c r="H54" s="3342"/>
      <c r="I54" s="3286"/>
      <c r="J54" s="3286"/>
      <c r="K54" s="3342"/>
      <c r="L54" s="3286"/>
      <c r="M54" s="3286"/>
      <c r="N54" s="3285" t="s">
        <v>3387</v>
      </c>
      <c r="O54" s="3342" t="s">
        <v>3763</v>
      </c>
      <c r="P54" s="3284" t="s">
        <v>3764</v>
      </c>
      <c r="Q54" s="3342" t="s">
        <v>3762</v>
      </c>
      <c r="R54" s="3284" t="s">
        <v>3904</v>
      </c>
      <c r="S54" s="3342" t="s">
        <v>3905</v>
      </c>
      <c r="U54" s="3342"/>
      <c r="W54" s="3357"/>
      <c r="X54" s="3286"/>
      <c r="Y54" s="3286"/>
      <c r="Z54" s="3286"/>
      <c r="AA54" s="3284"/>
      <c r="AB54" s="3284"/>
      <c r="AC54" s="3341"/>
      <c r="AE54" s="3284"/>
      <c r="AF54" s="3284"/>
      <c r="AG54" s="3284"/>
      <c r="AH54" s="3284"/>
      <c r="AI54" s="3284"/>
      <c r="AJ54" s="3284"/>
      <c r="AK54" s="3284"/>
      <c r="AL54" s="3344"/>
      <c r="AN54" s="3284"/>
      <c r="AO54" s="3284"/>
    </row>
    <row r="55" spans="1:41">
      <c r="A55" s="3286"/>
      <c r="D55" s="3340"/>
      <c r="E55" s="3284"/>
      <c r="F55" s="3341"/>
      <c r="G55" s="3341"/>
      <c r="H55" s="3342"/>
      <c r="I55" s="3286"/>
      <c r="J55" s="3286"/>
      <c r="K55" s="3342"/>
      <c r="L55" s="3286"/>
      <c r="M55" s="3286"/>
      <c r="N55" s="3285">
        <v>2</v>
      </c>
      <c r="O55" s="3342">
        <f>P55+N55</f>
        <v>102</v>
      </c>
      <c r="P55" s="3284">
        <v>100</v>
      </c>
      <c r="Q55" s="3342">
        <f>P55-$N$55</f>
        <v>98</v>
      </c>
      <c r="R55" s="3284">
        <f>Q55-$N$55</f>
        <v>96</v>
      </c>
      <c r="S55" s="3342">
        <f>R55-$N$55</f>
        <v>94</v>
      </c>
      <c r="U55" s="3342"/>
      <c r="W55" s="3357"/>
      <c r="X55" s="3286"/>
      <c r="Y55" s="3286"/>
      <c r="Z55" s="3286"/>
      <c r="AA55" s="3284"/>
      <c r="AB55" s="3284"/>
      <c r="AC55" s="3341"/>
      <c r="AE55" s="3284"/>
      <c r="AF55" s="3284"/>
      <c r="AG55" s="3284"/>
      <c r="AH55" s="3284"/>
      <c r="AI55" s="3284"/>
      <c r="AJ55" s="3284"/>
      <c r="AK55" s="3284"/>
      <c r="AL55" s="3344"/>
      <c r="AN55" s="3284"/>
      <c r="AO55" s="3284"/>
    </row>
    <row r="56" spans="1:41">
      <c r="A56" s="3286"/>
      <c r="D56" s="3340"/>
      <c r="E56" s="3284"/>
      <c r="F56" s="3341"/>
      <c r="G56" s="3341"/>
      <c r="H56" s="3342"/>
      <c r="I56" s="3286"/>
      <c r="J56" s="3286"/>
      <c r="K56" s="3342"/>
      <c r="L56" s="3286"/>
      <c r="M56"/>
      <c r="N56" s="3285" t="s">
        <v>3480</v>
      </c>
      <c r="O56" s="3342" t="s">
        <v>3743</v>
      </c>
      <c r="P56" s="3284" t="s">
        <v>3765</v>
      </c>
      <c r="Q56" s="3342" t="s">
        <v>3766</v>
      </c>
      <c r="R56" s="3284" t="s">
        <v>3767</v>
      </c>
      <c r="S56" s="3342" t="s">
        <v>3768</v>
      </c>
      <c r="U56" s="3342"/>
      <c r="W56" s="3357"/>
      <c r="X56" s="3286"/>
      <c r="Y56" s="3286"/>
      <c r="Z56" s="3286"/>
      <c r="AA56" s="3284"/>
      <c r="AB56" s="3284"/>
      <c r="AC56" s="3284"/>
      <c r="AD56" s="3284"/>
      <c r="AE56" s="3284"/>
      <c r="AF56" s="3284"/>
      <c r="AG56" s="3284"/>
      <c r="AH56" s="3284"/>
      <c r="AI56" s="3284"/>
      <c r="AJ56" s="3284"/>
      <c r="AK56" s="3284"/>
      <c r="AL56" s="3344"/>
      <c r="AN56" s="3284"/>
      <c r="AO56" s="3284"/>
    </row>
    <row r="57" spans="1:41">
      <c r="E57" s="3284"/>
      <c r="M57"/>
      <c r="N57" s="3285">
        <v>1</v>
      </c>
      <c r="O57" s="3198">
        <f>P57-$N$57</f>
        <v>97</v>
      </c>
      <c r="P57" s="3284">
        <f>Q57-$N$57</f>
        <v>98</v>
      </c>
      <c r="Q57" s="3198">
        <f>R57-$N$57</f>
        <v>99</v>
      </c>
      <c r="R57" s="3284">
        <v>100</v>
      </c>
      <c r="S57" s="3198">
        <f>R57+N57</f>
        <v>101</v>
      </c>
      <c r="W57" s="3357"/>
      <c r="X57" s="3286"/>
      <c r="Y57" s="3286"/>
      <c r="Z57" s="3286"/>
      <c r="AC57" s="3284"/>
      <c r="AD57" s="3284"/>
      <c r="AE57" s="3284"/>
      <c r="AF57" s="3284"/>
      <c r="AG57" s="3284"/>
      <c r="AL57" s="3345"/>
    </row>
    <row r="58" spans="1:41">
      <c r="E58" s="3284"/>
      <c r="O58" s="3198" t="s">
        <v>3743</v>
      </c>
      <c r="P58" s="3284" t="s">
        <v>3765</v>
      </c>
      <c r="Q58" s="3198" t="s">
        <v>3766</v>
      </c>
      <c r="R58" s="3284" t="s">
        <v>3767</v>
      </c>
      <c r="S58" s="3198" t="s">
        <v>3768</v>
      </c>
      <c r="W58" s="3357"/>
      <c r="X58" s="3286"/>
      <c r="Y58" s="3286"/>
      <c r="Z58" s="3286"/>
      <c r="AB58" s="3284"/>
      <c r="AC58" s="3284"/>
      <c r="AD58" s="3284"/>
      <c r="AE58" s="3284"/>
      <c r="AF58" s="3284"/>
      <c r="AG58" s="3284"/>
      <c r="AH58" s="1448"/>
    </row>
    <row r="59" spans="1:41">
      <c r="D59" s="3283"/>
      <c r="E59" s="3284"/>
      <c r="F59" s="3283"/>
      <c r="G59" s="3283"/>
      <c r="H59" s="3283"/>
      <c r="I59" s="3283"/>
      <c r="J59" s="3283"/>
      <c r="K59" s="3283"/>
      <c r="L59" s="3283"/>
      <c r="O59" s="3283">
        <f>P59-$N$57</f>
        <v>96</v>
      </c>
      <c r="P59" s="3284">
        <f>Q59-$N$57</f>
        <v>97</v>
      </c>
      <c r="Q59" s="3283">
        <f>R59-$N$57</f>
        <v>98</v>
      </c>
      <c r="R59" s="3284">
        <f>S59-$N$57</f>
        <v>99</v>
      </c>
      <c r="S59" s="3283">
        <v>100</v>
      </c>
      <c r="U59" s="3283"/>
      <c r="W59" s="3357"/>
      <c r="X59" s="3286"/>
      <c r="Y59" s="3286"/>
      <c r="Z59" s="3286"/>
      <c r="AA59" s="3283"/>
      <c r="AB59" s="3283"/>
      <c r="AC59" s="3284"/>
      <c r="AD59" s="3284" t="s">
        <v>4001</v>
      </c>
      <c r="AE59" s="3284"/>
      <c r="AF59" s="3284">
        <v>97</v>
      </c>
      <c r="AG59" s="3284">
        <v>3.3</v>
      </c>
      <c r="AH59" s="3284"/>
      <c r="AI59" s="3284">
        <v>3.9</v>
      </c>
      <c r="AJ59" s="3284">
        <v>100</v>
      </c>
      <c r="AK59" s="3283"/>
      <c r="AL59" s="3346"/>
      <c r="AN59" s="3283"/>
      <c r="AO59" s="3283"/>
    </row>
    <row r="60" spans="1:41">
      <c r="E60" s="3284"/>
      <c r="L60" s="3284"/>
      <c r="N60" s="3284"/>
      <c r="P60" s="3284"/>
      <c r="R60" s="3284"/>
      <c r="W60" s="3357"/>
      <c r="X60" s="3286"/>
      <c r="Y60" s="3286"/>
      <c r="Z60" s="3286"/>
      <c r="AA60" s="3284"/>
      <c r="AB60" s="3284"/>
      <c r="AC60" s="3284"/>
      <c r="AD60" s="3284" t="s">
        <v>3998</v>
      </c>
      <c r="AE60" s="3284"/>
      <c r="AF60" s="3284">
        <v>98</v>
      </c>
      <c r="AG60" s="3284"/>
      <c r="AH60" s="3284"/>
      <c r="AI60" s="3284">
        <v>3.6</v>
      </c>
      <c r="AJ60" s="3284">
        <v>99</v>
      </c>
      <c r="AK60" s="3284"/>
      <c r="AL60" s="3347"/>
      <c r="AN60" s="3284"/>
      <c r="AO60" s="3284"/>
    </row>
    <row r="61" spans="1:41">
      <c r="D61" s="3285"/>
      <c r="E61" s="3284"/>
      <c r="I61" s="3285" t="s">
        <v>3480</v>
      </c>
      <c r="J61" s="3284"/>
      <c r="K61" s="3198">
        <v>1</v>
      </c>
      <c r="L61" s="3284"/>
      <c r="M61" s="3284"/>
      <c r="N61" s="3284"/>
      <c r="W61" s="3357"/>
      <c r="X61" s="3286"/>
      <c r="Y61" s="3286"/>
      <c r="Z61" s="3286"/>
      <c r="AA61" s="3284"/>
      <c r="AB61" s="3284"/>
      <c r="AC61" s="3284"/>
      <c r="AD61" s="3286" t="s">
        <v>3999</v>
      </c>
      <c r="AE61" s="3284"/>
      <c r="AF61" s="3284">
        <v>99</v>
      </c>
      <c r="AG61" s="3284"/>
      <c r="AH61" s="3284"/>
      <c r="AI61" s="3284">
        <v>3.3</v>
      </c>
      <c r="AJ61" s="3284">
        <v>97</v>
      </c>
      <c r="AK61" s="3284"/>
      <c r="AL61" s="3347"/>
      <c r="AN61" s="3284"/>
      <c r="AO61" s="3284"/>
    </row>
    <row r="62" spans="1:41">
      <c r="D62" s="3285"/>
      <c r="E62" s="3285"/>
      <c r="F62" s="3284"/>
      <c r="H62" s="3284"/>
      <c r="I62" s="3284" t="s">
        <v>3922</v>
      </c>
      <c r="K62" s="3284">
        <f>K63-$K$61</f>
        <v>97</v>
      </c>
      <c r="L62" s="3284"/>
      <c r="M62" s="3284"/>
      <c r="N62" s="3285" t="s">
        <v>3476</v>
      </c>
      <c r="O62" s="3284">
        <v>15</v>
      </c>
      <c r="P62" s="3285" t="s">
        <v>3477</v>
      </c>
      <c r="Q62" s="3284">
        <v>20</v>
      </c>
      <c r="R62" s="3285" t="s">
        <v>3935</v>
      </c>
      <c r="S62" s="3284">
        <v>10</v>
      </c>
      <c r="T62" s="3275" t="s">
        <v>3906</v>
      </c>
      <c r="U62" s="3284">
        <v>15</v>
      </c>
      <c r="V62" s="3358" t="s">
        <v>3911</v>
      </c>
      <c r="W62" s="3359">
        <v>0</v>
      </c>
      <c r="X62" s="3285"/>
      <c r="Y62" s="3284"/>
      <c r="Z62" s="3284"/>
      <c r="AA62" s="3284"/>
      <c r="AB62" s="3284"/>
      <c r="AC62" s="3284"/>
      <c r="AD62" s="3284" t="s">
        <v>4000</v>
      </c>
      <c r="AE62" s="3284"/>
      <c r="AF62" s="3284">
        <v>100</v>
      </c>
      <c r="AG62" s="3284"/>
      <c r="AH62" s="3284"/>
      <c r="AI62" s="3284"/>
      <c r="AJ62" s="3284"/>
      <c r="AK62" s="3284"/>
      <c r="AL62" s="3347"/>
      <c r="AN62" s="3284"/>
      <c r="AO62" s="3284"/>
    </row>
    <row r="63" spans="1:41">
      <c r="D63" s="3285"/>
      <c r="E63" s="3284"/>
      <c r="F63" s="3284"/>
      <c r="H63" s="3284"/>
      <c r="I63" s="3284" t="s">
        <v>3766</v>
      </c>
      <c r="K63" s="3284">
        <f>K64-$K$61</f>
        <v>98</v>
      </c>
      <c r="L63" s="3284"/>
      <c r="M63" s="3284"/>
      <c r="N63" s="3284" t="s">
        <v>3770</v>
      </c>
      <c r="O63" s="3284">
        <v>100</v>
      </c>
      <c r="P63" s="3284" t="s">
        <v>3775</v>
      </c>
      <c r="Q63" s="3284">
        <v>100</v>
      </c>
      <c r="R63" s="3284" t="s">
        <v>3777</v>
      </c>
      <c r="S63" s="3284">
        <v>100</v>
      </c>
      <c r="T63" s="3286" t="s">
        <v>3893</v>
      </c>
      <c r="U63" s="3284">
        <v>110</v>
      </c>
      <c r="V63" s="3357" t="s">
        <v>3893</v>
      </c>
      <c r="W63" s="3360">
        <v>100</v>
      </c>
      <c r="X63" s="3284"/>
      <c r="Y63" s="3284"/>
      <c r="Z63" s="3284"/>
      <c r="AA63" s="3284"/>
      <c r="AB63" s="3284"/>
      <c r="AC63" s="3284"/>
      <c r="AD63" s="3284" t="s">
        <v>3768</v>
      </c>
      <c r="AE63" s="3284"/>
      <c r="AF63" s="3284"/>
      <c r="AG63" s="3284"/>
      <c r="AH63" s="3284"/>
      <c r="AI63" s="3284"/>
      <c r="AJ63" s="3284"/>
      <c r="AL63" s="3284"/>
      <c r="AN63" s="3284"/>
      <c r="AO63" s="3284"/>
    </row>
    <row r="64" spans="1:41">
      <c r="D64" s="3285"/>
      <c r="E64" s="3284"/>
      <c r="F64" s="3284"/>
      <c r="H64" s="3284"/>
      <c r="I64" s="3284" t="s">
        <v>3924</v>
      </c>
      <c r="K64" s="3284">
        <f>K65-$K$61</f>
        <v>99</v>
      </c>
      <c r="L64" s="3284"/>
      <c r="M64" s="3284"/>
      <c r="N64" s="3284" t="s">
        <v>3908</v>
      </c>
      <c r="O64" s="3284">
        <f>O63-$O$62</f>
        <v>85</v>
      </c>
      <c r="P64" s="3284" t="s">
        <v>3774</v>
      </c>
      <c r="Q64" s="3284">
        <f>Q63-$Q$62</f>
        <v>80</v>
      </c>
      <c r="R64" s="3284" t="s">
        <v>3776</v>
      </c>
      <c r="S64" s="3284">
        <f>S63-S62</f>
        <v>90</v>
      </c>
      <c r="T64" s="3383" t="s">
        <v>3895</v>
      </c>
      <c r="U64" s="3284">
        <v>100</v>
      </c>
      <c r="V64" s="3357" t="s">
        <v>3895</v>
      </c>
      <c r="W64" s="3360">
        <f>W63-$W$62</f>
        <v>100</v>
      </c>
      <c r="X64" s="3284"/>
      <c r="Y64" s="3284"/>
      <c r="Z64" s="3284"/>
      <c r="AA64" s="3284"/>
      <c r="AB64" s="3284"/>
      <c r="AC64" s="3284"/>
      <c r="AD64" s="3284"/>
      <c r="AE64" s="3284"/>
      <c r="AF64" s="3284"/>
      <c r="AG64" s="3284"/>
      <c r="AH64" s="3284"/>
      <c r="AI64" s="3284"/>
      <c r="AJ64" s="3284"/>
      <c r="AL64" s="3284"/>
      <c r="AN64" s="3284"/>
      <c r="AO64" s="3284"/>
    </row>
    <row r="65" spans="4:41">
      <c r="D65" s="3285"/>
      <c r="E65" s="3284"/>
      <c r="F65" s="3284"/>
      <c r="H65" s="3284"/>
      <c r="I65" s="3284" t="s">
        <v>3925</v>
      </c>
      <c r="K65" s="3284">
        <v>100</v>
      </c>
      <c r="L65" s="3284"/>
      <c r="M65" s="3284"/>
      <c r="N65" s="3284" t="s">
        <v>3769</v>
      </c>
      <c r="O65" s="3284">
        <f>O64-$O$62</f>
        <v>70</v>
      </c>
      <c r="P65" s="3284" t="s">
        <v>3773</v>
      </c>
      <c r="Q65" s="3284">
        <f>Q64-$Q$62</f>
        <v>60</v>
      </c>
      <c r="S65" s="3284"/>
      <c r="T65" s="3286" t="s">
        <v>3896</v>
      </c>
      <c r="U65" s="3284">
        <f>U64-$U$62</f>
        <v>85</v>
      </c>
      <c r="V65" s="3357" t="s">
        <v>3896</v>
      </c>
      <c r="W65" s="3360">
        <f t="shared" ref="W65:W67" si="115">W64-$W$62</f>
        <v>100</v>
      </c>
      <c r="X65" s="3284"/>
      <c r="Y65" s="3284"/>
      <c r="Z65" s="3284"/>
      <c r="AA65" s="3284"/>
      <c r="AB65" s="3284"/>
      <c r="AC65" s="3284"/>
      <c r="AD65" s="3284"/>
      <c r="AE65" s="3284"/>
      <c r="AF65" s="3284"/>
      <c r="AG65" s="3284"/>
      <c r="AH65" s="3284"/>
      <c r="AI65" s="3284"/>
      <c r="AJ65" s="3284"/>
      <c r="AL65" s="3284"/>
      <c r="AN65" s="3284"/>
      <c r="AO65" s="3284"/>
    </row>
    <row r="66" spans="4:41">
      <c r="D66" s="3285"/>
      <c r="E66" s="3284"/>
      <c r="F66" s="3284"/>
      <c r="H66" s="3284"/>
      <c r="I66" s="3284"/>
      <c r="K66" s="3284"/>
      <c r="L66" s="3284"/>
      <c r="M66" s="3284"/>
      <c r="N66" s="3284"/>
      <c r="O66" s="3284"/>
      <c r="Q66" s="3284"/>
      <c r="S66" s="3284"/>
      <c r="T66" s="3383" t="s">
        <v>3898</v>
      </c>
      <c r="U66" s="3284">
        <f>U65-$U$62</f>
        <v>70</v>
      </c>
      <c r="V66" s="3357" t="s">
        <v>3898</v>
      </c>
      <c r="W66" s="3360">
        <f t="shared" si="115"/>
        <v>100</v>
      </c>
      <c r="X66" s="3284"/>
      <c r="Y66" s="3284"/>
      <c r="Z66" s="3284"/>
      <c r="AA66" s="3284"/>
      <c r="AB66" s="3284"/>
      <c r="AC66" s="3284"/>
      <c r="AD66" s="3284" t="s">
        <v>3922</v>
      </c>
      <c r="AE66" s="3284"/>
      <c r="AF66" s="3284">
        <v>97</v>
      </c>
      <c r="AG66" s="3284"/>
      <c r="AH66" s="3284"/>
      <c r="AI66" s="3284"/>
      <c r="AJ66" s="3284"/>
      <c r="AL66" s="3284"/>
      <c r="AN66" s="3284"/>
      <c r="AO66" s="3284"/>
    </row>
    <row r="67" spans="4:41">
      <c r="D67" s="3285"/>
      <c r="F67" s="3284"/>
      <c r="I67" s="3284"/>
      <c r="L67" s="3284"/>
      <c r="M67" s="3284"/>
      <c r="T67" s="3286" t="s">
        <v>3899</v>
      </c>
      <c r="U67" s="3198">
        <f>U66-$U$62</f>
        <v>55</v>
      </c>
      <c r="V67" s="3357" t="s">
        <v>3899</v>
      </c>
      <c r="W67" s="3360">
        <f t="shared" si="115"/>
        <v>100</v>
      </c>
      <c r="X67" s="3284"/>
      <c r="Y67" s="3284"/>
      <c r="Z67" s="3284"/>
      <c r="AA67" s="3284"/>
      <c r="AB67" s="3284"/>
      <c r="AC67" s="3284"/>
      <c r="AD67" s="3286" t="s">
        <v>3766</v>
      </c>
      <c r="AE67" s="3284"/>
      <c r="AF67" s="3284">
        <v>98</v>
      </c>
      <c r="AG67" s="3284">
        <v>3.4</v>
      </c>
      <c r="AH67" s="3284"/>
      <c r="AI67" s="3284"/>
      <c r="AJ67" s="3284"/>
      <c r="AL67" s="3284"/>
      <c r="AN67" s="3284"/>
      <c r="AO67" s="3284"/>
    </row>
    <row r="68" spans="4:41">
      <c r="D68" s="3285"/>
      <c r="E68" s="3283"/>
      <c r="F68" s="3284"/>
      <c r="H68" s="3283"/>
      <c r="I68" s="3283"/>
      <c r="J68" s="3283"/>
      <c r="K68" s="3283"/>
      <c r="L68" s="3283"/>
      <c r="O68" s="3283"/>
      <c r="Q68" s="3283"/>
      <c r="S68" s="3283"/>
      <c r="U68" s="3283"/>
      <c r="W68" s="3361"/>
      <c r="X68" s="3283"/>
      <c r="Y68" s="3284"/>
      <c r="Z68" s="3284"/>
      <c r="AA68" s="3284"/>
      <c r="AB68" s="3284"/>
      <c r="AC68" s="3284"/>
      <c r="AD68" s="3284" t="s">
        <v>3767</v>
      </c>
      <c r="AE68" s="3284"/>
      <c r="AF68" s="3284">
        <v>99</v>
      </c>
      <c r="AG68" s="3284"/>
      <c r="AH68" s="3284"/>
      <c r="AI68" s="3284"/>
      <c r="AJ68" s="3284"/>
      <c r="AL68" s="3198"/>
      <c r="AN68" s="3284"/>
      <c r="AO68" s="3284"/>
    </row>
    <row r="69" spans="4:41">
      <c r="D69" s="3284"/>
      <c r="E69" s="3284"/>
      <c r="F69" s="3284"/>
      <c r="H69" s="3284"/>
      <c r="I69" s="3284" t="s">
        <v>3922</v>
      </c>
      <c r="J69" s="3284"/>
      <c r="K69" s="3284">
        <f>K70-$K$61</f>
        <v>98</v>
      </c>
      <c r="L69" s="3284"/>
      <c r="M69" s="3284"/>
      <c r="N69" s="3285" t="s">
        <v>3476</v>
      </c>
      <c r="O69" s="3284">
        <v>5</v>
      </c>
      <c r="Q69" s="3284"/>
      <c r="S69" s="3284"/>
      <c r="U69" s="3284"/>
      <c r="W69" s="3360"/>
      <c r="X69" s="3284"/>
      <c r="Y69" s="3284"/>
      <c r="Z69" s="3284"/>
      <c r="AA69" s="3284"/>
      <c r="AB69" s="3284"/>
      <c r="AC69" s="3284"/>
      <c r="AD69" s="3284" t="s">
        <v>3768</v>
      </c>
      <c r="AE69" s="3284"/>
      <c r="AF69" s="3284">
        <v>100</v>
      </c>
      <c r="AG69" s="3284"/>
      <c r="AH69" s="3284"/>
      <c r="AI69" s="3284"/>
      <c r="AJ69" s="3283"/>
      <c r="AK69" s="3283"/>
      <c r="AL69" s="3283"/>
      <c r="AN69" s="3284"/>
      <c r="AO69" s="3284"/>
    </row>
    <row r="70" spans="4:41">
      <c r="D70" s="3284"/>
      <c r="E70" s="3284"/>
      <c r="F70" s="3284"/>
      <c r="H70" s="3284"/>
      <c r="I70" s="3284" t="s">
        <v>3923</v>
      </c>
      <c r="J70" s="3284"/>
      <c r="K70" s="3284">
        <f>K71-$K$61</f>
        <v>99</v>
      </c>
      <c r="L70" s="3284"/>
      <c r="M70" s="3284"/>
      <c r="N70" s="3284" t="s">
        <v>3770</v>
      </c>
      <c r="O70" s="3284">
        <v>100</v>
      </c>
      <c r="Q70" s="3284"/>
      <c r="S70" s="3284"/>
      <c r="U70" s="3284"/>
      <c r="W70" s="3360"/>
      <c r="X70" s="3284"/>
      <c r="Y70" s="3284"/>
      <c r="Z70" s="3284"/>
      <c r="AA70" s="3284"/>
      <c r="AB70" s="3284"/>
      <c r="AC70" s="3284"/>
      <c r="AE70" s="3284"/>
      <c r="AF70" s="3284"/>
      <c r="AG70" s="3284"/>
      <c r="AH70" s="3284"/>
      <c r="AI70" s="3284"/>
      <c r="AJ70" s="3284"/>
      <c r="AK70" s="3284"/>
      <c r="AL70" s="3284"/>
      <c r="AN70" s="3284"/>
      <c r="AO70" s="3284"/>
    </row>
    <row r="71" spans="4:41">
      <c r="D71" s="3284"/>
      <c r="F71" s="3284"/>
      <c r="H71" s="3284"/>
      <c r="I71" s="3284" t="s">
        <v>3924</v>
      </c>
      <c r="K71" s="3284">
        <v>100</v>
      </c>
      <c r="N71" s="3284" t="s">
        <v>3909</v>
      </c>
      <c r="O71" s="3284">
        <f>O70-$O$62</f>
        <v>85</v>
      </c>
      <c r="Q71" s="3284"/>
      <c r="S71" s="3284"/>
      <c r="T71" s="3275"/>
      <c r="U71" s="3284"/>
      <c r="V71" s="3358"/>
      <c r="Y71" s="3284"/>
      <c r="Z71" s="3284"/>
      <c r="AA71" s="3284"/>
      <c r="AB71" s="3284"/>
      <c r="AC71" s="3285"/>
      <c r="AD71" s="3275"/>
      <c r="AE71" s="3284"/>
      <c r="AF71" s="3284"/>
      <c r="AG71" s="3284"/>
      <c r="AH71" s="3284"/>
      <c r="AI71" s="3284"/>
      <c r="AJ71" s="3284"/>
      <c r="AK71" s="3284"/>
      <c r="AL71" s="3284"/>
      <c r="AN71" s="3284"/>
      <c r="AO71" s="3284"/>
    </row>
    <row r="72" spans="4:41">
      <c r="D72" s="3284"/>
      <c r="F72" s="3284"/>
      <c r="H72" s="3284"/>
      <c r="I72" s="3284" t="s">
        <v>3925</v>
      </c>
      <c r="K72" s="3284">
        <f>K71+K61</f>
        <v>101</v>
      </c>
      <c r="N72" s="3284" t="s">
        <v>3772</v>
      </c>
      <c r="O72" s="3284">
        <v>95</v>
      </c>
      <c r="Q72" s="3284"/>
      <c r="S72" s="3284"/>
      <c r="U72" s="3284"/>
      <c r="Y72" s="3284"/>
      <c r="Z72" s="3284"/>
      <c r="AA72" s="3284"/>
      <c r="AB72" s="3284"/>
      <c r="AC72" s="3284"/>
      <c r="AE72" s="3284"/>
      <c r="AF72" s="3284"/>
      <c r="AG72" s="3284"/>
      <c r="AH72" s="3284"/>
      <c r="AI72" s="3284"/>
      <c r="AJ72" s="3284"/>
      <c r="AL72" s="3284"/>
      <c r="AN72" s="3284"/>
      <c r="AO72" s="3284"/>
    </row>
    <row r="73" spans="4:41">
      <c r="D73" s="3284"/>
      <c r="F73" s="3284"/>
      <c r="H73" s="3284"/>
      <c r="I73" s="3284"/>
      <c r="K73" s="3284"/>
      <c r="N73" s="3284" t="s">
        <v>3771</v>
      </c>
      <c r="O73" s="3284">
        <v>95</v>
      </c>
      <c r="Q73" s="3284"/>
      <c r="S73" s="3284"/>
      <c r="U73" s="3284"/>
      <c r="Y73" s="3284"/>
      <c r="Z73" s="3284"/>
      <c r="AA73" s="3284"/>
      <c r="AB73" s="3284"/>
      <c r="AC73" s="3284"/>
      <c r="AE73" s="3284"/>
      <c r="AF73" s="3284"/>
      <c r="AG73" s="3284"/>
      <c r="AH73" s="3284"/>
      <c r="AI73" s="3284"/>
      <c r="AJ73" s="3284"/>
      <c r="AL73" s="3284"/>
      <c r="AN73" s="3284"/>
      <c r="AO73" s="3284"/>
    </row>
    <row r="74" spans="4:41">
      <c r="D74" s="3284"/>
      <c r="F74" s="3284"/>
      <c r="I74" s="3284"/>
      <c r="N74" s="3284" t="s">
        <v>3769</v>
      </c>
      <c r="O74" s="3198">
        <f>O73-$O$62</f>
        <v>80</v>
      </c>
      <c r="Y74" s="3284"/>
      <c r="Z74" s="3284"/>
      <c r="AA74" s="3284"/>
      <c r="AB74" s="3284"/>
      <c r="AC74" s="3284"/>
      <c r="AE74" s="3284"/>
      <c r="AF74" s="3284"/>
      <c r="AG74" s="3284"/>
      <c r="AH74" s="3284"/>
      <c r="AI74" s="3284"/>
      <c r="AJ74" s="3284"/>
      <c r="AK74" s="3284"/>
      <c r="AL74" s="3347"/>
      <c r="AN74" s="3284"/>
      <c r="AO74" s="3284"/>
    </row>
    <row r="75" spans="4:41">
      <c r="D75" s="3284"/>
      <c r="F75" s="3284"/>
      <c r="I75" s="3284"/>
      <c r="Y75" s="3284"/>
      <c r="Z75" s="3284"/>
      <c r="AA75" s="3284"/>
      <c r="AB75" s="3284"/>
      <c r="AC75" s="3284"/>
      <c r="AE75" s="3284"/>
      <c r="AF75" s="3284"/>
      <c r="AG75" s="3284"/>
      <c r="AH75" s="3284"/>
      <c r="AI75" s="3284"/>
      <c r="AJ75" s="3284"/>
      <c r="AK75" s="3284"/>
      <c r="AL75" s="3347"/>
      <c r="AN75" s="3284"/>
      <c r="AO75" s="3284"/>
    </row>
    <row r="76" spans="4:41">
      <c r="D76" s="3284"/>
      <c r="F76" s="3284"/>
      <c r="I76" s="3284"/>
      <c r="Y76" s="3284"/>
      <c r="Z76" s="3284"/>
      <c r="AA76" s="3284"/>
      <c r="AB76" s="3284"/>
      <c r="AC76" s="3284"/>
      <c r="AE76" s="3284"/>
      <c r="AF76" s="3284"/>
      <c r="AG76" s="3284"/>
      <c r="AH76" s="3284"/>
      <c r="AI76" s="3284"/>
      <c r="AJ76" s="3284"/>
      <c r="AK76" s="3284"/>
      <c r="AL76" s="3347"/>
      <c r="AN76" s="3284"/>
      <c r="AO76" s="3284"/>
    </row>
    <row r="77" spans="4:41">
      <c r="D77" s="3283"/>
      <c r="F77" s="3283"/>
      <c r="I77" s="3284"/>
      <c r="Y77" s="3283"/>
      <c r="Z77" s="3283"/>
      <c r="AA77" s="3283"/>
      <c r="AB77" s="3283"/>
      <c r="AC77" s="3283"/>
      <c r="AE77" s="3283"/>
      <c r="AF77" s="3284"/>
      <c r="AG77" s="3284"/>
      <c r="AH77" s="3284"/>
      <c r="AI77" s="3284"/>
      <c r="AJ77" s="3284"/>
      <c r="AK77" s="3283"/>
      <c r="AL77" s="3346"/>
      <c r="AN77" s="3283"/>
      <c r="AO77" s="3283"/>
    </row>
    <row r="78" spans="4:41">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c r="AN78" s="3283"/>
      <c r="AO78" s="3283"/>
    </row>
    <row r="79" spans="4:41">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c r="AN79" s="3283"/>
      <c r="AO79" s="3283"/>
    </row>
    <row r="80" spans="4:41">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c r="AN80" s="3283"/>
      <c r="AO80" s="3283"/>
    </row>
    <row r="81" spans="4:41">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c r="AN81" s="3283"/>
      <c r="AO81" s="3283"/>
    </row>
    <row r="82" spans="4:41">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c r="AN82" s="3283"/>
      <c r="AO82" s="3283"/>
    </row>
    <row r="83" spans="4:41">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c r="AN83" s="3283"/>
      <c r="AO83" s="3283"/>
    </row>
    <row r="84" spans="4:41">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c r="AN84" s="3283"/>
      <c r="AO84" s="3283"/>
    </row>
    <row r="85" spans="4:41">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c r="AN85" s="3283"/>
      <c r="AO85" s="3283"/>
    </row>
    <row r="86" spans="4:41">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c r="AN86" s="3283"/>
      <c r="AO86" s="3283"/>
    </row>
    <row r="87" spans="4:41">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c r="AN87" s="3283"/>
      <c r="AO87" s="3283"/>
    </row>
    <row r="88" spans="4:41">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c r="AN88" s="3283"/>
      <c r="AO88" s="3283"/>
    </row>
    <row r="89" spans="4:41">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c r="AN89" s="3283"/>
      <c r="AO89" s="3283"/>
    </row>
  </sheetData>
  <autoFilter ref="AL1:AL89" xr:uid="{00000000-0009-0000-0000-000034000000}"/>
  <mergeCells count="239">
    <mergeCell ref="AN29:AN31"/>
    <mergeCell ref="AN32:AN34"/>
    <mergeCell ref="AN35:AN37"/>
    <mergeCell ref="AN38:AN40"/>
    <mergeCell ref="AN41:AN43"/>
    <mergeCell ref="AN44:AN46"/>
    <mergeCell ref="AN47:AN49"/>
    <mergeCell ref="AO2:AO4"/>
    <mergeCell ref="AO5:AO7"/>
    <mergeCell ref="AO8:AO10"/>
    <mergeCell ref="AO11:AO13"/>
    <mergeCell ref="AO14:AO16"/>
    <mergeCell ref="AO17:AO19"/>
    <mergeCell ref="AO20:AO22"/>
    <mergeCell ref="AO23:AO25"/>
    <mergeCell ref="AO26:AO28"/>
    <mergeCell ref="AO29:AO31"/>
    <mergeCell ref="AO32:AO34"/>
    <mergeCell ref="AO35:AO37"/>
    <mergeCell ref="AO38:AO40"/>
    <mergeCell ref="AO41:AO43"/>
    <mergeCell ref="AO44:AO46"/>
    <mergeCell ref="AO47:AO49"/>
    <mergeCell ref="AN2:AN4"/>
    <mergeCell ref="AG38:AG40"/>
    <mergeCell ref="AG2:AG4"/>
    <mergeCell ref="AG5:AG7"/>
    <mergeCell ref="AG8:AG10"/>
    <mergeCell ref="AG11:AG13"/>
    <mergeCell ref="AG14:AG16"/>
    <mergeCell ref="AG17:AG19"/>
    <mergeCell ref="AG20:AG22"/>
    <mergeCell ref="AN5:AN7"/>
    <mergeCell ref="AN8:AN10"/>
    <mergeCell ref="AN11:AN13"/>
    <mergeCell ref="AN14:AN16"/>
    <mergeCell ref="AN17:AN19"/>
    <mergeCell ref="AN20:AN22"/>
    <mergeCell ref="AN23:AN25"/>
    <mergeCell ref="AN26:AN28"/>
    <mergeCell ref="AG23:AG25"/>
    <mergeCell ref="AG26:AG28"/>
    <mergeCell ref="AJ17:AJ19"/>
    <mergeCell ref="AK17:AK19"/>
    <mergeCell ref="AL17:AL19"/>
    <mergeCell ref="AJ20:AJ22"/>
    <mergeCell ref="AK20:AK22"/>
    <mergeCell ref="AL20:AL22"/>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H29:AH31"/>
    <mergeCell ref="AG29:AG31"/>
    <mergeCell ref="AG32:AG34"/>
    <mergeCell ref="AG35:AG37"/>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L29:AL31"/>
    <mergeCell ref="AJ32:AJ34"/>
    <mergeCell ref="AK32:AK34"/>
    <mergeCell ref="AL32:AL34"/>
    <mergeCell ref="AJ23:AJ25"/>
    <mergeCell ref="AK23:AK25"/>
    <mergeCell ref="AL23:AL25"/>
    <mergeCell ref="AJ26:AJ28"/>
    <mergeCell ref="AK26:AK28"/>
    <mergeCell ref="AL26:AL28"/>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D44:D46"/>
    <mergeCell ref="D26:D28"/>
    <mergeCell ref="D8:D10"/>
    <mergeCell ref="D17:D19"/>
    <mergeCell ref="D11:D13"/>
    <mergeCell ref="D35:D37"/>
    <mergeCell ref="D14:D16"/>
    <mergeCell ref="AB35:AB37"/>
    <mergeCell ref="AB44:AB46"/>
    <mergeCell ref="Y32:Y34"/>
    <mergeCell ref="Y35:Y37"/>
    <mergeCell ref="Y26:Y28"/>
    <mergeCell ref="Y29:Y31"/>
    <mergeCell ref="Z26:Z28"/>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Z2:Z4"/>
    <mergeCell ref="Z5:Z7"/>
    <mergeCell ref="Z8:Z10"/>
    <mergeCell ref="Z11:Z13"/>
    <mergeCell ref="Z14:Z16"/>
    <mergeCell ref="Y17:Y19"/>
    <mergeCell ref="Y20:Y22"/>
    <mergeCell ref="Y23:Y25"/>
    <mergeCell ref="Z17:Z19"/>
    <mergeCell ref="Z20:Z22"/>
    <mergeCell ref="Z23:Z25"/>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AE29:AE31"/>
    <mergeCell ref="AE32:AE34"/>
    <mergeCell ref="AE35:AE37"/>
    <mergeCell ref="AE2:AE4"/>
    <mergeCell ref="AE5:AE7"/>
    <mergeCell ref="AE8:AE10"/>
    <mergeCell ref="AE11:AE13"/>
    <mergeCell ref="AE14:AE16"/>
    <mergeCell ref="AE17:AE19"/>
    <mergeCell ref="AE20:AE22"/>
    <mergeCell ref="AE23:AE25"/>
    <mergeCell ref="AE26:AE28"/>
  </mergeCells>
  <phoneticPr fontId="136" type="noConversion"/>
  <conditionalFormatting sqref="K1:K1048576">
    <cfRule type="cellIs" dxfId="6" priority="5" operator="equal">
      <formula>100</formula>
    </cfRule>
  </conditionalFormatting>
  <conditionalFormatting sqref="O1:O1048576">
    <cfRule type="cellIs" dxfId="5" priority="4" operator="equal">
      <formula>100</formula>
    </cfRule>
  </conditionalFormatting>
  <conditionalFormatting sqref="Q1:Q1048576">
    <cfRule type="cellIs" dxfId="4" priority="3" operator="equal">
      <formula>100</formula>
    </cfRule>
  </conditionalFormatting>
  <conditionalFormatting sqref="S1:S1048576">
    <cfRule type="cellIs" dxfId="3" priority="2" operator="equal">
      <formula>100</formula>
    </cfRule>
  </conditionalFormatting>
  <conditionalFormatting sqref="U1:U1048576">
    <cfRule type="cellIs" dxfId="2" priority="1" operator="equal">
      <formula>100</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workbookViewId="0">
      <pane xSplit="4" ySplit="1" topLeftCell="K2" activePane="bottomRight" state="frozen"/>
      <selection pane="topRight" activeCell="E1" sqref="E1"/>
      <selection pane="bottomLeft" activeCell="A2" sqref="A2"/>
      <selection pane="bottomRight" activeCell="R2" sqref="R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0.25" style="3213"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337.95958000000002</v>
      </c>
      <c r="S2" s="3338">
        <f t="shared" ref="S2:S17" ca="1" si="4">R2/O2</f>
        <v>0.22978751903282971</v>
      </c>
      <c r="T2" s="3243">
        <f t="shared" ref="T2:T17" ca="1" si="5">R2/L2</f>
        <v>1.3337000000000001</v>
      </c>
      <c r="U2" s="3243">
        <f t="shared" ref="U2:U17" ca="1" si="6">R2/M2</f>
        <v>0.75526757101034703</v>
      </c>
      <c r="V2" s="3370" t="s">
        <v>3937</v>
      </c>
      <c r="W2" s="3370" t="s">
        <v>3939</v>
      </c>
      <c r="X2" s="3373" t="s">
        <v>3941</v>
      </c>
      <c r="Y2" s="3371" t="s">
        <v>3943</v>
      </c>
      <c r="Z2" s="3213">
        <v>2023080232</v>
      </c>
      <c r="AA2" s="3371" t="s">
        <v>3946</v>
      </c>
      <c r="AB2" s="3374">
        <v>44981</v>
      </c>
      <c r="AC2" s="3213" t="s">
        <v>3984</v>
      </c>
      <c r="AD2" s="3213" t="s">
        <v>3949</v>
      </c>
      <c r="AG2" s="3213">
        <f>L2/K2</f>
        <v>1.3057144329365693</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305.32166000000001</v>
      </c>
      <c r="S3" s="3338">
        <f t="shared" ca="1" si="4"/>
        <v>0.22161235686131195</v>
      </c>
      <c r="T3" s="3243">
        <f t="shared" ca="1" si="5"/>
        <v>1.2049000000000001</v>
      </c>
      <c r="U3" s="3243">
        <f t="shared" ca="1" si="6"/>
        <v>0.68232878181777545</v>
      </c>
      <c r="V3" s="3370" t="s">
        <v>3937</v>
      </c>
      <c r="W3" s="3370" t="s">
        <v>3993</v>
      </c>
      <c r="X3" s="3373" t="s">
        <v>3994</v>
      </c>
      <c r="Y3" s="3371" t="s">
        <v>3943</v>
      </c>
      <c r="Z3" s="3213">
        <v>2023080671</v>
      </c>
      <c r="AA3" s="3371" t="s">
        <v>3978</v>
      </c>
      <c r="AB3" s="3374">
        <v>45446</v>
      </c>
      <c r="AC3" s="3213" t="s">
        <v>3979</v>
      </c>
      <c r="AD3" s="3213" t="s">
        <v>3980</v>
      </c>
      <c r="AG3" s="3213">
        <f t="shared" ref="AG3:AG17" si="7">L3/K3</f>
        <v>1.3057144329365693</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208">
        <v>253.4</v>
      </c>
      <c r="M4" s="3208">
        <f t="shared" si="1"/>
        <v>447.47</v>
      </c>
      <c r="N4" s="3238">
        <v>45320</v>
      </c>
      <c r="O4" s="3379">
        <v>1521.0175999999999</v>
      </c>
      <c r="P4" s="3223">
        <f t="shared" si="2"/>
        <v>33991.498871432719</v>
      </c>
      <c r="Q4" s="3339">
        <f t="shared" si="3"/>
        <v>0.2457594922564641</v>
      </c>
      <c r="R4" s="3377">
        <f ca="1">VLOOKUP(D4,房源修正表!$D$1:$AL$49,34,0)/10000</f>
        <v>355.59622000000002</v>
      </c>
      <c r="S4" s="3338">
        <f t="shared" ca="1" si="4"/>
        <v>0.23378836641995468</v>
      </c>
      <c r="T4" s="3243">
        <f t="shared" ca="1" si="5"/>
        <v>1.4033</v>
      </c>
      <c r="U4" s="3243">
        <f t="shared" ca="1" si="6"/>
        <v>0.79468169933179877</v>
      </c>
      <c r="V4" s="3370" t="s">
        <v>3937</v>
      </c>
      <c r="W4" s="3370" t="s">
        <v>3939</v>
      </c>
      <c r="X4" s="3373" t="s">
        <v>3941</v>
      </c>
      <c r="Y4" s="3371" t="s">
        <v>3943</v>
      </c>
      <c r="Z4" s="3213">
        <v>2023080231</v>
      </c>
      <c r="AA4" s="3371" t="s">
        <v>3952</v>
      </c>
      <c r="AB4" s="3374">
        <v>45320</v>
      </c>
      <c r="AC4" s="3213" t="s">
        <v>3985</v>
      </c>
      <c r="AD4" s="3213" t="s">
        <v>3950</v>
      </c>
      <c r="AG4" s="3213">
        <f t="shared" si="7"/>
        <v>1.3057144329365693</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265.77359799999999</v>
      </c>
      <c r="S5" s="3338">
        <f t="shared" ca="1" si="4"/>
        <v>0.21045049749010078</v>
      </c>
      <c r="T5" s="3243">
        <f t="shared" ca="1" si="5"/>
        <v>1.0417999999999998</v>
      </c>
      <c r="U5" s="3243">
        <f t="shared" ca="1" si="6"/>
        <v>0.59168617925998479</v>
      </c>
      <c r="V5" s="3370" t="s">
        <v>3937</v>
      </c>
      <c r="W5" s="3370" t="s">
        <v>3939</v>
      </c>
      <c r="X5" s="3373" t="s">
        <v>3941</v>
      </c>
      <c r="Y5" s="3371" t="s">
        <v>3943</v>
      </c>
      <c r="Z5" s="3213">
        <v>2023080229</v>
      </c>
      <c r="AA5" s="3371" t="s">
        <v>3953</v>
      </c>
      <c r="AB5" s="3374">
        <v>45156</v>
      </c>
      <c r="AC5" s="3213" t="s">
        <v>3955</v>
      </c>
      <c r="AD5" s="3213" t="s">
        <v>3954</v>
      </c>
      <c r="AF5" s="3225"/>
      <c r="AG5" s="3213">
        <f t="shared" si="7"/>
        <v>1.3145256866079251</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506.39298300000002</v>
      </c>
      <c r="S6" s="3338">
        <f t="shared" ca="1" si="4"/>
        <v>0.19293308878039681</v>
      </c>
      <c r="T6" s="3243">
        <f t="shared" ca="1" si="5"/>
        <v>1.1223000000000001</v>
      </c>
      <c r="U6" s="3243">
        <f t="shared" ca="1" si="6"/>
        <v>0.64471701954293714</v>
      </c>
      <c r="V6" s="3370" t="s">
        <v>3937</v>
      </c>
      <c r="W6" s="3370" t="s">
        <v>3993</v>
      </c>
      <c r="X6" s="3373" t="s">
        <v>3994</v>
      </c>
      <c r="Y6" s="3371" t="s">
        <v>3943</v>
      </c>
      <c r="Z6" s="3213">
        <v>2023080555</v>
      </c>
      <c r="AA6" s="3371" t="s">
        <v>3981</v>
      </c>
      <c r="AB6" s="3374">
        <v>44941</v>
      </c>
      <c r="AC6" s="3213" t="s">
        <v>3982</v>
      </c>
      <c r="AD6" s="3213" t="s">
        <v>3986</v>
      </c>
      <c r="AE6" s="3213"/>
      <c r="AG6" s="3213">
        <f t="shared" si="7"/>
        <v>1.34995811393011</v>
      </c>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485.65374000000003</v>
      </c>
      <c r="S7" s="3338">
        <f t="shared" ca="1" si="4"/>
        <v>0.17438762639818733</v>
      </c>
      <c r="T7" s="3243">
        <f t="shared" ca="1" si="5"/>
        <v>1.3754</v>
      </c>
      <c r="U7" s="3243">
        <f t="shared" ca="1" si="6"/>
        <v>0.70656987808071703</v>
      </c>
      <c r="V7" s="3370" t="s">
        <v>3937</v>
      </c>
      <c r="W7" s="3370" t="s">
        <v>3993</v>
      </c>
      <c r="X7" s="3373" t="s">
        <v>3994</v>
      </c>
      <c r="Y7" s="3371" t="s">
        <v>3943</v>
      </c>
      <c r="Z7" s="3213">
        <v>2023080548</v>
      </c>
      <c r="AA7" s="3371" t="s">
        <v>3988</v>
      </c>
      <c r="AB7" s="3374">
        <v>45585</v>
      </c>
      <c r="AC7" s="3213" t="s">
        <v>3992</v>
      </c>
      <c r="AD7" s="3213" t="s">
        <v>3989</v>
      </c>
      <c r="AE7" s="3213"/>
      <c r="AG7" s="3213">
        <f t="shared" si="7"/>
        <v>1.0564265198659646</v>
      </c>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179.81739999999999</v>
      </c>
      <c r="S8" s="3338">
        <f t="shared" ca="1" si="4"/>
        <v>0.16849142337019762</v>
      </c>
      <c r="T8" s="3243">
        <f t="shared" ca="1" si="5"/>
        <v>0.88579999999999992</v>
      </c>
      <c r="U8" s="3243">
        <f t="shared" ca="1" si="6"/>
        <v>0.45286070466164657</v>
      </c>
      <c r="V8" s="3370" t="s">
        <v>3937</v>
      </c>
      <c r="W8" s="3370" t="s">
        <v>3939</v>
      </c>
      <c r="X8" s="3373" t="s">
        <v>3941</v>
      </c>
      <c r="Y8" s="3371" t="s">
        <v>3943</v>
      </c>
      <c r="Z8" s="3213">
        <v>2023080227</v>
      </c>
      <c r="AA8" s="3371" t="s">
        <v>3956</v>
      </c>
      <c r="AB8" s="3374">
        <v>45174</v>
      </c>
      <c r="AC8" s="3213" t="s">
        <v>3957</v>
      </c>
      <c r="AD8" s="3371" t="s">
        <v>3995</v>
      </c>
      <c r="AE8" s="3213" t="s">
        <v>3996</v>
      </c>
      <c r="AG8" s="3213">
        <f t="shared" si="7"/>
        <v>1.046014324728191</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08">
        <v>205.8</v>
      </c>
      <c r="M9" s="3208">
        <f t="shared" si="1"/>
        <v>399.87</v>
      </c>
      <c r="N9" s="3238">
        <v>45128</v>
      </c>
      <c r="O9" s="3379">
        <v>1209.0226</v>
      </c>
      <c r="P9" s="3223">
        <f t="shared" si="2"/>
        <v>30235.391502238228</v>
      </c>
      <c r="Q9" s="3336">
        <f t="shared" si="3"/>
        <v>0.24575487033285817</v>
      </c>
      <c r="R9" s="3377">
        <f ca="1">VLOOKUP(D9,房源修正表!$D$1:$AL$49,34,0)/10000</f>
        <v>224.19852000000003</v>
      </c>
      <c r="S9" s="3338">
        <f t="shared" ca="1" si="4"/>
        <v>0.18543782390833721</v>
      </c>
      <c r="T9" s="3243">
        <f t="shared" ca="1" si="5"/>
        <v>1.0894000000000001</v>
      </c>
      <c r="U9" s="3243">
        <f t="shared" ca="1" si="6"/>
        <v>0.56067852051916878</v>
      </c>
      <c r="V9" s="3370" t="s">
        <v>3937</v>
      </c>
      <c r="W9" s="3370" t="s">
        <v>3939</v>
      </c>
      <c r="X9" s="3373" t="s">
        <v>3941</v>
      </c>
      <c r="Y9" s="3371" t="s">
        <v>3943</v>
      </c>
      <c r="Z9" s="3225">
        <v>2023080222</v>
      </c>
      <c r="AA9" s="3225" t="s">
        <v>3958</v>
      </c>
      <c r="AB9" s="3375">
        <v>45128</v>
      </c>
      <c r="AC9" s="3225"/>
      <c r="AD9" s="3225" t="s">
        <v>3959</v>
      </c>
      <c r="AE9" s="3225"/>
      <c r="AG9" s="3213">
        <f t="shared" si="7"/>
        <v>1.0604421085175453</v>
      </c>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220.76166000000001</v>
      </c>
      <c r="S10" s="3338">
        <f t="shared" ca="1" si="4"/>
        <v>0.18431811618215896</v>
      </c>
      <c r="T10" s="3243">
        <f t="shared" ca="1" si="5"/>
        <v>1.0727</v>
      </c>
      <c r="U10" s="3243">
        <f t="shared" ca="1" si="6"/>
        <v>0.55208357716257783</v>
      </c>
      <c r="V10" s="3370" t="s">
        <v>3937</v>
      </c>
      <c r="W10" s="3370" t="s">
        <v>3939</v>
      </c>
      <c r="X10" s="3373" t="s">
        <v>3941</v>
      </c>
      <c r="Y10" s="3371" t="s">
        <v>3943</v>
      </c>
      <c r="Z10" s="3225">
        <v>2023080221</v>
      </c>
      <c r="AA10" s="3225" t="s">
        <v>3960</v>
      </c>
      <c r="AB10" s="3375">
        <v>45162</v>
      </c>
      <c r="AC10" s="3225" t="s">
        <v>3961</v>
      </c>
      <c r="AD10" s="3225" t="s">
        <v>3962</v>
      </c>
      <c r="AE10" s="3225"/>
      <c r="AG10" s="3213">
        <f t="shared" si="7"/>
        <v>1.0604421085175453</v>
      </c>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211.13022000000001</v>
      </c>
      <c r="S11" s="3338">
        <f t="shared" ca="1" si="4"/>
        <v>0.18104814702606883</v>
      </c>
      <c r="T11" s="3243">
        <f t="shared" ca="1" si="5"/>
        <v>1.0259</v>
      </c>
      <c r="U11" s="3243">
        <f t="shared" ca="1" si="6"/>
        <v>0.52799714907344886</v>
      </c>
      <c r="V11" s="3370" t="s">
        <v>3937</v>
      </c>
      <c r="W11" s="3370" t="s">
        <v>3939</v>
      </c>
      <c r="X11" s="3373" t="s">
        <v>3941</v>
      </c>
      <c r="Y11" s="3371" t="s">
        <v>3943</v>
      </c>
      <c r="Z11" s="3213">
        <v>2023080220</v>
      </c>
      <c r="AA11" s="3213" t="s">
        <v>3963</v>
      </c>
      <c r="AB11" s="3374">
        <v>44783</v>
      </c>
      <c r="AC11" s="3213" t="s">
        <v>3964</v>
      </c>
      <c r="AD11" s="3213" t="s">
        <v>3965</v>
      </c>
      <c r="AG11" s="3213">
        <f t="shared" si="7"/>
        <v>1.0604421085175453</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198.55584000000002</v>
      </c>
      <c r="S12" s="3338">
        <f t="shared" ca="1" si="4"/>
        <v>0.17650616086612153</v>
      </c>
      <c r="T12" s="3243">
        <f t="shared" ca="1" si="5"/>
        <v>0.96479999999999999</v>
      </c>
      <c r="U12" s="3243">
        <f t="shared" ca="1" si="6"/>
        <v>0.49655097906819723</v>
      </c>
      <c r="V12" s="3370" t="s">
        <v>3937</v>
      </c>
      <c r="W12" s="3370" t="s">
        <v>3939</v>
      </c>
      <c r="X12" s="3373" t="s">
        <v>3941</v>
      </c>
      <c r="Y12" s="3371" t="s">
        <v>3943</v>
      </c>
      <c r="Z12" s="3213">
        <v>2023080219</v>
      </c>
      <c r="AA12" s="3213" t="s">
        <v>3966</v>
      </c>
      <c r="AB12" s="3374">
        <v>45014</v>
      </c>
      <c r="AC12" s="3213" t="s">
        <v>3967</v>
      </c>
      <c r="AD12" s="3213" t="s">
        <v>3968</v>
      </c>
      <c r="AG12" s="3213">
        <f t="shared" si="7"/>
        <v>1.0604421085175453</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272.83578</v>
      </c>
      <c r="S13" s="3338">
        <f t="shared" ca="1" si="4"/>
        <v>0.21230287912804138</v>
      </c>
      <c r="T13" s="3243">
        <f t="shared" ca="1" si="5"/>
        <v>1.0767</v>
      </c>
      <c r="U13" s="3243">
        <f t="shared" ca="1" si="6"/>
        <v>0.60972976959349223</v>
      </c>
      <c r="V13" s="3370" t="s">
        <v>3937</v>
      </c>
      <c r="W13" s="3370" t="s">
        <v>3939</v>
      </c>
      <c r="X13" s="3373" t="s">
        <v>3941</v>
      </c>
      <c r="Y13" s="3371" t="s">
        <v>3943</v>
      </c>
      <c r="Z13" s="3213">
        <v>2023080207</v>
      </c>
      <c r="AA13" s="3371" t="s">
        <v>3969</v>
      </c>
      <c r="AB13" s="3374">
        <v>44528</v>
      </c>
      <c r="AC13" s="3213" t="s">
        <v>3970</v>
      </c>
      <c r="AD13" s="3213" t="s">
        <v>3971</v>
      </c>
      <c r="AG13" s="3213">
        <f t="shared" si="7"/>
        <v>1.3057144329365693</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327.01986800000003</v>
      </c>
      <c r="S14" s="3338">
        <f t="shared" ca="1" si="4"/>
        <v>0.18045559897631056</v>
      </c>
      <c r="T14" s="3243">
        <f t="shared" ca="1" si="5"/>
        <v>1.0507</v>
      </c>
      <c r="U14" s="3243">
        <f t="shared" ca="1" si="6"/>
        <v>0.586772173975454</v>
      </c>
      <c r="V14" s="3370" t="s">
        <v>3937</v>
      </c>
      <c r="W14" s="3370" t="s">
        <v>3993</v>
      </c>
      <c r="X14" s="3373" t="s">
        <v>3994</v>
      </c>
      <c r="Y14" s="3371" t="s">
        <v>3943</v>
      </c>
      <c r="Z14" s="3213">
        <v>2023080951</v>
      </c>
      <c r="AA14" s="3371" t="s">
        <v>3990</v>
      </c>
      <c r="AB14" s="3374">
        <v>44697</v>
      </c>
      <c r="AD14" s="3213" t="s">
        <v>3991</v>
      </c>
      <c r="AG14" s="3213">
        <f t="shared" si="7"/>
        <v>1.2647919375812744</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261.66084000000001</v>
      </c>
      <c r="S15" s="3338">
        <f t="shared" ca="1" si="4"/>
        <v>0.20877873211730447</v>
      </c>
      <c r="T15" s="3243">
        <f t="shared" ca="1" si="5"/>
        <v>1.0326</v>
      </c>
      <c r="U15" s="3243">
        <f t="shared" ca="1" si="6"/>
        <v>0.58475616242429662</v>
      </c>
      <c r="V15" s="3370" t="s">
        <v>3937</v>
      </c>
      <c r="W15" s="3370" t="s">
        <v>3939</v>
      </c>
      <c r="X15" s="3373" t="s">
        <v>3941</v>
      </c>
      <c r="Y15" s="3371" t="s">
        <v>3943</v>
      </c>
      <c r="Z15" s="3225">
        <v>2023080201</v>
      </c>
      <c r="AA15" s="3225" t="s">
        <v>3972</v>
      </c>
      <c r="AB15" s="3375">
        <v>44792</v>
      </c>
      <c r="AC15" s="3225"/>
      <c r="AD15" s="3225" t="s">
        <v>3973</v>
      </c>
      <c r="AE15" s="3225"/>
      <c r="AG15" s="3213">
        <f t="shared" si="7"/>
        <v>1.3057144329365693</v>
      </c>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270.46690799999999</v>
      </c>
      <c r="S16" s="3338">
        <f t="shared" ca="1" si="4"/>
        <v>0.21410849828961395</v>
      </c>
      <c r="T16" s="3243">
        <f t="shared" ca="1" si="5"/>
        <v>1.0158</v>
      </c>
      <c r="U16" s="3243">
        <f t="shared" ca="1" si="6"/>
        <v>0.58755003584385113</v>
      </c>
      <c r="V16" s="3370" t="s">
        <v>3937</v>
      </c>
      <c r="W16" s="3370" t="s">
        <v>3939</v>
      </c>
      <c r="X16" s="3373" t="s">
        <v>3941</v>
      </c>
      <c r="Y16" s="3371" t="s">
        <v>3943</v>
      </c>
      <c r="Z16" s="3213">
        <v>2023080173</v>
      </c>
      <c r="AA16" s="3371" t="s">
        <v>3974</v>
      </c>
      <c r="AB16" s="3374">
        <v>44891</v>
      </c>
      <c r="AC16" s="3213" t="s">
        <v>3987</v>
      </c>
      <c r="AD16" s="3213" t="s">
        <v>3975</v>
      </c>
      <c r="AG16" s="3213">
        <f t="shared" si="7"/>
        <v>1.3719791827691039</v>
      </c>
    </row>
    <row r="17" spans="1:33"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1545.0806</v>
      </c>
      <c r="P17" s="3223">
        <f t="shared" si="2"/>
        <v>35926.258516055525</v>
      </c>
      <c r="Q17" s="3339">
        <f t="shared" ca="1" si="3"/>
        <v>0.24575069174785499</v>
      </c>
      <c r="R17" s="3377">
        <f ca="1">VLOOKUP(D17,房源修正表!$D$1:$AL$49,34,0)/10000</f>
        <v>351.52199999999999</v>
      </c>
      <c r="S17" s="3338">
        <f t="shared" ca="1" si="4"/>
        <v>0.22751046126655139</v>
      </c>
      <c r="T17" s="3243">
        <f t="shared" ca="1" si="5"/>
        <v>1.4895</v>
      </c>
      <c r="U17" s="3243">
        <f t="shared" ca="1" si="6"/>
        <v>0.81735996465691629</v>
      </c>
      <c r="V17" s="3370" t="s">
        <v>3937</v>
      </c>
      <c r="W17" s="3370" t="s">
        <v>3939</v>
      </c>
      <c r="X17" s="3373" t="s">
        <v>3941</v>
      </c>
      <c r="Y17" s="3371" t="s">
        <v>3943</v>
      </c>
      <c r="Z17" s="3213">
        <v>2023080161</v>
      </c>
      <c r="AA17" s="3371" t="s">
        <v>3976</v>
      </c>
      <c r="AB17" s="3374">
        <v>45044</v>
      </c>
      <c r="AC17" s="3213" t="s">
        <v>3977</v>
      </c>
      <c r="AD17" s="3213" t="s">
        <v>3983</v>
      </c>
      <c r="AG17" s="3213">
        <f t="shared" si="7"/>
        <v>1.2160560622455816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1" priority="1">
      <formula>MOD(ROW(),2)=0</formula>
    </cfRule>
  </conditionalFormatting>
  <pageMargins left="0.7" right="0.7" top="0.75" bottom="0.75" header="0.3" footer="0.3"/>
  <pageSetup paperSize="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422.3732</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21764</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2.8000000000000001E-2</v>
      </c>
      <c r="D21" s="228" t="s">
        <v>1577</v>
      </c>
      <c r="E21" s="224"/>
      <c r="F21" s="225">
        <f>'数据-取费表'!B38</f>
        <v>2.8000000000000001E-2</v>
      </c>
      <c r="G21" s="226" t="s">
        <v>1578</v>
      </c>
    </row>
    <row r="22" spans="1:7" s="206" customFormat="1" ht="13.5" customHeight="1">
      <c r="A22" s="247" t="s">
        <v>1579</v>
      </c>
      <c r="B22" s="202" t="s">
        <v>1580</v>
      </c>
      <c r="C22" s="224">
        <f ca="1">ROUND(SUM(C23:C25),0)</f>
        <v>66319</v>
      </c>
      <c r="D22" s="227">
        <f ca="1">C26</f>
        <v>4.0000000000000002E-4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666489</v>
      </c>
      <c r="D27" s="227">
        <f ca="1">C29</f>
        <v>8.3999999999999995E-3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8.3999999999999995E-3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3246992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10137</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9" t="s">
        <v>1589</v>
      </c>
    </row>
    <row r="43" spans="1:7" ht="13.5" customHeight="1">
      <c r="A43" s="734" t="s">
        <v>347</v>
      </c>
      <c r="B43" s="207" t="s">
        <v>1543</v>
      </c>
      <c r="C43" s="230">
        <f ca="1">ROUND(IF('数据-取费表'!B22&lt;=1,C39*F22*'数据-取费表'!B20/2,C39*(POWER((1+F22),'数据-取费表'!B20/2)-1)),0)</f>
        <v>100</v>
      </c>
      <c r="D43" s="230"/>
      <c r="E43" s="230"/>
      <c r="F43" s="231"/>
      <c r="G43" s="3570"/>
    </row>
    <row r="44" spans="1:7" ht="13.5" customHeight="1">
      <c r="A44" s="734" t="s">
        <v>348</v>
      </c>
      <c r="B44" s="207" t="s">
        <v>1544</v>
      </c>
      <c r="C44" s="230">
        <f ca="1">ROUND(IF('数据-取费表'!B22&lt;=1,C40*F22*'数据-取费表'!B20/2,C40*(POWER((1+F22),'数据-取费表'!B20/2)-1)),4)</f>
        <v>4.0000000000000002E-4</v>
      </c>
      <c r="D44" s="230"/>
      <c r="E44" s="230"/>
      <c r="F44" s="231"/>
      <c r="G44" s="3571"/>
    </row>
    <row r="45" spans="1:7" s="206" customFormat="1" ht="13.5" customHeight="1">
      <c r="A45" s="247" t="s">
        <v>1545</v>
      </c>
      <c r="B45" s="236" t="s">
        <v>1511</v>
      </c>
      <c r="C45" s="237">
        <f ca="1">C46</f>
        <v>202754</v>
      </c>
      <c r="D45" s="227">
        <f ca="1">C47</f>
        <v>8.3999999999999995E-3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8.3999999999999995E-3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976740</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976740</v>
      </c>
      <c r="D51" s="224"/>
      <c r="E51" s="224"/>
      <c r="F51" s="256"/>
      <c r="G51" s="226" t="s">
        <v>1558</v>
      </c>
    </row>
    <row r="52" spans="1:7" s="200" customFormat="1" ht="16.5" thickBot="1">
      <c r="A52" s="257" t="s">
        <v>1559</v>
      </c>
      <c r="B52" s="258"/>
      <c r="C52" s="259">
        <f ca="1">C31+C51</f>
        <v>4223732</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5" t="s">
        <v>3803</v>
      </c>
      <c r="S2" s="3735"/>
      <c r="T2" s="3735"/>
      <c r="U2" s="3735"/>
      <c r="V2" s="3735"/>
      <c r="W2" s="3735"/>
      <c r="Z2" s="3735" t="s">
        <v>3803</v>
      </c>
      <c r="AA2" s="3735"/>
      <c r="AB2" s="3735"/>
      <c r="AC2" s="3735"/>
      <c r="AD2" s="3735"/>
      <c r="AE2" s="3735"/>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13" t="s">
        <v>949</v>
      </c>
      <c r="B1" s="3413"/>
      <c r="C1" s="3413"/>
      <c r="D1" s="3413"/>
    </row>
    <row r="2" spans="1:4" ht="18">
      <c r="A2" s="3414" t="s">
        <v>933</v>
      </c>
      <c r="B2" s="3414"/>
      <c r="C2" s="3414"/>
      <c r="D2" s="341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14" t="s">
        <v>939</v>
      </c>
      <c r="B6" s="3414"/>
      <c r="C6" s="3414"/>
      <c r="D6" s="341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15" t="s">
        <v>942</v>
      </c>
      <c r="B11" s="3407"/>
      <c r="C11" s="3407"/>
      <c r="D11" s="3407"/>
    </row>
    <row r="12" spans="1:4" ht="15.75">
      <c r="A12" s="34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2"/>
      <c r="C12" s="3412"/>
      <c r="D12" s="3412"/>
    </row>
    <row r="13" spans="1:4" ht="30" customHeight="1">
      <c r="A13" s="3407" t="str">
        <f>IF(项目基本情况!B8="抵押","3.抵押双方在办理抵押登记手续时，应使用本公司出具的正式《房地产评估报告》，特提醒报告使用者注意。","——")</f>
        <v>——</v>
      </c>
      <c r="B13" s="3412"/>
      <c r="C13" s="3412"/>
      <c r="D13" s="3412"/>
    </row>
    <row r="14" spans="1:4" ht="15.75" customHeight="1">
      <c r="A14" s="3407" t="str">
        <f>IF(项目基本情况!B8="抵押","4.本次评估估价师所知悉的法定优先受偿款情况说明如下：","——")</f>
        <v>——</v>
      </c>
      <c r="B14" s="3412"/>
      <c r="C14" s="3412"/>
      <c r="D14" s="3412"/>
    </row>
    <row r="15" spans="1:4" ht="42" customHeight="1">
      <c r="A15" s="3407" t="str">
        <f>IF(项目基本情况!B8="抵押","（1）"&amp;CONCATENATE(项目基本情况!L20,项目基本情况!L21,项目基本情况!L22),"——")</f>
        <v>——</v>
      </c>
      <c r="B15" s="3407"/>
      <c r="C15" s="3407"/>
      <c r="D15" s="3407"/>
    </row>
    <row r="16" spans="1:4" ht="30" customHeight="1">
      <c r="A16" s="3409" t="s">
        <v>943</v>
      </c>
      <c r="B16" s="3409"/>
      <c r="C16" s="3409"/>
      <c r="D16" s="3409"/>
    </row>
    <row r="17" spans="1:4" ht="144" customHeight="1">
      <c r="A17" s="3409" t="s">
        <v>944</v>
      </c>
      <c r="B17" s="3409"/>
      <c r="C17" s="3409"/>
      <c r="D17" s="3409"/>
    </row>
    <row r="18" spans="1:4" ht="15.75" customHeight="1">
      <c r="A18" s="3407" t="str">
        <f>IF(项目基本情况!B8="抵押",结果表!K120,"——")</f>
        <v>——</v>
      </c>
      <c r="B18" s="3407"/>
      <c r="C18" s="3407"/>
      <c r="D18" s="3407"/>
    </row>
    <row r="19" spans="1:4" ht="46.5" customHeight="1">
      <c r="A19" s="34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7"/>
      <c r="C19" s="3407"/>
      <c r="D19" s="3407"/>
    </row>
    <row r="20" spans="1:4" ht="57.75" customHeight="1">
      <c r="A20" s="34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7"/>
      <c r="C20" s="3407"/>
      <c r="D20" s="3407"/>
    </row>
    <row r="21" spans="1:4" ht="57.75" customHeight="1">
      <c r="A21" s="34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0"/>
      <c r="C21" s="3410"/>
      <c r="D21" s="3410"/>
    </row>
    <row r="22" spans="1:4" ht="18.75" customHeight="1">
      <c r="A22" s="3411" t="s">
        <v>945</v>
      </c>
      <c r="B22" s="3411"/>
      <c r="C22" s="3411"/>
      <c r="D22" s="341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08">
        <v>42551</v>
      </c>
      <c r="D31" s="34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337.95958000000002</v>
      </c>
      <c r="S2" s="3338">
        <f t="shared" ref="S2:S17" ca="1" si="4">R2/O2</f>
        <v>0.22978751903282971</v>
      </c>
      <c r="T2" s="3243">
        <f t="shared" ref="T2:T17" ca="1" si="5">R2/L2</f>
        <v>1.3337000000000001</v>
      </c>
      <c r="U2" s="3243">
        <f t="shared" ref="U2:U17" ca="1" si="6">R2/M2</f>
        <v>0.75526757101034703</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305.32166000000001</v>
      </c>
      <c r="S3" s="3338">
        <f t="shared" ca="1" si="4"/>
        <v>0.22161235686131195</v>
      </c>
      <c r="T3" s="3243">
        <f t="shared" ca="1" si="5"/>
        <v>1.2049000000000001</v>
      </c>
      <c r="U3" s="3243">
        <f t="shared" ca="1" si="6"/>
        <v>0.68232878181777545</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355.59622000000002</v>
      </c>
      <c r="S4" s="3338">
        <f t="shared" ca="1" si="4"/>
        <v>0.23378836641995468</v>
      </c>
      <c r="T4" s="3243">
        <f t="shared" ca="1" si="5"/>
        <v>1.4033</v>
      </c>
      <c r="U4" s="3243">
        <f t="shared" ca="1" si="6"/>
        <v>0.79468169933179877</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265.77359799999999</v>
      </c>
      <c r="S5" s="3338">
        <f t="shared" ca="1" si="4"/>
        <v>0.21045049749010078</v>
      </c>
      <c r="T5" s="3243">
        <f t="shared" ca="1" si="5"/>
        <v>1.0417999999999998</v>
      </c>
      <c r="U5" s="3243">
        <f t="shared" ca="1" si="6"/>
        <v>0.59168617925998479</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506.39298300000002</v>
      </c>
      <c r="S6" s="3338">
        <f t="shared" ca="1" si="4"/>
        <v>0.19293308878039681</v>
      </c>
      <c r="T6" s="3243">
        <f t="shared" ca="1" si="5"/>
        <v>1.1223000000000001</v>
      </c>
      <c r="U6" s="3243">
        <f t="shared" ca="1" si="6"/>
        <v>0.64471701954293714</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485.65374000000003</v>
      </c>
      <c r="S7" s="3338">
        <f t="shared" ca="1" si="4"/>
        <v>0.17438762639818733</v>
      </c>
      <c r="T7" s="3243">
        <f t="shared" ca="1" si="5"/>
        <v>1.3754</v>
      </c>
      <c r="U7" s="3243">
        <f t="shared" ca="1" si="6"/>
        <v>0.70656987808071703</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179.81739999999999</v>
      </c>
      <c r="S8" s="3338">
        <f t="shared" ca="1" si="4"/>
        <v>0.16849142337019762</v>
      </c>
      <c r="T8" s="3243">
        <f t="shared" ca="1" si="5"/>
        <v>0.88579999999999992</v>
      </c>
      <c r="U8" s="3243">
        <f t="shared" ca="1" si="6"/>
        <v>0.45286070466164657</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224.19852000000003</v>
      </c>
      <c r="S9" s="3338">
        <f t="shared" ca="1" si="4"/>
        <v>0.18543782390833721</v>
      </c>
      <c r="T9" s="3243">
        <f t="shared" ca="1" si="5"/>
        <v>1.0894000000000001</v>
      </c>
      <c r="U9" s="3243">
        <f t="shared" ca="1" si="6"/>
        <v>0.56067852051916878</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220.76166000000001</v>
      </c>
      <c r="S10" s="3338">
        <f t="shared" ca="1" si="4"/>
        <v>0.18431811618215896</v>
      </c>
      <c r="T10" s="3243">
        <f t="shared" ca="1" si="5"/>
        <v>1.0727</v>
      </c>
      <c r="U10" s="3243">
        <f t="shared" ca="1" si="6"/>
        <v>0.55208357716257783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211.13022000000001</v>
      </c>
      <c r="S11" s="3338">
        <f t="shared" ca="1" si="4"/>
        <v>0.18104814702606883</v>
      </c>
      <c r="T11" s="3243">
        <f t="shared" ca="1" si="5"/>
        <v>1.0259</v>
      </c>
      <c r="U11" s="3243">
        <f t="shared" ca="1" si="6"/>
        <v>0.52799714907344886</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198.55584000000002</v>
      </c>
      <c r="S12" s="3338">
        <f t="shared" ca="1" si="4"/>
        <v>0.17650616086612153</v>
      </c>
      <c r="T12" s="3243">
        <f t="shared" ca="1" si="5"/>
        <v>0.96479999999999999</v>
      </c>
      <c r="U12" s="3243">
        <f t="shared" ca="1" si="6"/>
        <v>0.49655097906819723</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272.83578</v>
      </c>
      <c r="S13" s="3338">
        <f t="shared" ca="1" si="4"/>
        <v>0.21230287912804138</v>
      </c>
      <c r="T13" s="3243">
        <f t="shared" ca="1" si="5"/>
        <v>1.0767</v>
      </c>
      <c r="U13" s="3243">
        <f t="shared" ca="1" si="6"/>
        <v>0.60972976959349223</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327.01986800000003</v>
      </c>
      <c r="S14" s="3338">
        <f t="shared" ca="1" si="4"/>
        <v>0.18045559897631056</v>
      </c>
      <c r="T14" s="3243">
        <f t="shared" ca="1" si="5"/>
        <v>1.0507</v>
      </c>
      <c r="U14" s="3243">
        <f t="shared" ca="1" si="6"/>
        <v>0.586772173975454</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261.66084000000001</v>
      </c>
      <c r="S15" s="3338">
        <f t="shared" ca="1" si="4"/>
        <v>0.20877873211730447</v>
      </c>
      <c r="T15" s="3243">
        <f t="shared" ca="1" si="5"/>
        <v>1.0326</v>
      </c>
      <c r="U15" s="3243">
        <f t="shared" ca="1" si="6"/>
        <v>0.58475616242429662</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270.46690799999999</v>
      </c>
      <c r="S16" s="3338">
        <f t="shared" ca="1" si="4"/>
        <v>0.21410849828961395</v>
      </c>
      <c r="T16" s="3243">
        <f t="shared" ca="1" si="5"/>
        <v>1.0158</v>
      </c>
      <c r="U16" s="3243">
        <f t="shared" ca="1" si="6"/>
        <v>0.58755003584385113</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351.52199999999999</v>
      </c>
      <c r="S17" s="3338">
        <f t="shared" ca="1" si="4"/>
        <v>0.22751054961555389</v>
      </c>
      <c r="T17" s="3243">
        <f t="shared" ca="1" si="5"/>
        <v>1.4895</v>
      </c>
      <c r="U17" s="3243">
        <f t="shared" ca="1" si="6"/>
        <v>0.81735996465691629</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21" t="s">
        <v>956</v>
      </c>
      <c r="B15" s="3416" t="s">
        <v>109</v>
      </c>
      <c r="C15" s="3417"/>
    </row>
    <row r="16" spans="1:7" ht="13.5">
      <c r="A16" s="3422"/>
      <c r="B16" s="3416" t="s">
        <v>42</v>
      </c>
      <c r="C16" s="3417"/>
    </row>
    <row r="17" spans="1:3" ht="13.5">
      <c r="A17" s="3422"/>
      <c r="B17" s="3419" t="s">
        <v>957</v>
      </c>
      <c r="C17" s="1429" t="s">
        <v>956</v>
      </c>
    </row>
    <row r="18" spans="1:3" ht="13.5">
      <c r="A18" s="3422"/>
      <c r="B18" s="3419"/>
      <c r="C18" s="1429" t="s">
        <v>958</v>
      </c>
    </row>
    <row r="19" spans="1:3" ht="13.5">
      <c r="A19" s="3422"/>
      <c r="B19" s="3419"/>
      <c r="C19" s="1429" t="s">
        <v>959</v>
      </c>
    </row>
    <row r="20" spans="1:3" ht="13.5">
      <c r="A20" s="3423"/>
      <c r="B20" s="3418" t="s">
        <v>960</v>
      </c>
      <c r="C20" s="3417"/>
    </row>
    <row r="21" spans="1:3" ht="13.5">
      <c r="A21" s="1430" t="s">
        <v>961</v>
      </c>
      <c r="B21" s="1431"/>
      <c r="C21" s="1432"/>
    </row>
    <row r="22" spans="1:3" ht="13.5">
      <c r="A22" s="3420" t="s">
        <v>962</v>
      </c>
      <c r="B22" s="3418" t="s">
        <v>963</v>
      </c>
      <c r="C22" s="3417"/>
    </row>
    <row r="23" spans="1:3" ht="13.5">
      <c r="A23" s="3420"/>
      <c r="B23" s="3418" t="s">
        <v>964</v>
      </c>
      <c r="C23" s="3417"/>
    </row>
    <row r="24" spans="1:3" ht="13.5">
      <c r="A24" s="3420"/>
      <c r="B24" s="3418" t="s">
        <v>965</v>
      </c>
      <c r="C24" s="3417"/>
    </row>
    <row r="25" spans="1:3" ht="13.5">
      <c r="A25" s="3420"/>
      <c r="B25" s="3419" t="s">
        <v>966</v>
      </c>
      <c r="C25" s="1429" t="s">
        <v>967</v>
      </c>
    </row>
    <row r="26" spans="1:3" ht="13.5">
      <c r="A26" s="3420"/>
      <c r="B26" s="3419"/>
      <c r="C26" s="1429" t="s">
        <v>968</v>
      </c>
    </row>
    <row r="27" spans="1:3" ht="13.5">
      <c r="A27" s="3420"/>
      <c r="B27" s="3419"/>
      <c r="C27" s="1429" t="s">
        <v>969</v>
      </c>
    </row>
    <row r="28" spans="1:3" ht="13.5">
      <c r="A28" s="3420"/>
      <c r="B28" s="3419"/>
      <c r="C28" s="1429" t="s">
        <v>970</v>
      </c>
    </row>
    <row r="29" spans="1:3" ht="13.5">
      <c r="A29" s="3420"/>
      <c r="B29" s="3419"/>
      <c r="C29" s="1429" t="s">
        <v>971</v>
      </c>
    </row>
    <row r="30" spans="1:3" ht="13.5">
      <c r="A30" s="3420"/>
      <c r="B30" s="3419"/>
      <c r="C30" s="1429" t="s">
        <v>972</v>
      </c>
    </row>
    <row r="31" spans="1:3" ht="13.5">
      <c r="A31" s="3420"/>
      <c r="B31" s="3419"/>
      <c r="C31" s="1429" t="s">
        <v>973</v>
      </c>
    </row>
    <row r="32" spans="1:3" ht="13.5">
      <c r="A32" s="3420"/>
      <c r="B32" s="3419"/>
      <c r="C32" s="1429" t="s">
        <v>974</v>
      </c>
    </row>
    <row r="33" spans="1:3" ht="13.5">
      <c r="A33" s="3420"/>
      <c r="B33" s="341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46013</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24" t="s">
        <v>2158</v>
      </c>
      <c r="B17" s="3424"/>
      <c r="C17" s="3424"/>
      <c r="D17" s="3424"/>
      <c r="E17" s="3424"/>
      <c r="F17" s="3424"/>
      <c r="G17" s="3424"/>
      <c r="H17" s="3424"/>
    </row>
    <row r="18" spans="1:8" ht="24" customHeight="1">
      <c r="A18" s="3425" t="s">
        <v>2159</v>
      </c>
      <c r="B18" s="3425"/>
      <c r="C18" s="3425"/>
      <c r="D18" s="2160"/>
      <c r="E18" s="3426" t="s">
        <v>2160</v>
      </c>
      <c r="F18" s="3425"/>
      <c r="G18" s="3425"/>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71" priority="32" stopIfTrue="1" operator="equal">
      <formula>"已过期"</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C4:D6 D14">
    <cfRule type="cellIs" dxfId="165" priority="50" stopIfTrue="1" operator="lessThan">
      <formula>$B$2</formula>
    </cfRule>
  </conditionalFormatting>
  <conditionalFormatting sqref="C12:D13">
    <cfRule type="expression" dxfId="164" priority="47">
      <formula>AND($C12-TODAY()&lt;30,TODAY()&lt;$C12)</formula>
    </cfRule>
  </conditionalFormatting>
  <conditionalFormatting sqref="C13:D14">
    <cfRule type="expression" dxfId="163" priority="18">
      <formula>AND($C13-TODAY()&lt;30,TODAY()&lt;$C13)</formula>
    </cfRule>
    <cfRule type="cellIs" dxfId="162" priority="19" stopIfTrue="1" operator="lessThan">
      <formula>$B$2</formula>
    </cfRule>
  </conditionalFormatting>
  <conditionalFormatting sqref="C15:D15">
    <cfRule type="expression" dxfId="161" priority="5">
      <formula>AND($C15-TODAY()&lt;30,TODAY()&lt;$C15)</formula>
    </cfRule>
    <cfRule type="cellIs" dxfId="160" priority="6" stopIfTrue="1" operator="lessThan">
      <formula>$B$2</formula>
    </cfRule>
  </conditionalFormatting>
  <conditionalFormatting sqref="C20:D20 C13:D13">
    <cfRule type="cellIs" dxfId="159" priority="54" stopIfTrue="1" operator="lessThan">
      <formula>$B$2</formula>
    </cfRule>
  </conditionalFormatting>
  <conditionalFormatting sqref="C20:D20">
    <cfRule type="expression" dxfId="158" priority="52">
      <formula>AND($C20-TODAY()&lt;30,TODAY()&lt;$C20)</formula>
    </cfRule>
  </conditionalFormatting>
  <conditionalFormatting sqref="D7:D12 D16">
    <cfRule type="expression" dxfId="157" priority="53">
      <formula>AND($C7-TODAY()&lt;30,TODAY()&lt;$C7)</formula>
    </cfRule>
  </conditionalFormatting>
  <conditionalFormatting sqref="D7:D12">
    <cfRule type="cellIs" dxfId="156" priority="48" stopIfTrue="1" operator="lessThan">
      <formula>$B$2</formula>
    </cfRule>
  </conditionalFormatting>
  <conditionalFormatting sqref="D14 C4:D6">
    <cfRule type="expression" dxfId="155" priority="49">
      <formula>AND($C4-TODAY()&lt;30,TODAY()&lt;$C4)</formula>
    </cfRule>
  </conditionalFormatting>
  <conditionalFormatting sqref="D15:D16">
    <cfRule type="expression" dxfId="154" priority="12">
      <formula>AND($C15-TODAY()&lt;30,TODAY()&lt;$C15)</formula>
    </cfRule>
    <cfRule type="cellIs" dxfId="153" priority="13" stopIfTrue="1" operator="lessThan">
      <formula>$B$2</formula>
    </cfRule>
  </conditionalFormatting>
  <conditionalFormatting sqref="E16:G16">
    <cfRule type="cellIs" dxfId="152" priority="31" stopIfTrue="1" operator="equal">
      <formula>"已过期"</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159</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最终结果表!Print_Area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2025-08-06T01:26:05Z</cp:lastPrinted>
  <dcterms:created xsi:type="dcterms:W3CDTF">2015-07-13T07:17:23Z</dcterms:created>
  <dcterms:modified xsi:type="dcterms:W3CDTF">2025-12-22T03:14:07Z</dcterms:modified>
</cp:coreProperties>
</file>