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<sst xmlns="http://schemas.openxmlformats.org/spreadsheetml/2006/main" count="2329">
  <si>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</si>
  <si>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</si>
  <si>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</si>
  <si>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</si>
  <si>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</si>
  <si>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</si>
  <si>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</si>
  <si>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</si>
  <si>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</si>
  <si>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</si>
  <si>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</si>
  <si>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</si>
  <si>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</si>
  <si>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</si>
  <si>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</si>
  <si>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</si>
  <si>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</si>
  <si>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</si>
  <si>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</si>
  <si>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</si>
  <si>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</si>
  <si>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</si>
  <si>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</si>
  <si>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</si>
  <si>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</si>
  <si>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</si>
  <si>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</si>
  <si>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</si>
  <si>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</si>
  <si>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</si>
  <si>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</si>
  <si>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</si>
  <si>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</si>
  <si>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</si>
  <si>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</si>
  <si>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</si>
  <si>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</si>
  <si>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</si>
  <si>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</si>
  <si>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</si>
  <si>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</si>
  <si>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</si>
  <si>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</si>
  <si>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</si>
  <si>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</si>
  <si>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</si>
  <si>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</si>
  <si>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</si>
  <si>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</si>
  <si>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</si>
  <si>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</si>
  <si>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</si>
  <si>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</si>
  <si>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</si>
  <si>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</si>
  <si>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</si>
  <si>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</si>
  <si>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</si>
  <si>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</si>
  <si>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</si>
  <si>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</si>
  <si>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</si>
  <si>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</si>
  <si>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</si>
  <si>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</si>
  <si>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</si>
  <si>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</si>
  <si>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</si>
  <si>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</si>
  <si>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</si>
  <si>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</si>
  <si>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</si>
  <si>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</si>
  <si>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</si>
  <si>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</si>
  <si>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</si>
  <si>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</si>
  <si>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</si>
  <si>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</si>
  <si>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</si>
  <si>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</si>
  <si>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</si>
  <si>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</si>
  <si>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</si>
  <si>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</si>
  <si>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</si>
  <si>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</si>
  <si>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</si>
  <si>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</si>
  <si>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</si>
  <si>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</si>
  <si>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</si>
  <si>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</si>
  <si>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</si>
  <si>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</si>
  <si>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</si>
  <si>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</si>
  <si>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</si>
  <si>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</si>
  <si>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</si>
  <si>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</si>
  <si>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</si>
  <si>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</si>
  <si>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</si>
  <si>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</si>
  <si>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</si>
  <si>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</si>
  <si>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</si>
  <si>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</si>
  <si>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</si>
  <si>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</si>
  <si>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</si>
  <si>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</si>
  <si>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</si>
  <si>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</si>
  <si>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</si>
  <si>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</si>
  <si>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</si>
  <si>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</si>
  <si>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</si>
  <si>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</si>
  <si>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</si>
  <si>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</si>
  <si>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</si>
  <si>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</si>
  <si>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</si>
  <si>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</si>
  <si>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</si>
  <si>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</si>
  <si>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</si>
  <si>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</si>
  <si>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</si>
  <si>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</si>
  <si>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</si>
  <si>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</si>
  <si>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</si>
  <si>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</si>
  <si>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</si>
  <si>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</si>
  <si>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</si>
  <si>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</si>
  <si>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</si>
  <si>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</si>
  <si>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</si>
  <si>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</si>
  <si>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</si>
  <si>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</si>
  <si>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</si>
  <si>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</si>
  <si>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</si>
  <si>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</si>
  <si>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</si>
  <si>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</si>
  <si>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</si>
  <si>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</si>
  <si>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</si>
  <si>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</si>
  <si>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</si>
  <si>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</si>
  <si>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</si>
  <si>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</si>
  <si>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</si>
  <si>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</si>
  <si>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</si>
  <si>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</si>
  <si>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</si>
  <si>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</si>
  <si>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</si>
  <si>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</si>
  <si>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</si>
  <si>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</si>
  <si>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</si>
  <si>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</si>
  <si>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</si>
  <si>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</si>
  <si>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</si>
  <si>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</si>
  <si>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</si>
  <si>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</si>
  <si>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</si>
  <si>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</si>
  <si>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</si>
  <si>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</si>
  <si>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</si>
  <si>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</si>
  <si>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</si>
  <si>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</si>
  <si>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</si>
  <si>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</si>
  <si>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</si>
  <si>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</si>
  <si>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</si>
  <si>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</si>
  <si>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</si>
  <si>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</si>
  <si>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</si>
  <si>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</si>
  <si>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</si>
  <si>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</si>
  <si>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</si>
  <si>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</si>
  <si>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</si>
  <si>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</si>
  <si>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</si>
  <si>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</si>
  <si>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</si>
  <si>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</si>
  <si>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</si>
  <si>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</si>
  <si>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</si>
  <si>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</si>
  <si>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</si>
  <si>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</si>
  <si>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</si>
  <si>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</si>
  <si>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</si>
  <si>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</si>
  <si>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</si>
  <si>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</si>
  <si>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</si>
  <si>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</si>
  <si>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</si>
  <si>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</si>
  <si>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</si>
  <si>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</si>
  <si>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</si>
  <si>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</si>
  <si>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</si>
  <si>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</si>
  <si>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</si>
  <si>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</si>
  <si>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</si>
  <si>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</si>
  <si>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</si>
  <si>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</si>
  <si>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</si>
  <si>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</si>
  <si>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</si>
  <si>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</si>
  <si>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</si>
  <si>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</si>
  <si>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</si>
  <si>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</si>
  <si>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</si>
  <si>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</si>
  <si>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</si>
  <si>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</si>
  <si>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</si>
  <si>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</si>
  <si>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</si>
  <si>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</si>
  <si>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</si>
  <si>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</si>
  <si>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</si>
  <si>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</si>
  <si>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</si>
  <si>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</si>
  <si>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</si>
  <si>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</si>
  <si>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</si>
  <si>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</si>
  <si>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</si>
  <si>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</si>
  <si>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</si>
  <si>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</si>
  <si>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</si>
  <si>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</si>
  <si>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</si>
  <si>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</si>
  <si>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</si>
  <si>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</si>
  <si>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</si>
  <si>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</si>
  <si>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</si>
  <si>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</si>
  <si>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</si>
  <si>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</si>
  <si>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</si>
  <si>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</si>
  <si>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</si>
  <si>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</si>
  <si>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</si>
  <si>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</si>
  <si>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</si>
  <si>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</si>
  <si>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</si>
  <si>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</si>
  <si>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</si>
  <si>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</si>
  <si>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</si>
  <si>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</si>
  <si>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</si>
  <si>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</si>
  <si>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</si>
  <si>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</si>
  <si>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</si>
  <si>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</si>
  <si>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</si>
  <si>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</si>
  <si>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</si>
  <si>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</si>
  <si>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</si>
  <si>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</si>
  <si>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</si>
  <si>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</si>
  <si>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</si>
  <si>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</si>
  <si>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</si>
  <si>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</si>
  <si>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</si>
  <si>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</si>
  <si>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</si>
  <si>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</si>
  <si>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</si>
  <si>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</si>
  <si>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</si>
  <si>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</si>
  <si>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</si>
  <si>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</si>
  <si>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</si>
  <si>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</si>
  <si>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</si>
  <si>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</si>
  <si>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</si>
  <si>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</si>
  <si>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</si>
  <si>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</si>
  <si>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</si>
  <si>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</si>
  <si>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</si>
  <si>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</si>
  <si>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</si>
  <si>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</si>
  <si>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</si>
  <si>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</si>
  <si>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</si>
  <si>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</si>
  <si>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</si>
  <si>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</si>
  <si>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</si>
  <si>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</si>
  <si>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</si>
  <si>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</si>
  <si>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</si>
  <si>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</si>
  <si>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</si>
  <si>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</si>
  <si>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</si>
  <si>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</si>
  <si>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</si>
  <si>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</si>
  <si>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</si>
  <si>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</si>
  <si>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</si>
  <si>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</si>
  <si>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</si>
  <si>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</si>
  <si>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</si>
  <si>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</si>
  <si>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</si>
  <si>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</si>
  <si>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</si>
  <si>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</si>
  <si>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</si>
  <si>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</si>
  <si>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</si>
  <si>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</si>
  <si>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</si>
  <si>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</si>
  <si>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</si>
  <si>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</si>
  <si>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</si>
  <si>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</si>
  <si>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</si>
  <si>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</si>
  <si>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</si>
  <si>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</si>
  <si>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</si>
  <si>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</si>
  <si>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</si>
  <si>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</si>
  <si>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</si>
  <si>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</si>
  <si>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</si>
  <si>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</si>
  <si>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</si>
  <si>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</si>
  <si>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</si>
  <si>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</si>
  <si>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</si>
  <si>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</si>
  <si>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</si>
  <si>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</si>
  <si>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</si>
  <si>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</si>
  <si>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</si>
  <si>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</si>
  <si>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</si>
  <si>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</si>
  <si>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</si>
  <si>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</si>
  <si>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</si>
  <si>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</si>
  <si>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</si>
  <si>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</si>
  <si>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</si>
  <si>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</si>
  <si>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</si>
  <si>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</si>
  <si>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</si>
  <si>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</si>
  <si>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</si>
  <si>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</si>
  <si>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</si>
  <si>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</si>
  <si>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</si>
  <si>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</si>
  <si>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</si>
  <si>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</si>
  <si>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</si>
  <si>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</si>
  <si>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</si>
  <si>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</si>
  <si>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</si>
  <si>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</si>
  <si>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</si>
  <si>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</si>
  <si>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</si>
  <si>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</si>
  <si>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</si>
  <si>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</si>
  <si>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</si>
  <si>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</si>
  <si>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</si>
  <si>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</si>
  <si>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</si>
  <si>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</si>
  <si>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</si>
  <si>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</si>
  <si>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</si>
  <si>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</si>
  <si>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</si>
  <si>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</si>
  <si>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</si>
  <si>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</si>
  <si>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</si>
  <si>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</si>
  <si>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</si>
  <si>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</si>
  <si>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</si>
  <si>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</si>
  <si>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</si>
  <si>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</si>
  <si>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</si>
  <si>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</si>
  <si>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</si>
  <si>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</si>
  <si>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</si>
  <si>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</si>
  <si>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</si>
  <si>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</si>
  <si>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</si>
  <si>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</si>
  <si>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</si>
  <si>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</si>
  <si>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</si>
  <si>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</si>
  <si>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</si>
  <si>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</si>
  <si>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</si>
  <si>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</si>
  <si>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</si>
  <si>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</si>
  <si>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</si>
  <si>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</si>
  <si>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</si>
  <si>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</si>
  <si>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</si>
  <si>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</si>
  <si>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</si>
  <si>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</si>
  <si>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</si>
  <si>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</si>
  <si>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</si>
  <si>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</si>
  <si>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</si>
  <si>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</si>
  <si>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</si>
  <si>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</si>
  <si>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</si>
  <si>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</si>
  <si>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</si>
  <si>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</si>
  <si>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</si>
  <si>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</si>
  <si>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</si>
  <si>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</si>
  <si>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</si>
  <si>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</si>
  <si>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</si>
  <si>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</si>
  <si>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</si>
  <si>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</si>
  <si>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</si>
  <si>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</si>
  <si>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</si>
  <si>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</si>
  <si>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</si>
  <si>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</si>
  <si>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</si>
  <si>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</si>
  <si>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</si>
  <si>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</si>
  <si>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</si>
  <si>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</si>
  <si>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</si>
  <si>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</si>
  <si>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</si>
  <si>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</si>
  <si>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</si>
  <si>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</si>
  <si>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</si>
  <si>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</si>
  <si>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</si>
  <si>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</si>
  <si>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</si>
  <si>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</si>
  <si>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</si>
  <si>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</si>
  <si>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</si>
  <si>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</si>
  <si>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</si>
  <si>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</si>
  <si>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</si>
  <si>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</si>
  <si>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</si>
  <si>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</si>
  <si>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</si>
  <si>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</si>
  <si>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</si>
  <si>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</si>
  <si>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</si>
  <si>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</si>
  <si>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</si>
  <si>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</si>
  <si>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</si>
  <si>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</si>
  <si>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</si>
  <si>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</si>
  <si>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</si>
  <si>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</si>
  <si>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</si>
  <si>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</si>
  <si>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</si>
  <si>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</si>
  <si>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</si>
  <si>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估价对象位于CBD商圈，周边办公楼项目成熟度好，办公集聚程度好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</si>
  <si>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</si>
  <si>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估价对象周边道路状况、公共交通通达情况、停车便捷程度，综合评价交通便捷度好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</si>
  <si>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</si>
  <si>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</si>
  <si>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</si>
  <si>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t>估价对象所在区域公共配套设施完备程度好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</si>
  <si>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</si>
  <si>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</si>
  <si>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估价对象所在区域红线外基础设施水平六通一平</t>
  </si>
  <si>
    <r>
      <rPr>
        <sz val="11"/>
        <color indexed="8"/>
        <rFont val="宋体"/>
        <charset val="134"/>
      </rPr>
      <t>自然及人文环境</t>
    </r>
  </si>
  <si>
    <t>区域自然环境：CBD历史文化公园、呼家楼社区公园、联馨园；人文环境韩国文化院、考文垂大学、北京今日美术馆：综合评价环境状况好</t>
  </si>
  <si>
    <r>
      <rPr>
        <sz val="11"/>
        <color indexed="8"/>
        <rFont val="宋体"/>
        <charset val="134"/>
      </rPr>
      <t>毗邻道路的类型与等级</t>
    </r>
  </si>
  <si>
    <r>
      <rPr>
        <sz val="11"/>
        <color theme="9" tint="-0.249977111117893"/>
        <rFont val="宋体"/>
        <charset val="134"/>
      </rPr>
      <t>城市主干道</t>
    </r>
    <r>
      <rPr>
        <sz val="11"/>
        <color theme="9" tint="-0.249977111117893"/>
        <rFont val="Arial"/>
        <charset val="134"/>
      </rPr>
      <t>——</t>
    </r>
    <r>
      <rPr>
        <sz val="11"/>
        <color theme="9" tint="-0.249977111117893"/>
        <rFont val="宋体"/>
        <charset val="134"/>
      </rPr>
      <t>东三环中路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</si>
  <si>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</si>
  <si>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</si>
  <si>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</si>
  <si>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</si>
  <si>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</si>
  <si>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</si>
  <si>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</si>
  <si>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</si>
  <si>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</si>
  <si>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</si>
  <si>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</si>
  <si>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</si>
  <si>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</si>
  <si>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</si>
  <si>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</si>
  <si>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</si>
  <si>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</si>
  <si>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</si>
  <si>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</si>
  <si>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</si>
  <si>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</si>
  <si>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</si>
  <si>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</si>
  <si>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</si>
  <si>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</si>
  <si>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</si>
  <si>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</si>
  <si>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</si>
  <si>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</si>
  <si>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</si>
  <si>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</si>
  <si>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</si>
  <si>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</si>
  <si>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</si>
  <si>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</si>
  <si>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</si>
  <si>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</si>
  <si>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</si>
  <si>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</si>
  <si>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</si>
  <si>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</si>
  <si>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</si>
  <si>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</si>
  <si>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</si>
  <si>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</si>
  <si>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</si>
  <si>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</si>
  <si>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</si>
  <si>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</si>
  <si>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</si>
  <si>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</si>
  <si>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</si>
  <si>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</si>
  <si>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</si>
  <si>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</si>
  <si>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</si>
  <si>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</si>
  <si>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</si>
  <si>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</si>
  <si>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</si>
  <si>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</si>
  <si>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</si>
  <si>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</si>
  <si>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</si>
  <si>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</si>
  <si>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</si>
  <si>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</si>
  <si>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</si>
  <si>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</si>
  <si>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</si>
  <si>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</si>
  <si>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</si>
  <si>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</si>
  <si>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</si>
  <si>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</si>
  <si>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</si>
  <si>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</si>
  <si>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</si>
  <si>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</si>
  <si>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</si>
  <si>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</si>
  <si>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</si>
  <si>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</si>
  <si>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</si>
  <si>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</si>
  <si>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</si>
  <si>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</si>
  <si>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</si>
  <si>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</si>
  <si>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</si>
  <si>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</si>
  <si>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</si>
  <si>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</si>
  <si>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</si>
  <si>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</si>
  <si>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</si>
  <si>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</si>
  <si>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</si>
  <si>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</si>
  <si>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</si>
  <si>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</si>
  <si>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</si>
  <si>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</si>
  <si>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</si>
  <si>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</si>
  <si>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</si>
  <si>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</si>
  <si>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</si>
  <si>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</si>
  <si>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</si>
  <si>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</si>
  <si>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</si>
  <si>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</si>
  <si>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</si>
  <si>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</si>
  <si>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</si>
  <si>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</si>
  <si>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</si>
  <si>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</si>
  <si>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</si>
  <si>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</si>
  <si>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</si>
  <si>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</si>
  <si>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</si>
  <si>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</si>
  <si>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</si>
  <si>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</si>
  <si>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</si>
  <si>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</si>
  <si>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</si>
  <si>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</si>
  <si>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</si>
  <si>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</si>
  <si>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</si>
  <si>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</si>
  <si>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</si>
  <si>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</si>
  <si>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</si>
  <si>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</si>
  <si>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</si>
  <si>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</si>
  <si>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</si>
  <si>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</si>
  <si>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</si>
  <si>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</si>
  <si>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</si>
  <si>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</si>
  <si>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</si>
  <si>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</si>
  <si>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</si>
  <si>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</si>
  <si>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</si>
  <si>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</si>
  <si>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</si>
  <si>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</si>
  <si>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</si>
  <si>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</si>
  <si>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</si>
  <si>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</si>
  <si>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</si>
  <si>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</si>
  <si>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</si>
  <si>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</si>
  <si>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</si>
  <si>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</si>
  <si>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</si>
  <si>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</si>
  <si>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</si>
  <si>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</si>
  <si>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</si>
  <si>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</si>
  <si>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</si>
  <si>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</si>
  <si>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</si>
  <si>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</si>
  <si>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</si>
  <si>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</si>
  <si>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</si>
  <si>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</si>
  <si>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</si>
  <si>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</si>
  <si>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</si>
  <si>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</si>
  <si>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</si>
  <si>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</si>
  <si>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</si>
  <si>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</si>
  <si>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</si>
  <si>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</si>
  <si>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</si>
  <si>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</si>
  <si>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</si>
  <si>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</si>
  <si>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</si>
  <si>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</si>
  <si>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</si>
  <si>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</si>
  <si>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</si>
  <si>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</si>
  <si>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</si>
  <si>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</si>
  <si>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</si>
  <si>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</si>
  <si>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</si>
  <si>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</si>
  <si>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</si>
  <si>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</si>
  <si>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</si>
  <si>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</si>
  <si>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</si>
  <si>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</si>
  <si>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</si>
  <si>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</si>
  <si>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</si>
  <si>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</si>
  <si>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</si>
  <si>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</si>
  <si>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</si>
  <si>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</si>
  <si>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</si>
  <si>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</si>
  <si>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</si>
  <si>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</si>
  <si>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</si>
  <si>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</si>
  <si>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</si>
  <si>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</si>
  <si>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</si>
  <si>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</si>
  <si>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</si>
  <si>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</si>
  <si>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</si>
  <si>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</si>
  <si>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</si>
  <si>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</si>
  <si>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</si>
  <si>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</si>
  <si>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</si>
  <si>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</si>
  <si>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</si>
  <si>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</si>
  <si>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</si>
  <si>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</si>
  <si>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</si>
  <si>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</si>
  <si>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</si>
  <si>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</si>
  <si>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</si>
  <si>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</si>
  <si>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</si>
  <si>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</si>
  <si>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</si>
  <si>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</si>
  <si>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</si>
  <si>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</si>
  <si>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</si>
  <si>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</si>
  <si>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</si>
  <si>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</si>
  <si>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</si>
  <si>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</si>
  <si>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</si>
  <si>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</si>
  <si>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</si>
  <si>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</si>
  <si>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</si>
  <si>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</si>
  <si>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</si>
  <si>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</si>
  <si>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</si>
  <si>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</si>
  <si>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</si>
  <si>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</si>
  <si>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</si>
  <si>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</si>
  <si>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</si>
  <si>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</si>
  <si>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</si>
  <si>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</si>
  <si>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</si>
  <si>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</si>
  <si>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</si>
  <si>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</si>
  <si>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</si>
  <si>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</si>
  <si>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</si>
  <si>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</si>
  <si>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</si>
  <si>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</si>
  <si>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</si>
  <si>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</si>
  <si>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</si>
  <si>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</si>
  <si>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</si>
  <si>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</si>
  <si>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</si>
  <si>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</si>
  <si>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</si>
  <si>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</si>
  <si>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</si>
  <si>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</si>
  <si>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</si>
  <si>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</si>
  <si>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</si>
  <si>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</si>
  <si>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</si>
  <si>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</si>
  <si>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</si>
  <si>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</si>
  <si>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</si>
  <si>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</si>
  <si>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</si>
  <si>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</si>
  <si>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</si>
  <si>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</si>
  <si>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</si>
  <si>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</si>
  <si>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</si>
  <si>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</si>
  <si>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</si>
  <si>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</si>
  <si>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</si>
  <si>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</si>
  <si>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</si>
  <si>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</si>
  <si>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</si>
  <si>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</si>
  <si>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</si>
  <si>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</si>
  <si>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</si>
  <si>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</si>
  <si>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</si>
  <si>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</si>
  <si>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</si>
  <si>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</si>
  <si>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</si>
  <si>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</si>
  <si>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</si>
  <si>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</si>
  <si>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</si>
  <si>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</si>
  <si>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</si>
  <si>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</si>
  <si>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</si>
  <si>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</si>
  <si>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</si>
  <si>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</si>
  <si>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</si>
  <si>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</si>
  <si>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</si>
  <si>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</si>
  <si>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</si>
  <si>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</si>
  <si>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</si>
  <si>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</si>
  <si>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</si>
  <si>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</si>
  <si>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</si>
  <si>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</si>
  <si>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</si>
  <si>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</si>
  <si>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</si>
  <si>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</si>
  <si>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</si>
  <si>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</si>
  <si>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</si>
  <si>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</si>
  <si>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</si>
  <si>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</si>
  <si>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</si>
  <si>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</si>
  <si>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</si>
  <si>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</si>
  <si>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</si>
  <si>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</si>
  <si>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</si>
  <si>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</si>
  <si>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</si>
  <si>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</si>
  <si>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</si>
  <si>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</si>
  <si>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</si>
  <si>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</si>
  <si>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</si>
  <si>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</si>
  <si>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</si>
  <si>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</si>
  <si>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</si>
  <si>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</si>
  <si>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</si>
  <si>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</si>
  <si>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</si>
  <si>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</si>
  <si>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</si>
  <si>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</si>
  <si>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</si>
  <si>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</si>
  <si>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</si>
  <si>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</si>
  <si>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</si>
  <si>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</si>
  <si>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</si>
  <si>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</si>
  <si>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</si>
  <si>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</si>
  <si>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</si>
  <si>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</si>
  <si>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</si>
  <si>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</si>
  <si>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</si>
  <si>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</si>
  <si>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</si>
  <si>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</si>
  <si>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</si>
  <si>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</si>
  <si>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</si>
  <si>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</si>
  <si>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</si>
  <si>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</si>
  <si>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</si>
  <si>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</si>
  <si>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</si>
  <si>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</si>
  <si>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</si>
  <si>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</si>
  <si>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</si>
  <si>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</si>
  <si>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</si>
  <si>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</si>
  <si>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</si>
  <si>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</si>
  <si>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</si>
  <si>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</si>
  <si>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</si>
  <si>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</si>
  <si>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</si>
  <si>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</si>
  <si>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</si>
  <si>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</si>
  <si>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</si>
  <si>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</si>
  <si>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</si>
  <si>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</si>
  <si>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</si>
  <si>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</si>
  <si>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</si>
  <si>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</si>
  <si>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</si>
  <si>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</si>
  <si>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</si>
  <si>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</si>
  <si>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</si>
  <si>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</si>
  <si>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</si>
  <si>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</si>
  <si>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</si>
  <si>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</si>
  <si>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</si>
  <si>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</si>
  <si>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</si>
  <si>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</si>
  <si>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</si>
  <si>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</si>
  <si>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</si>
  <si>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</si>
  <si>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</si>
  <si>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</si>
  <si>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</si>
  <si>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</si>
  <si>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</si>
  <si>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</si>
  <si>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</si>
  <si>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</si>
  <si>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</si>
  <si>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</si>
  <si>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</si>
  <si>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</si>
  <si>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</si>
  <si>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</si>
  <si>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</si>
  <si>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</si>
  <si>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</si>
  <si>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</si>
  <si>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</si>
  <si>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</si>
  <si>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</si>
  <si>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</si>
  <si>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</si>
  <si>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</si>
  <si>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</si>
  <si>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</si>
  <si>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</si>
  <si>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</si>
  <si>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</si>
  <si>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</si>
  <si>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</si>
  <si>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</si>
  <si>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</si>
  <si>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</si>
  <si>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</si>
  <si>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</si>
  <si>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</si>
  <si>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</si>
  <si>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</si>
  <si>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</si>
  <si>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</si>
  <si>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</si>
  <si>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</si>
  <si>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</si>
  <si>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</si>
  <si>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</si>
  <si>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</si>
  <si>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</si>
  <si>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</si>
  <si>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</si>
  <si>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</si>
  <si>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</si>
  <si>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</si>
  <si>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</si>
  <si>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</si>
  <si>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</si>
  <si>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</si>
  <si>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</si>
  <si>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</si>
  <si>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</si>
  <si>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</si>
  <si>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</si>
  <si>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</si>
  <si>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</si>
  <si>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</si>
  <si>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</si>
  <si>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</si>
  <si>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</si>
  <si>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</si>
  <si>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</si>
  <si>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</si>
  <si>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</si>
  <si>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</si>
  <si>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</si>
  <si>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</si>
  <si>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</si>
  <si>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</si>
  <si>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</si>
  <si>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</si>
  <si>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</si>
  <si>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</si>
  <si>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</si>
  <si>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</si>
  <si>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</si>
  <si>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</si>
  <si>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</si>
  <si>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</si>
  <si>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</si>
  <si>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</si>
  <si>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</si>
  <si>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</si>
  <si>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</si>
  <si>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</si>
  <si>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</si>
  <si>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</si>
  <si>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</si>
  <si>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</si>
  <si>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</si>
  <si>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</si>
  <si>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</si>
  <si>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</si>
  <si>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</si>
  <si>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</si>
  <si>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</si>
  <si>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</si>
  <si>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</si>
  <si>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</si>
  <si>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</si>
  <si>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</si>
  <si>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</si>
  <si>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</si>
  <si>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</si>
  <si>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</si>
  <si>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</si>
  <si>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</si>
  <si>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</si>
  <si>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</si>
  <si>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</si>
  <si>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</si>
  <si>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</si>
  <si>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</si>
  <si>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</si>
  <si>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</si>
  <si>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</si>
  <si>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</si>
  <si>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</si>
  <si>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</si>
  <si>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</si>
  <si>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</si>
  <si>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</si>
  <si>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</si>
  <si>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</si>
  <si>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</si>
  <si>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</si>
  <si>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</si>
  <si>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</si>
  <si>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</si>
  <si>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</si>
  <si>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</si>
  <si>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</si>
  <si>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</si>
  <si>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</si>
  <si>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</si>
  <si>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</si>
  <si>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</si>
  <si>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</si>
  <si>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</si>
  <si>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</si>
  <si>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</si>
  <si>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</si>
  <si>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</si>
  <si>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</si>
  <si>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</si>
  <si>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</si>
  <si>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</si>
  <si>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</si>
  <si>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</si>
  <si>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</si>
  <si>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</si>
  <si>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</si>
  <si>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</si>
  <si>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</si>
  <si>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</si>
  <si>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</si>
  <si>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</si>
  <si>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</si>
  <si>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</si>
  <si>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</si>
  <si>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</si>
  <si>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</si>
  <si>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</si>
  <si>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</si>
  <si>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</si>
  <si>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</si>
  <si>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</si>
  <si>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</si>
  <si>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</si>
  <si>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</si>
  <si>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</si>
  <si>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</si>
  <si>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</si>
  <si>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</si>
  <si>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</si>
  <si>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</si>
  <si>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</si>
  <si>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</si>
  <si>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</si>
  <si>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</si>
  <si>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</si>
  <si>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</si>
  <si>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</si>
  <si>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</si>
  <si>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</si>
  <si>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</si>
  <si>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</si>
  <si>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</si>
  <si>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</si>
  <si>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</si>
  <si>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</si>
  <si>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</si>
  <si>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</si>
  <si>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</si>
  <si>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</si>
  <si>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</si>
  <si>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</si>
  <si>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</si>
  <si>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</si>
  <si>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</si>
  <si>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</si>
  <si>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</si>
  <si>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</si>
  <si>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</si>
  <si>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</si>
  <si>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</si>
  <si>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</si>
  <si>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</si>
  <si>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</si>
  <si>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</si>
  <si>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</si>
  <si>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</si>
  <si>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</si>
  <si>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</si>
  <si>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</si>
  <si>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</si>
  <si>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</si>
  <si>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</si>
  <si>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</si>
  <si>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</si>
  <si>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</si>
  <si>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</si>
  <si>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</si>
  <si>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</si>
  <si>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</si>
  <si>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</si>
  <si>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</si>
  <si>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</si>
  <si>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</si>
  <si>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</si>
  <si>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</si>
  <si>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</si>
  <si>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</si>
  <si>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</si>
  <si>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</si>
  <si>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</si>
  <si>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</si>
  <si>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</si>
  <si>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</si>
  <si>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</si>
  <si>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</si>
  <si>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</si>
  <si>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</si>
  <si>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</si>
  <si>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</si>
  <si>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</si>
  <si>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</si>
  <si>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</si>
  <si>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</si>
  <si>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</si>
  <si>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</si>
  <si>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</si>
  <si>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</si>
  <si>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</si>
  <si>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</si>
  <si>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</si>
  <si>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</si>
  <si>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</si>
  <si>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</si>
  <si>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</si>
  <si>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</si>
  <si>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</si>
  <si>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</si>
  <si>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</si>
  <si>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</si>
  <si>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</si>
  <si>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</si>
  <si>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</si>
  <si>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</si>
  <si>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</si>
  <si>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</si>
  <si>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</si>
  <si>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</si>
  <si>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</si>
  <si>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</si>
  <si>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</si>
  <si>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</si>
  <si>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</si>
  <si>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</si>
  <si>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</si>
  <si>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</si>
  <si>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</si>
  <si>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</si>
  <si>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</si>
  <si>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</si>
  <si>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</si>
  <si>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</si>
  <si>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</si>
  <si>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</si>
  <si>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</si>
  <si>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</si>
  <si>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</si>
  <si>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</si>
  <si>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</si>
  <si>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</si>
  <si>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</si>
  <si>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</si>
  <si>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</si>
  <si>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</si>
  <si>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</si>
  <si>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</si>
  <si>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</si>
  <si>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</si>
  <si>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</si>
  <si>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</si>
  <si>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</si>
  <si>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</si>
  <si>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</si>
  <si>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</si>
  <si>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</si>
  <si>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</si>
  <si>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</si>
  <si>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</si>
  <si>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</si>
  <si>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</si>
  <si>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</si>
  <si>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</si>
  <si>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</si>
  <si>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</si>
  <si>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</si>
  <si>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</si>
  <si>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</si>
  <si>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</si>
  <si>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</si>
  <si>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</si>
  <si>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</si>
  <si>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</si>
  <si>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</si>
  <si>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</si>
  <si>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</si>
  <si>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</si>
  <si>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</si>
  <si>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</si>
  <si>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</si>
  <si>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</si>
  <si>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</si>
  <si>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</si>
  <si>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</si>
  <si>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</si>
  <si>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</si>
  <si>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</si>
  <si>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</si>
  <si>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</si>
  <si>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</si>
  <si>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</si>
  <si>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</si>
  <si>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</si>
  <si>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</si>
  <si>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</si>
  <si>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</si>
  <si>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</si>
  <si>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</si>
  <si>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</si>
  <si>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</si>
  <si>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</si>
  <si>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</si>
  <si>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</si>
  <si>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</si>
  <si>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</si>
  <si>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</si>
  <si>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</si>
  <si>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</si>
  <si>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</si>
  <si>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</si>
  <si>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</si>
  <si>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</si>
  <si>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</si>
  <si>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</si>
  <si>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</si>
  <si>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</si>
  <si>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</si>
  <si>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</si>
  <si>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</si>
  <si>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</si>
  <si>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</si>
  <si>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</si>
  <si>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</si>
  <si>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</si>
  <si>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</si>
  <si>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</si>
  <si>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</si>
  <si>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</si>
  <si>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</si>
  <si>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</si>
  <si>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</si>
  <si>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</si>
  <si>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</si>
  <si>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</si>
  <si>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</si>
  <si>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</si>
  <si>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</si>
  <si>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</si>
  <si>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</si>
  <si>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</si>
  <si>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</si>
  <si>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</si>
  <si>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</si>
  <si>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</si>
  <si>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</si>
  <si>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</si>
  <si>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</si>
  <si>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</si>
  <si>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</si>
  <si>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</si>
  <si>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</si>
  <si>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</si>
  <si>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</si>
  <si>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</si>
  <si>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</si>
  <si>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</si>
  <si>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</si>
  <si>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</si>
  <si>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</si>
  <si>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</si>
  <si>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</si>
  <si>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</si>
  <si>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</si>
  <si>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</si>
  <si>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</si>
  <si>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</si>
  <si>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</si>
  <si>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</si>
  <si>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</si>
  <si>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</si>
  <si>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</si>
  <si>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</si>
  <si>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</si>
  <si>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</si>
  <si>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</si>
  <si>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</si>
  <si>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</si>
  <si>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</si>
  <si>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</si>
  <si>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</si>
  <si>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</si>
  <si>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</si>
  <si>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</si>
  <si>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</si>
  <si>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</si>
  <si>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</si>
  <si>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</si>
  <si>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</si>
  <si>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</si>
  <si>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</si>
  <si>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</si>
  <si>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</si>
  <si>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</si>
  <si>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</si>
  <si>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</si>
  <si>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</si>
  <si>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</si>
  <si>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</si>
  <si>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六通一平</t>
  </si>
  <si>
    <t>缺少</t>
  </si>
  <si>
    <t>燃气</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</si>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</sst>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쐀"/>
    <numFmt numFmtId="177" formatCode="[$-F800]dddd\,\ mmmm\ dd\,\ yyyy"/>
    <numFmt numFmtId="178" formatCode="0.00_ "/>
    <numFmt numFmtId="179" formatCode="yyyy/m/d;@"/>
    <numFmt numFmtId="180" formatCode="[DBNum2][$-804]General"/>
    <numFmt numFmtId="181" formatCode="0.00_);[Red]\(0.00\)"/>
    <numFmt numFmtId="182" formatCode="yyyy&quot;年&quot;m&quot;月&quot;d&quot;日&quot;;@"/>
    <numFmt numFmtId="183" formatCode="0_ "/>
    <numFmt numFmtId="184" formatCode="0_ ;[Red]\-0\ "/>
    <numFmt numFmtId="185" formatCode="0_);[Red]\(0\)"/>
    <numFmt numFmtId="186" formatCode="0.000_);[Red]\(0.000\)"/>
    <numFmt numFmtId="187" formatCode="0.0%"/>
    <numFmt numFmtId="188" formatCode="[DBNum1][$-804]yyyy&quot;年&quot;m&quot;月&quot;d&quot;日&quot;;@"/>
    <numFmt numFmtId="189" formatCode="0.000%"/>
    <numFmt numFmtId="190" formatCode="0.0_);[Red]\(0.0\)"/>
    <numFmt numFmtId="191" formatCode="0.0_ "/>
    <numFmt numFmtId="192" formatCode="0.0000%"/>
    <numFmt numFmtId="193" formatCode="0.000_ "/>
    <numFmt numFmtId="194" formatCode="yyyy&quot;年&quot;m&quot;月&quot;;@"/>
    <numFmt numFmtId="195" formatCode="0.0000_ "/>
  </numFmts>
  <fonts count="211">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38" borderId="0" applyNumberFormat="0" applyBorder="0" applyAlignment="0" applyProtection="0">
      <alignment vertical="center"/>
    </xf>
    <xf numFmtId="0" fontId="150" fillId="33" borderId="17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9" borderId="0" applyNumberFormat="0" applyBorder="0" applyAlignment="0" applyProtection="0">
      <alignment vertical="center"/>
    </xf>
    <xf numFmtId="0" fontId="143" fillId="26" borderId="0" applyNumberFormat="0" applyBorder="0" applyAlignment="0" applyProtection="0">
      <alignment vertical="center"/>
    </xf>
    <xf numFmtId="43" fontId="0" fillId="0" borderId="0" applyFont="0" applyFill="0" applyBorder="0" applyAlignment="0" applyProtection="0">
      <alignment vertical="center"/>
    </xf>
    <xf numFmtId="0" fontId="135" fillId="37" borderId="0" applyNumberFormat="0" applyBorder="0" applyAlignment="0" applyProtection="0">
      <alignment vertical="center"/>
    </xf>
    <xf numFmtId="0" fontId="13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0" fillId="0" borderId="0"/>
    <xf numFmtId="0" fontId="0" fillId="32" borderId="175" applyNumberFormat="0" applyFont="0" applyAlignment="0" applyProtection="0">
      <alignment vertical="center"/>
    </xf>
    <xf numFmtId="0" fontId="135" fillId="46" borderId="0" applyNumberFormat="0" applyBorder="0" applyAlignment="0" applyProtection="0">
      <alignment vertical="center"/>
    </xf>
    <xf numFmtId="0" fontId="146"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1" fillId="0" borderId="171" applyNumberFormat="0" applyFill="0" applyAlignment="0" applyProtection="0">
      <alignment vertical="center"/>
    </xf>
    <xf numFmtId="0" fontId="0" fillId="0" borderId="0"/>
    <xf numFmtId="0" fontId="149" fillId="0" borderId="171" applyNumberFormat="0" applyFill="0" applyAlignment="0" applyProtection="0">
      <alignment vertical="center"/>
    </xf>
    <xf numFmtId="0" fontId="135" fillId="41" borderId="0" applyNumberFormat="0" applyBorder="0" applyAlignment="0" applyProtection="0">
      <alignment vertical="center"/>
    </xf>
    <xf numFmtId="0" fontId="146" fillId="0" borderId="174" applyNumberFormat="0" applyFill="0" applyAlignment="0" applyProtection="0">
      <alignment vertical="center"/>
    </xf>
    <xf numFmtId="0" fontId="135" fillId="25" borderId="0" applyNumberFormat="0" applyBorder="0" applyAlignment="0" applyProtection="0">
      <alignment vertical="center"/>
    </xf>
    <xf numFmtId="0" fontId="138" fillId="22" borderId="169" applyNumberFormat="0" applyAlignment="0" applyProtection="0">
      <alignment vertical="center"/>
    </xf>
    <xf numFmtId="0" fontId="145" fillId="22" borderId="173" applyNumberFormat="0" applyAlignment="0" applyProtection="0">
      <alignment vertical="center"/>
    </xf>
    <xf numFmtId="0" fontId="151" fillId="36" borderId="176" applyNumberFormat="0" applyAlignment="0" applyProtection="0">
      <alignment vertical="center"/>
    </xf>
    <xf numFmtId="0" fontId="136" fillId="45" borderId="0" applyNumberFormat="0" applyBorder="0" applyAlignment="0" applyProtection="0">
      <alignment vertical="center"/>
    </xf>
    <xf numFmtId="0" fontId="135" fillId="31" borderId="0" applyNumberFormat="0" applyBorder="0" applyAlignment="0" applyProtection="0">
      <alignment vertical="center"/>
    </xf>
    <xf numFmtId="0" fontId="140" fillId="0" borderId="170" applyNumberFormat="0" applyFill="0" applyAlignment="0" applyProtection="0">
      <alignment vertical="center"/>
    </xf>
    <xf numFmtId="0" fontId="144" fillId="0" borderId="172" applyNumberFormat="0" applyFill="0" applyAlignment="0" applyProtection="0">
      <alignment vertical="center"/>
    </xf>
    <xf numFmtId="0" fontId="153" fillId="44" borderId="0" applyNumberFormat="0" applyBorder="0" applyAlignment="0" applyProtection="0">
      <alignment vertical="center"/>
    </xf>
    <xf numFmtId="0" fontId="0" fillId="0" borderId="0">
      <alignment vertical="center"/>
    </xf>
    <xf numFmtId="0" fontId="137" fillId="21" borderId="0" applyNumberFormat="0" applyBorder="0" applyAlignment="0" applyProtection="0">
      <alignment vertical="center"/>
    </xf>
    <xf numFmtId="0" fontId="107" fillId="0" borderId="0">
      <alignment vertical="center"/>
    </xf>
    <xf numFmtId="0" fontId="136" fillId="27" borderId="0" applyNumberFormat="0" applyBorder="0" applyAlignment="0" applyProtection="0">
      <alignment vertical="center"/>
    </xf>
    <xf numFmtId="0" fontId="135" fillId="30" borderId="0" applyNumberFormat="0" applyBorder="0" applyAlignment="0" applyProtection="0">
      <alignment vertical="center"/>
    </xf>
    <xf numFmtId="0" fontId="136" fillId="29" borderId="0" applyNumberFormat="0" applyBorder="0" applyAlignment="0" applyProtection="0">
      <alignment vertical="center"/>
    </xf>
    <xf numFmtId="0" fontId="136" fillId="20" borderId="0" applyNumberFormat="0" applyBorder="0" applyAlignment="0" applyProtection="0">
      <alignment vertical="center"/>
    </xf>
    <xf numFmtId="0" fontId="136" fillId="19" borderId="0" applyNumberFormat="0" applyBorder="0" applyAlignment="0" applyProtection="0">
      <alignment vertical="center"/>
    </xf>
    <xf numFmtId="0" fontId="136" fillId="40" borderId="0" applyNumberFormat="0" applyBorder="0" applyAlignment="0" applyProtection="0">
      <alignment vertical="center"/>
    </xf>
    <xf numFmtId="0" fontId="135" fillId="39" borderId="0" applyNumberFormat="0" applyBorder="0" applyAlignment="0" applyProtection="0">
      <alignment vertical="center"/>
    </xf>
    <xf numFmtId="0" fontId="0" fillId="0" borderId="0">
      <alignment vertical="center"/>
    </xf>
    <xf numFmtId="0" fontId="135" fillId="24" borderId="0" applyNumberFormat="0" applyBorder="0" applyAlignment="0" applyProtection="0">
      <alignment vertical="center"/>
    </xf>
    <xf numFmtId="0" fontId="136" fillId="28" borderId="0" applyNumberFormat="0" applyBorder="0" applyAlignment="0" applyProtection="0">
      <alignment vertical="center"/>
    </xf>
    <xf numFmtId="0" fontId="136" fillId="43" borderId="0" applyNumberFormat="0" applyBorder="0" applyAlignment="0" applyProtection="0">
      <alignment vertical="center"/>
    </xf>
    <xf numFmtId="0" fontId="135" fillId="42" borderId="0" applyNumberFormat="0" applyBorder="0" applyAlignment="0" applyProtection="0">
      <alignment vertical="center"/>
    </xf>
    <xf numFmtId="0" fontId="0" fillId="0" borderId="0">
      <alignment vertical="center"/>
    </xf>
    <xf numFmtId="0" fontId="136" fillId="13" borderId="0" applyNumberFormat="0" applyBorder="0" applyAlignment="0" applyProtection="0">
      <alignment vertical="center"/>
    </xf>
    <xf numFmtId="0" fontId="135" fillId="18" borderId="0" applyNumberFormat="0" applyBorder="0" applyAlignment="0" applyProtection="0">
      <alignment vertical="center"/>
    </xf>
    <xf numFmtId="0" fontId="135" fillId="35" borderId="0" applyNumberFormat="0" applyBorder="0" applyAlignment="0" applyProtection="0">
      <alignment vertical="center"/>
    </xf>
    <xf numFmtId="0" fontId="136" fillId="23" borderId="0" applyNumberFormat="0" applyBorder="0" applyAlignment="0" applyProtection="0">
      <alignment vertical="center"/>
    </xf>
    <xf numFmtId="0" fontId="135" fillId="34"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9"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3"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8"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5" fontId="16" fillId="5" borderId="0" xfId="21" applyNumberFormat="1" applyFont="1" applyFill="1" applyBorder="1" applyAlignment="1">
      <alignment horizontal="center" vertical="center"/>
    </xf>
    <xf numFmtId="185"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5" fontId="15" fillId="6" borderId="23" xfId="21" applyNumberFormat="1" applyFont="1" applyFill="1" applyBorder="1" applyAlignment="1">
      <alignment horizontal="center" vertical="center" wrapText="1"/>
    </xf>
    <xf numFmtId="185" fontId="15" fillId="6" borderId="24" xfId="21" applyNumberFormat="1" applyFont="1" applyFill="1" applyBorder="1" applyAlignment="1">
      <alignment horizontal="center" vertical="center" wrapText="1"/>
    </xf>
    <xf numFmtId="0" fontId="24" fillId="6" borderId="23" xfId="21" applyFont="1" applyFill="1" applyBorder="1" applyAlignment="1" applyProtection="1">
      <alignment horizontal="center" vertical="center" wrapText="1"/>
    </xf>
    <xf numFmtId="185" fontId="17" fillId="0" borderId="0" xfId="21" applyNumberFormat="1" applyFont="1" applyAlignment="1">
      <alignment horizontal="center" vertical="center"/>
    </xf>
    <xf numFmtId="0" fontId="24" fillId="7"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2"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5" fontId="15" fillId="6" borderId="22" xfId="21" applyNumberFormat="1" applyFont="1" applyFill="1" applyBorder="1" applyAlignment="1">
      <alignment horizontal="center" vertical="center" wrapText="1"/>
    </xf>
    <xf numFmtId="185"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5"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5" fontId="15" fillId="6" borderId="29" xfId="21" applyNumberFormat="1" applyFont="1" applyFill="1" applyBorder="1" applyAlignment="1">
      <alignment horizontal="center" vertical="center" wrapText="1"/>
    </xf>
    <xf numFmtId="185" fontId="15" fillId="6" borderId="31" xfId="21" applyNumberFormat="1" applyFont="1" applyFill="1" applyBorder="1" applyAlignment="1">
      <alignment horizontal="center" vertical="center" wrapText="1"/>
    </xf>
    <xf numFmtId="185" fontId="17" fillId="5" borderId="0" xfId="21" applyNumberFormat="1" applyFont="1" applyFill="1" applyAlignment="1">
      <alignment horizontal="center" vertical="center"/>
    </xf>
    <xf numFmtId="185"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0" fontId="24" fillId="7" borderId="34" xfId="21" applyFont="1" applyFill="1" applyBorder="1" applyAlignment="1" applyProtection="1">
      <alignment horizontal="center" vertical="center" wrapText="1"/>
    </xf>
    <xf numFmtId="10" fontId="17" fillId="0" borderId="19" xfId="21" applyNumberFormat="1" applyFont="1" applyBorder="1">
      <alignment vertical="center"/>
    </xf>
    <xf numFmtId="10" fontId="17" fillId="0" borderId="0" xfId="21" applyNumberFormat="1" applyFont="1">
      <alignment vertical="center"/>
    </xf>
    <xf numFmtId="10" fontId="17" fillId="0" borderId="0" xfId="21" applyNumberFormat="1" applyFont="1" applyBorder="1">
      <alignment vertical="center"/>
    </xf>
    <xf numFmtId="0" fontId="24" fillId="6" borderId="34" xfId="21" applyFont="1" applyFill="1" applyBorder="1" applyAlignment="1" applyProtection="1">
      <alignment horizontal="center" vertical="center" wrapText="1"/>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183" fontId="17" fillId="0" borderId="0" xfId="21" applyNumberFormat="1" applyFont="1">
      <alignment vertical="center"/>
    </xf>
    <xf numFmtId="187" fontId="17" fillId="0" borderId="19" xfId="21" applyNumberFormat="1" applyFont="1" applyBorder="1">
      <alignment vertical="center"/>
    </xf>
    <xf numFmtId="187" fontId="17" fillId="0" borderId="0" xfId="21" applyNumberFormat="1" applyFont="1">
      <alignment vertical="center"/>
    </xf>
    <xf numFmtId="0" fontId="17" fillId="0" borderId="0" xfId="21" applyFont="1" applyFill="1" applyAlignment="1">
      <alignment horizontal="center" vertical="center"/>
    </xf>
    <xf numFmtId="183"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3" fontId="17" fillId="0" borderId="18" xfId="21" applyNumberFormat="1" applyFont="1" applyBorder="1">
      <alignment vertical="center"/>
    </xf>
    <xf numFmtId="10" fontId="17" fillId="0" borderId="18" xfId="21" applyNumberFormat="1" applyFont="1" applyBorder="1" applyAlignment="1">
      <alignment horizontal="center" vertical="center"/>
    </xf>
    <xf numFmtId="191"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3"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3"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93" fontId="17" fillId="0" borderId="0" xfId="21" applyNumberFormat="1" applyFont="1" applyAlignment="1">
      <alignment horizontal="center" vertical="center"/>
    </xf>
    <xf numFmtId="193" fontId="17" fillId="0" borderId="19" xfId="21" applyNumberFormat="1" applyFont="1" applyBorder="1" applyAlignment="1">
      <alignment horizontal="center" vertical="center"/>
    </xf>
    <xf numFmtId="193" fontId="17" fillId="3" borderId="0" xfId="21" applyNumberFormat="1" applyFont="1" applyFill="1" applyAlignment="1">
      <alignment horizontal="center" vertical="center"/>
    </xf>
    <xf numFmtId="0" fontId="17" fillId="3" borderId="19" xfId="21" applyFont="1" applyFill="1" applyBorder="1">
      <alignment vertical="center"/>
    </xf>
    <xf numFmtId="193" fontId="18" fillId="0" borderId="0" xfId="21" applyNumberFormat="1" applyFont="1" applyAlignment="1">
      <alignment horizontal="center" vertical="center"/>
    </xf>
    <xf numFmtId="193" fontId="18" fillId="0" borderId="19" xfId="21" applyNumberFormat="1" applyFont="1" applyBorder="1" applyAlignment="1">
      <alignment horizontal="center" vertical="center"/>
    </xf>
    <xf numFmtId="191" fontId="17" fillId="0" borderId="18" xfId="21" applyNumberFormat="1" applyFont="1" applyBorder="1" applyAlignment="1">
      <alignment horizontal="center" vertical="center"/>
    </xf>
    <xf numFmtId="191"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1" fontId="0" fillId="2" borderId="4" xfId="0" applyNumberFormat="1" applyFill="1" applyBorder="1" applyAlignment="1" applyProtection="1">
      <alignment horizontal="center" vertical="center"/>
    </xf>
    <xf numFmtId="191"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1" fontId="0" fillId="2" borderId="7" xfId="0" applyNumberFormat="1" applyFill="1" applyBorder="1" applyAlignment="1" applyProtection="1">
      <alignment horizontal="center" vertical="center"/>
    </xf>
    <xf numFmtId="19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1" fontId="0" fillId="2" borderId="56" xfId="0" applyNumberFormat="1" applyFill="1" applyBorder="1" applyAlignment="1" applyProtection="1">
      <alignment horizontal="center" vertical="center"/>
    </xf>
    <xf numFmtId="191"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1" fontId="0" fillId="2" borderId="5" xfId="0" applyNumberFormat="1"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5"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5"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95"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5"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7" fontId="23" fillId="2" borderId="54" xfId="0" applyNumberFormat="1" applyFont="1" applyFill="1" applyBorder="1" applyAlignment="1" applyProtection="1">
      <alignment horizontal="center" vertical="center" wrapText="1"/>
    </xf>
    <xf numFmtId="18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5" fontId="23" fillId="2" borderId="52" xfId="0" applyNumberFormat="1" applyFont="1" applyFill="1" applyBorder="1" applyAlignment="1" applyProtection="1">
      <alignment horizontal="center" vertical="center" wrapText="1"/>
    </xf>
    <xf numFmtId="195"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5"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5"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5"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5"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8"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3" fontId="18" fillId="0"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xf>
    <xf numFmtId="195"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5" fontId="17" fillId="2" borderId="7" xfId="0" applyNumberFormat="1" applyFont="1" applyFill="1" applyBorder="1" applyAlignment="1" applyProtection="1">
      <alignment horizontal="center" vertical="center"/>
    </xf>
    <xf numFmtId="195"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95" fontId="18" fillId="2" borderId="7" xfId="0" applyNumberFormat="1" applyFont="1" applyFill="1" applyBorder="1" applyAlignment="1" applyProtection="1">
      <alignment horizontal="center" vertical="center" wrapText="1"/>
    </xf>
    <xf numFmtId="185" fontId="17" fillId="2" borderId="16" xfId="0" applyNumberFormat="1" applyFont="1" applyFill="1" applyBorder="1" applyAlignment="1" applyProtection="1">
      <alignment horizontal="center" vertical="center" wrapText="1"/>
    </xf>
    <xf numFmtId="178"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8"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5"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5"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5"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5"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8" fontId="23" fillId="0" borderId="7" xfId="57" applyNumberFormat="1" applyFont="1" applyFill="1" applyBorder="1" applyAlignment="1" applyProtection="1">
      <alignment horizontal="center"/>
      <protection locked="0"/>
    </xf>
    <xf numFmtId="183"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2" borderId="0"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7" fontId="43" fillId="2" borderId="0" xfId="0" applyNumberFormat="1" applyFont="1" applyFill="1" applyBorder="1" applyAlignment="1" applyProtection="1">
      <alignment vertical="center" wrapText="1"/>
      <protection locked="0"/>
    </xf>
    <xf numFmtId="190" fontId="43" fillId="2" borderId="14" xfId="0" applyNumberFormat="1" applyFont="1" applyFill="1" applyBorder="1" applyAlignment="1" applyProtection="1">
      <alignment horizontal="center"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4" fontId="42" fillId="2" borderId="87"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0"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xf>
    <xf numFmtId="187" fontId="42" fillId="2" borderId="0" xfId="0" applyNumberFormat="1" applyFont="1" applyFill="1" applyBorder="1" applyAlignment="1" applyProtection="1">
      <alignment vertical="center" wrapText="1"/>
    </xf>
    <xf numFmtId="18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7" fontId="58" fillId="2" borderId="0" xfId="0" applyNumberFormat="1" applyFont="1" applyFill="1" applyBorder="1" applyAlignment="1" applyProtection="1">
      <alignment horizontal="center" vertical="center" wrapText="1"/>
    </xf>
    <xf numFmtId="18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0" fontId="43" fillId="12" borderId="14" xfId="0" applyNumberFormat="1" applyFont="1" applyFill="1" applyBorder="1" applyAlignment="1" applyProtection="1">
      <alignment horizontal="center" vertical="center"/>
      <protection locked="0"/>
    </xf>
    <xf numFmtId="187" fontId="43" fillId="2" borderId="0" xfId="0" applyNumberFormat="1" applyFont="1" applyFill="1" applyBorder="1" applyAlignment="1" applyProtection="1">
      <alignment vertical="center" wrapText="1"/>
    </xf>
    <xf numFmtId="190" fontId="43" fillId="12" borderId="14" xfId="0" applyNumberFormat="1" applyFont="1" applyFill="1" applyBorder="1" applyAlignment="1" applyProtection="1">
      <alignment horizontal="center" vertical="center" wrapText="1"/>
      <protection locked="0"/>
    </xf>
    <xf numFmtId="190" fontId="43" fillId="12" borderId="7" xfId="0" applyNumberFormat="1" applyFont="1" applyFill="1" applyBorder="1" applyAlignment="1" applyProtection="1">
      <alignment horizontal="center" vertical="center" wrapText="1"/>
      <protection locked="0"/>
    </xf>
    <xf numFmtId="187" fontId="43" fillId="2" borderId="0" xfId="0" applyNumberFormat="1" applyFont="1" applyFill="1" applyAlignment="1" applyProtection="1">
      <alignment horizontal="center" vertical="center"/>
    </xf>
    <xf numFmtId="18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0" fontId="45" fillId="2" borderId="0" xfId="0" applyNumberFormat="1" applyFont="1" applyFill="1" applyBorder="1" applyAlignment="1" applyProtection="1">
      <alignment horizontal="center" vertical="center"/>
      <protection locked="0"/>
    </xf>
    <xf numFmtId="18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0" fontId="42" fillId="2" borderId="68" xfId="0" applyNumberFormat="1" applyFont="1" applyFill="1" applyBorder="1" applyAlignment="1" applyProtection="1">
      <alignment horizontal="center" vertical="center" wrapText="1"/>
    </xf>
    <xf numFmtId="190"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0" fontId="43" fillId="2" borderId="92" xfId="0" applyNumberFormat="1" applyFont="1" applyFill="1" applyBorder="1" applyAlignment="1" applyProtection="1">
      <alignment horizontal="center" vertical="center"/>
    </xf>
    <xf numFmtId="190" fontId="43" fillId="2" borderId="92" xfId="0" applyNumberFormat="1" applyFont="1" applyFill="1" applyBorder="1" applyAlignment="1" applyProtection="1">
      <alignment horizontal="center" vertical="center" wrapText="1"/>
    </xf>
    <xf numFmtId="190"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5"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1" fontId="54" fillId="2" borderId="8" xfId="0" applyNumberFormat="1" applyFont="1" applyFill="1" applyBorder="1" applyAlignment="1" applyProtection="1">
      <alignment horizontal="center" vertical="center"/>
    </xf>
    <xf numFmtId="191"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1"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7"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7"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7"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5"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7"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4"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5"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7" fillId="0" borderId="7" xfId="0" applyNumberFormat="1" applyFont="1" applyFill="1" applyBorder="1" applyAlignment="1" applyProtection="1">
      <alignment horizontal="center"/>
      <protection locked="0"/>
    </xf>
    <xf numFmtId="185"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5" fontId="49" fillId="2" borderId="14" xfId="0" applyNumberFormat="1" applyFont="1" applyFill="1" applyBorder="1" applyAlignment="1" applyProtection="1">
      <alignment horizontal="center"/>
    </xf>
    <xf numFmtId="195"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1"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3"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3" fontId="23" fillId="0" borderId="7" xfId="57" applyNumberFormat="1" applyFont="1" applyFill="1" applyBorder="1" applyAlignment="1" applyProtection="1">
      <alignment horizontal="center" vertical="center"/>
      <protection locked="0"/>
    </xf>
    <xf numFmtId="178"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3"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3"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3" fontId="92" fillId="2" borderId="7" xfId="57" applyNumberFormat="1" applyFont="1" applyFill="1" applyBorder="1" applyAlignment="1" applyProtection="1">
      <alignment horizontal="center" vertical="center"/>
    </xf>
    <xf numFmtId="178"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1" fontId="23" fillId="2" borderId="7" xfId="0" applyNumberFormat="1" applyFont="1" applyFill="1" applyBorder="1" applyAlignment="1" applyProtection="1">
      <alignment horizontal="center" vertical="center"/>
    </xf>
    <xf numFmtId="178"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8"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7"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77"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7"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6"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7"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0" fontId="42" fillId="2" borderId="13" xfId="0" applyNumberFormat="1" applyFont="1" applyFill="1" applyBorder="1" applyAlignment="1" applyProtection="1">
      <alignment horizontal="center" vertical="center" shrinkToFit="1"/>
    </xf>
    <xf numFmtId="180"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wrapText="1"/>
    </xf>
    <xf numFmtId="180"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0"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0" fontId="42" fillId="2" borderId="86" xfId="0" applyNumberFormat="1" applyFont="1" applyFill="1" applyBorder="1" applyAlignment="1" applyProtection="1">
      <alignment horizontal="center" vertical="center" wrapText="1"/>
    </xf>
    <xf numFmtId="180"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0"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8" fontId="49" fillId="0" borderId="0" xfId="0" applyNumberFormat="1" applyFont="1" applyAlignment="1" applyProtection="1">
      <alignment vertical="center"/>
      <protection locked="0"/>
    </xf>
    <xf numFmtId="178"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8"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8"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8"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8"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8"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3"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3" fontId="43" fillId="2" borderId="6" xfId="57" applyNumberFormat="1" applyFont="1" applyFill="1" applyBorder="1" applyAlignment="1" applyProtection="1">
      <alignment horizontal="left" vertical="center" wrapText="1"/>
    </xf>
    <xf numFmtId="183"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8" fontId="42" fillId="2" borderId="6" xfId="0" applyNumberFormat="1" applyFont="1" applyFill="1" applyBorder="1" applyAlignment="1" applyProtection="1">
      <alignment horizontal="left" vertical="center" wrapText="1"/>
    </xf>
    <xf numFmtId="178"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3"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7" fontId="42" fillId="0" borderId="11" xfId="0" applyNumberFormat="1" applyFont="1" applyFill="1" applyBorder="1" applyAlignment="1" applyProtection="1">
      <alignment horizontal="center" vertical="center"/>
      <protection locked="0"/>
    </xf>
    <xf numFmtId="183" fontId="49" fillId="0" borderId="5" xfId="57" applyNumberFormat="1" applyFont="1" applyFill="1" applyBorder="1" applyAlignment="1" applyProtection="1">
      <alignment horizontal="center" vertical="center"/>
      <protection locked="0"/>
    </xf>
    <xf numFmtId="178"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1" fontId="43" fillId="2" borderId="3" xfId="57" applyNumberFormat="1" applyFont="1" applyFill="1" applyBorder="1" applyAlignment="1" applyProtection="1">
      <alignment vertical="center" wrapText="1"/>
    </xf>
    <xf numFmtId="181"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1" fontId="43" fillId="2" borderId="6" xfId="57" applyNumberFormat="1" applyFont="1" applyFill="1" applyBorder="1" applyAlignment="1" applyProtection="1">
      <alignment vertical="center" wrapText="1"/>
    </xf>
    <xf numFmtId="181" fontId="42" fillId="0" borderId="8" xfId="57" applyNumberFormat="1" applyFont="1" applyFill="1" applyBorder="1" applyAlignment="1" applyProtection="1">
      <alignment horizontal="center" vertical="center"/>
      <protection locked="0"/>
    </xf>
    <xf numFmtId="18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57" xfId="57" applyNumberFormat="1" applyFont="1" applyFill="1" applyBorder="1" applyAlignment="1" applyProtection="1">
      <alignment vertical="center" wrapText="1"/>
    </xf>
    <xf numFmtId="181" fontId="42" fillId="0" borderId="61" xfId="57" applyNumberFormat="1" applyFont="1" applyFill="1" applyBorder="1" applyAlignment="1" applyProtection="1">
      <alignment horizontal="center" vertical="center"/>
      <protection locked="0"/>
    </xf>
    <xf numFmtId="187" fontId="49" fillId="0" borderId="8" xfId="0" applyNumberFormat="1" applyFont="1" applyFill="1" applyBorder="1" applyAlignment="1" applyProtection="1">
      <alignment horizontal="center" vertical="center"/>
      <protection locked="0"/>
    </xf>
    <xf numFmtId="181" fontId="43" fillId="2" borderId="9" xfId="57" applyNumberFormat="1" applyFont="1" applyFill="1" applyBorder="1" applyAlignment="1" applyProtection="1">
      <alignment vertical="center" wrapText="1"/>
    </xf>
    <xf numFmtId="181" fontId="43" fillId="2" borderId="11" xfId="57" applyNumberFormat="1" applyFont="1" applyFill="1" applyBorder="1" applyAlignment="1" applyProtection="1">
      <alignment horizontal="center" vertical="center"/>
    </xf>
    <xf numFmtId="181" fontId="42" fillId="2" borderId="6" xfId="57" applyNumberFormat="1" applyFont="1" applyFill="1" applyBorder="1" applyAlignment="1" applyProtection="1">
      <alignment vertical="center" wrapText="1"/>
    </xf>
    <xf numFmtId="181" fontId="43" fillId="2" borderId="5" xfId="57" applyNumberFormat="1" applyFont="1" applyFill="1" applyBorder="1" applyAlignment="1" applyProtection="1">
      <alignment horizontal="center" vertical="center"/>
    </xf>
    <xf numFmtId="187" fontId="49" fillId="0" borderId="11" xfId="0" applyNumberFormat="1" applyFont="1" applyFill="1" applyBorder="1" applyAlignment="1" applyProtection="1">
      <alignment horizontal="center" vertical="center"/>
      <protection locked="0"/>
    </xf>
    <xf numFmtId="181" fontId="43" fillId="2" borderId="72" xfId="57" applyNumberFormat="1" applyFont="1" applyFill="1" applyBorder="1" applyAlignment="1" applyProtection="1">
      <alignment horizontal="center" vertical="center"/>
    </xf>
    <xf numFmtId="178"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7" fontId="71" fillId="2" borderId="0" xfId="0" applyNumberFormat="1" applyFont="1" applyFill="1" applyAlignment="1" applyProtection="1">
      <alignment horizontal="center" vertical="center"/>
    </xf>
    <xf numFmtId="189"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8"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8" fontId="42" fillId="2" borderId="61" xfId="0" applyNumberFormat="1" applyFont="1" applyFill="1" applyBorder="1" applyAlignment="1" applyProtection="1">
      <alignment horizontal="center" vertical="center"/>
    </xf>
    <xf numFmtId="191"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82"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2"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77" fontId="113" fillId="0" borderId="7" xfId="60" applyNumberFormat="1" applyFont="1" applyFill="1" applyBorder="1" applyAlignment="1">
      <alignment horizontal="right" vertical="center"/>
    </xf>
    <xf numFmtId="177" fontId="91" fillId="0" borderId="7" xfId="60" applyNumberFormat="1" applyFont="1" applyFill="1" applyBorder="1" applyAlignment="1">
      <alignment horizontal="right" vertical="center"/>
    </xf>
    <xf numFmtId="182" fontId="113" fillId="0" borderId="7" xfId="60" applyNumberFormat="1" applyFont="1" applyFill="1" applyBorder="1" applyAlignment="1">
      <alignment horizontal="right" vertical="center"/>
    </xf>
    <xf numFmtId="0" fontId="91" fillId="0" borderId="0" xfId="60" applyFont="1" applyFill="1">
      <alignment vertical="center"/>
    </xf>
    <xf numFmtId="177"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82"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82"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82"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8" fontId="120" fillId="0" borderId="0" xfId="0" applyNumberFormat="1" applyFont="1" applyAlignment="1">
      <alignment vertical="center"/>
    </xf>
    <xf numFmtId="188"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0"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0" fontId="69" fillId="0" borderId="13" xfId="0" applyNumberFormat="1" applyFont="1" applyFill="1" applyBorder="1" applyAlignment="1" applyProtection="1">
      <alignment horizontal="center" vertical="center" wrapText="1"/>
    </xf>
    <xf numFmtId="18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0"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82" fontId="91" fillId="0" borderId="0" xfId="0" applyNumberFormat="1" applyFont="1" applyAlignment="1">
      <alignment horizontal="left" vertical="center"/>
    </xf>
    <xf numFmtId="182"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0" applyFont="1" applyBorder="1" applyProtection="1">
      <alignment vertical="center"/>
    </xf>
    <xf numFmtId="0" fontId="124" fillId="0" borderId="0" xfId="20" applyFont="1" applyBorder="1" applyProtection="1">
      <alignment vertical="center"/>
    </xf>
    <xf numFmtId="0" fontId="124" fillId="0" borderId="0" xfId="20" applyFont="1" applyBorder="1" applyAlignment="1" applyProtection="1">
      <alignment vertical="center" wrapText="1"/>
    </xf>
    <xf numFmtId="0" fontId="89" fillId="0" borderId="0" xfId="20" applyFont="1" applyAlignment="1" applyProtection="1">
      <alignment horizontal="left" vertical="center"/>
    </xf>
    <xf numFmtId="0" fontId="124"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8" fontId="10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24" fillId="0" borderId="7" xfId="20" applyFont="1" applyBorder="1" applyAlignment="1" applyProtection="1">
      <alignment vertical="center" wrapText="1"/>
    </xf>
    <xf numFmtId="0" fontId="124" fillId="0" borderId="2" xfId="20" applyFont="1" applyBorder="1" applyAlignment="1" applyProtection="1">
      <alignment vertical="center" wrapText="1"/>
    </xf>
    <xf numFmtId="0" fontId="124"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6610"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2999" customWidth="1"/>
    <col min="2" max="2" width="94.8833333333333" style="3000" customWidth="1"/>
    <col min="3" max="16384" width="9" style="3001"/>
  </cols>
  <sheetData>
    <row r="1" s="2997" customFormat="1" ht="16.5" spans="1:2">
      <c r="A1" s="3002" t="s">
        <v>0</v>
      </c>
      <c r="B1" s="3003" t="s">
        <v>1</v>
      </c>
    </row>
    <row r="2" s="2998" customFormat="1" ht="15.75" spans="1:2">
      <c r="A2" s="3004" t="s">
        <v>2</v>
      </c>
      <c r="B2" s="3005" t="str">
        <f>'预评函-封皮'!B9</f>
        <v>北京市房地产市场价值预评估</v>
      </c>
    </row>
    <row r="3" s="2998" customFormat="1" spans="1:2">
      <c r="A3" s="3006" t="s">
        <v>3</v>
      </c>
      <c r="B3" s="3007">
        <f>'预评函-封皮'!B12</f>
        <v>0</v>
      </c>
    </row>
    <row r="4" s="2998" customFormat="1" spans="1:2">
      <c r="A4" s="3006" t="s">
        <v>4</v>
      </c>
      <c r="B4" s="3007" t="str">
        <f ca="1">'预评函-封皮'!B18</f>
        <v>杨红英（注册号:1120070085）、叶凌（注册号:1119970111)</v>
      </c>
    </row>
    <row r="5" s="2997" customFormat="1" ht="15.75" spans="1:2">
      <c r="A5" s="3008" t="s">
        <v>5</v>
      </c>
      <c r="B5" s="3009" t="str">
        <f>'预评函-封皮'!B21</f>
        <v>康正预评字号</v>
      </c>
    </row>
    <row r="6" s="2998" customFormat="1" ht="15.75" spans="1:2">
      <c r="A6" s="3006" t="s">
        <v>6</v>
      </c>
      <c r="B6" s="3005" t="str">
        <f>'预评函-1'!A4</f>
        <v>受您的委托，我公司对北京市房地产进行了预评估。</v>
      </c>
    </row>
    <row r="7" spans="1:2">
      <c r="A7" s="3006" t="s">
        <v>7</v>
      </c>
      <c r="B7" s="3010" t="str">
        <f>'预评函-1'!A6</f>
        <v>估价对象为北京市房地产，为所有。根据《不动产权证书》[]，估价对象建筑面积为223.88平方米，（分摊）出让国有建设用地使用权面积为平方米。估价对象用途为。</v>
      </c>
    </row>
    <row r="8" spans="1:2">
      <c r="A8" s="3006" t="s">
        <v>8</v>
      </c>
      <c r="B8" s="3010" t="str">
        <f>'预评函-1'!A8</f>
        <v>为估价委托人了解估价对象房地产市场价值提供参考依据。</v>
      </c>
    </row>
    <row r="9" spans="1:2">
      <c r="A9" s="3006" t="s">
        <v>9</v>
      </c>
      <c r="B9" s="3010" t="str">
        <f>'预评函-1'!A10</f>
        <v>2018年11月22日（评估专业人员实地查勘之日）</v>
      </c>
    </row>
    <row r="10" spans="1:2">
      <c r="A10" s="3006" t="s">
        <v>10</v>
      </c>
      <c r="B10" s="3010" t="str">
        <f>'预评函-1'!A13</f>
        <v>本次估价的“房地产价值”是指在正常市场情况下，在价值时点2018年11月22日，估价对象规划用途为，假定未设立法定优先受偿款下的房地产市场价值。</v>
      </c>
    </row>
    <row r="11" spans="1:2">
      <c r="A11" s="3006" t="s">
        <v>11</v>
      </c>
      <c r="B11" s="3010"/>
    </row>
    <row r="12" spans="1:2">
      <c r="A12" s="3006" t="s">
        <v>12</v>
      </c>
      <c r="B12" s="3010" t="str">
        <f>'预评函-1'!A14</f>
        <v>——</v>
      </c>
    </row>
    <row r="13" spans="1:2">
      <c r="A13" s="3006" t="s">
        <v>13</v>
      </c>
      <c r="B13" s="30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6" t="s">
        <v>14</v>
      </c>
      <c r="B14" s="3010" t="str">
        <f>'预评函-1'!A16</f>
        <v>——</v>
      </c>
    </row>
    <row r="15" s="2997" customFormat="1" ht="15.75" spans="1:2">
      <c r="A15" s="3008" t="s">
        <v>15</v>
      </c>
      <c r="B15" s="3011" t="str">
        <f>'预评函-1'!A18</f>
        <v>本次评估采用的主估价方法为成本法和收益法。</v>
      </c>
    </row>
    <row r="16" ht="15.75" spans="1:2">
      <c r="A16" s="3004" t="s">
        <v>16</v>
      </c>
      <c r="B16" s="300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6" t="s">
        <v>17</v>
      </c>
      <c r="B17" s="3010" t="str">
        <f>'预评函-2（1）'!B6</f>
        <v>北京市房地产</v>
      </c>
    </row>
    <row r="18" spans="1:2">
      <c r="A18" s="3006" t="s">
        <v>18</v>
      </c>
      <c r="B18" s="3010">
        <f>'预评函-2（1）'!C6</f>
        <v>223.88</v>
      </c>
    </row>
    <row r="19" spans="1:2">
      <c r="A19" s="3006" t="s">
        <v>19</v>
      </c>
      <c r="B19" s="3010">
        <f ca="1">'预评函-2（1）'!D7</f>
        <v>11221313</v>
      </c>
    </row>
    <row r="20" spans="1:2">
      <c r="A20" s="3006" t="s">
        <v>20</v>
      </c>
      <c r="B20" s="3010" t="str">
        <f>'预评函-2（1）'!C7</f>
        <v>总价（元）</v>
      </c>
    </row>
    <row r="21" spans="1:2">
      <c r="A21" s="3006" t="s">
        <v>21</v>
      </c>
      <c r="B21" s="3010">
        <f ca="1">'预评函-2（1）'!D9</f>
        <v>50122</v>
      </c>
    </row>
    <row r="22" spans="1:2">
      <c r="A22" s="3006" t="s">
        <v>22</v>
      </c>
      <c r="B22" s="3010" t="str">
        <f ca="1">'预评函-2（1）'!D8</f>
        <v>壹仟壹佰贰拾贰万壹仟叁佰壹拾叁元整</v>
      </c>
    </row>
    <row r="23" spans="1:2">
      <c r="A23" s="3006" t="s">
        <v>23</v>
      </c>
      <c r="B23" s="3010">
        <f>'预评函-2（1）'!D10</f>
        <v>0</v>
      </c>
    </row>
    <row r="24" spans="1:2">
      <c r="A24" s="3006" t="s">
        <v>24</v>
      </c>
      <c r="B24" s="3010" t="str">
        <f>'预评函-2（1）'!C10</f>
        <v>总额（元）</v>
      </c>
    </row>
    <row r="25" spans="1:2">
      <c r="A25" s="3006" t="s">
        <v>25</v>
      </c>
      <c r="B25" s="3010" t="str">
        <f>'预评函-2（1）'!D11</f>
        <v>零元整</v>
      </c>
    </row>
    <row r="26" spans="1:2">
      <c r="A26" s="3006" t="s">
        <v>26</v>
      </c>
      <c r="B26" s="3010">
        <f>'预评函-2（1）'!D12</f>
        <v>0</v>
      </c>
    </row>
    <row r="27" spans="1:2">
      <c r="A27" s="3006" t="s">
        <v>27</v>
      </c>
      <c r="B27" s="3010">
        <f>'预评函-2（1）'!D13</f>
        <v>0</v>
      </c>
    </row>
    <row r="28" spans="1:2">
      <c r="A28" s="3006" t="s">
        <v>28</v>
      </c>
      <c r="B28" s="3010">
        <f>'预评函-2（1）'!D14</f>
        <v>0</v>
      </c>
    </row>
    <row r="29" spans="1:2">
      <c r="A29" s="3006" t="s">
        <v>29</v>
      </c>
      <c r="B29" s="3010">
        <f ca="1">'预评函-2（1）'!D15</f>
        <v>11221313</v>
      </c>
    </row>
    <row r="30" spans="1:2">
      <c r="A30" s="3006" t="s">
        <v>30</v>
      </c>
      <c r="B30" s="3010" t="str">
        <f ca="1">'预评函-2（1）'!D16</f>
        <v>壹仟壹佰贰拾贰万壹仟叁佰壹拾叁元整</v>
      </c>
    </row>
    <row r="31" spans="1:2">
      <c r="A31" s="3006" t="s">
        <v>31</v>
      </c>
      <c r="B31" s="3010" t="str">
        <f ca="1">'预评函-2（1）'!D18</f>
        <v>——</v>
      </c>
    </row>
    <row r="32" spans="1:2">
      <c r="A32" s="3006" t="s">
        <v>32</v>
      </c>
      <c r="B32" s="3010" t="e">
        <f ca="1">'预评函-2（1）'!D19</f>
        <v>#VALUE!</v>
      </c>
    </row>
    <row r="33" spans="1:2">
      <c r="A33" s="3006" t="s">
        <v>33</v>
      </c>
      <c r="B33" s="3010" t="str">
        <f ca="1">'预评函-2（1）'!D21</f>
        <v>——</v>
      </c>
    </row>
    <row r="34" spans="1:2">
      <c r="A34" s="3006" t="s">
        <v>34</v>
      </c>
      <c r="B34" s="3010" t="str">
        <f ca="1">'预评函-2（1）'!D23</f>
        <v>——</v>
      </c>
    </row>
    <row r="35" spans="1:2">
      <c r="A35" s="3006" t="s">
        <v>35</v>
      </c>
      <c r="B35" s="3010" t="e">
        <f ca="1">'预评函-2（1）'!D22</f>
        <v>#VALUE!</v>
      </c>
    </row>
    <row r="36" spans="1:2">
      <c r="A36" s="3006" t="s">
        <v>36</v>
      </c>
      <c r="B36" s="3010">
        <f>'预评函-2（2）'!C4</f>
        <v>0</v>
      </c>
    </row>
    <row r="37" spans="1:2">
      <c r="A37" s="3006" t="s">
        <v>37</v>
      </c>
      <c r="B37" s="3010">
        <f ca="1">'预评函-2（2）'!D4</f>
        <v>10166615</v>
      </c>
    </row>
    <row r="38" spans="1:2">
      <c r="A38" s="3006" t="s">
        <v>38</v>
      </c>
      <c r="B38" s="3010">
        <f ca="1">'预评函-2（2）'!E4</f>
        <v>45411</v>
      </c>
    </row>
    <row r="39" spans="1:2">
      <c r="A39" s="3006" t="s">
        <v>39</v>
      </c>
      <c r="B39" s="3010" t="str">
        <f ca="1">'预评函-2（2）'!D5</f>
        <v>壹仟零壹拾陆万陆仟陆佰壹拾伍元整</v>
      </c>
    </row>
    <row r="40" spans="1:2">
      <c r="A40" s="3006" t="s">
        <v>40</v>
      </c>
      <c r="B40" s="3010">
        <f ca="1">'预评函-2（2）'!F4</f>
        <v>1054699</v>
      </c>
    </row>
    <row r="41" spans="1:2">
      <c r="A41" s="3006" t="s">
        <v>41</v>
      </c>
      <c r="B41" s="3010">
        <f ca="1">'预评函-2（2）'!G4</f>
        <v>4711</v>
      </c>
    </row>
    <row r="42" s="2997" customFormat="1" ht="15.75" spans="1:2">
      <c r="A42" s="3008" t="s">
        <v>42</v>
      </c>
      <c r="B42" s="3012" t="str">
        <f ca="1">'预评函-2（2）'!F5</f>
        <v>壹佰零伍万肆仟陆佰玖拾玖元整</v>
      </c>
    </row>
    <row r="43" ht="15.75" spans="1:2">
      <c r="A43" s="3004" t="s">
        <v>43</v>
      </c>
      <c r="B43" s="3013" t="str">
        <f>'预评函-3'!A13</f>
        <v>2.本次评估设定估价对象房地产权属无争议，未被查封或者以其他形式限制其房地产权利，未设定抵押权等他项权利，不涉及第三方权利义务。</v>
      </c>
    </row>
    <row r="44" spans="1:2">
      <c r="A44" s="3006" t="s">
        <v>44</v>
      </c>
      <c r="B44" s="3010" t="str">
        <f>'预评函-3'!A14</f>
        <v>——</v>
      </c>
    </row>
    <row r="45" spans="1:2">
      <c r="A45" s="3006" t="s">
        <v>45</v>
      </c>
      <c r="B45" s="3010" t="str">
        <f>'预评函-3'!A15</f>
        <v>——</v>
      </c>
    </row>
    <row r="46" spans="1:2">
      <c r="A46" s="3006" t="s">
        <v>46</v>
      </c>
      <c r="B46" s="3010" t="str">
        <f>'预评函-3'!A16</f>
        <v>——</v>
      </c>
    </row>
    <row r="47" spans="1:2">
      <c r="A47" s="3006" t="s">
        <v>47</v>
      </c>
      <c r="B47" s="30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6" t="s">
        <v>48</v>
      </c>
      <c r="B48" s="3010" t="str">
        <f>'预评函-3'!A18</f>
        <v>——</v>
      </c>
    </row>
    <row r="49" spans="1:2">
      <c r="A49" s="3006" t="s">
        <v>49</v>
      </c>
      <c r="B49" s="30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6" t="s">
        <v>50</v>
      </c>
      <c r="B50" s="3010" t="str">
        <f>'预评函-3'!A20</f>
        <v>6.其他需特殊说明事项：无（注意修改序号）</v>
      </c>
    </row>
    <row r="51" s="2997" customFormat="1" spans="1:2">
      <c r="A51" s="3008" t="s">
        <v>51</v>
      </c>
      <c r="B51" s="3014">
        <f>'预评函-3'!D29</f>
        <v>42551</v>
      </c>
    </row>
    <row r="52" ht="15.75" spans="1:2">
      <c r="A52" s="3004" t="s">
        <v>52</v>
      </c>
      <c r="B52" s="3015" t="str">
        <f>'预评函-3'!A4</f>
        <v>杨红英</v>
      </c>
    </row>
    <row r="53" spans="1:2">
      <c r="A53" s="3006" t="s">
        <v>53</v>
      </c>
      <c r="B53" s="3010">
        <f ca="1">'预评函-3'!B4</f>
        <v>1120070085</v>
      </c>
    </row>
    <row r="54" spans="1:2">
      <c r="A54" s="3006" t="s">
        <v>54</v>
      </c>
      <c r="B54" s="3016" t="str">
        <f>'预评函-3'!A5</f>
        <v>叶凌</v>
      </c>
    </row>
    <row r="55" s="2997" customFormat="1" ht="15.75" spans="1:2">
      <c r="A55" s="3008" t="s">
        <v>55</v>
      </c>
      <c r="B55" s="3012">
        <f ca="1">'预评函-3'!B5</f>
        <v>1119970111</v>
      </c>
    </row>
    <row r="56" ht="15.75" spans="1:2">
      <c r="A56" s="3017" t="s">
        <v>56</v>
      </c>
      <c r="B56" s="3010" t="str">
        <f>'预评函-2（1）'!B15</f>
        <v>3.房地产抵押价值</v>
      </c>
    </row>
    <row r="57" spans="1:2">
      <c r="A57" s="3017" t="s">
        <v>57</v>
      </c>
      <c r="B57" s="3010" t="str">
        <f>'预评函-2（1）'!B18</f>
        <v>——</v>
      </c>
    </row>
    <row r="58" s="2997" customFormat="1" ht="15.75" spans="1:2">
      <c r="A58" s="3018" t="s">
        <v>58</v>
      </c>
      <c r="B58" s="3011" t="str">
        <f>'预评函-2（1）'!B21</f>
        <v>——</v>
      </c>
    </row>
    <row r="59" ht="15.75" spans="1:2">
      <c r="A59" s="3019" t="s">
        <v>59</v>
      </c>
      <c r="B59" s="3007" t="str">
        <f>'预评函-2（1）'!B45</f>
        <v>单位：元、元/平方米（单位：人民币）</v>
      </c>
    </row>
    <row r="60" spans="1:2">
      <c r="A60" s="3017" t="s">
        <v>60</v>
      </c>
      <c r="B60" s="3010" t="str">
        <f>'预评函-2（2）'!D2</f>
        <v>出让国有建设用地使用权价值</v>
      </c>
    </row>
    <row r="61" s="2998" customFormat="1" spans="1:2">
      <c r="A61" s="3017" t="s">
        <v>61</v>
      </c>
      <c r="B61" s="3010" t="str">
        <f>'预评函-2（2）'!A14</f>
        <v>单位：平方米、元、元/平方米（币种：人民币）</v>
      </c>
    </row>
    <row r="62" ht="28.5" spans="1:2">
      <c r="A62" s="3017" t="s">
        <v>62</v>
      </c>
      <c r="B62" s="3010">
        <f ca="1">'预评函-2（1）'!D38</f>
        <v>50122</v>
      </c>
    </row>
    <row r="63" s="2998" customFormat="1" ht="28.5" spans="1:2">
      <c r="A63" s="3017" t="s">
        <v>63</v>
      </c>
      <c r="B63" s="3010" t="str">
        <f ca="1">'预评函-2（1）'!D41</f>
        <v>——</v>
      </c>
    </row>
    <row r="64" spans="1:2">
      <c r="A64" s="3017" t="s">
        <v>64</v>
      </c>
      <c r="B64" s="3010" t="str">
        <f>'预评函-2（2）'!A6</f>
        <v>——</v>
      </c>
    </row>
    <row r="65" spans="1:2">
      <c r="A65" s="3017" t="s">
        <v>65</v>
      </c>
      <c r="B65" s="3010" t="str">
        <f>'预评函-2（2）'!A8</f>
        <v>——</v>
      </c>
    </row>
    <row r="66" spans="1:2">
      <c r="A66" s="3017" t="s">
        <v>66</v>
      </c>
      <c r="B66" s="3010" t="str">
        <f>'预评函-2（2）'!A10</f>
        <v>——</v>
      </c>
    </row>
    <row r="67" s="2997" customFormat="1" ht="15.75" spans="1:2">
      <c r="A67" s="3018" t="s">
        <v>67</v>
      </c>
      <c r="B67" s="3011" t="str">
        <f>'预评函-2（2）'!A12</f>
        <v>——</v>
      </c>
    </row>
    <row r="68" ht="15.75" spans="1:2">
      <c r="A68" s="2999" t="s">
        <v>68</v>
      </c>
      <c r="B68" s="3000" t="str">
        <f>'预评函-3'!A9</f>
        <v>XX</v>
      </c>
    </row>
    <row r="69" spans="1:1">
      <c r="A69" s="3006" t="s">
        <v>69</v>
      </c>
    </row>
    <row r="70" spans="1:1">
      <c r="A70" s="3006" t="s">
        <v>70</v>
      </c>
    </row>
  </sheetData>
  <sheetProtection password="C66D" sheet="1" objects="1" scenarios="1"/>
  <pageMargins left="0.699305555555556" right="0.699305555555556"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333333333333" style="2664" customWidth="1"/>
    <col min="2" max="2" width="15" style="2664" customWidth="1"/>
    <col min="3" max="3" width="14.1333333333333" style="2664" customWidth="1"/>
    <col min="4" max="4" width="12.5" style="2664" customWidth="1"/>
    <col min="5" max="5" width="13.8833333333333" style="2664" customWidth="1"/>
    <col min="6" max="6" width="15" style="2664" customWidth="1"/>
    <col min="7" max="7" width="14.8833333333333" style="2664" customWidth="1"/>
    <col min="8" max="8" width="10" style="2664" customWidth="1"/>
    <col min="9" max="9" width="10" style="2665" customWidth="1"/>
    <col min="10" max="10" width="10" style="2664" customWidth="1"/>
    <col min="11" max="13" width="10" style="2666" customWidth="1"/>
    <col min="14" max="14" width="10" style="2664" customWidth="1"/>
    <col min="15" max="15" width="10" style="2665" customWidth="1"/>
    <col min="16" max="17" width="10" style="2664"/>
    <col min="18" max="18" width="10" style="2664" customWidth="1"/>
    <col min="19" max="16384" width="10" style="2664"/>
  </cols>
  <sheetData>
    <row r="1" ht="13.5" spans="1:9">
      <c r="A1" s="2667" t="s">
        <v>332</v>
      </c>
      <c r="B1" s="2668" t="str">
        <f>IF(B6="北京市","北京市",C6)&amp;IF(E12="房屋所有权证",B28,E28)&amp;D5&amp;"预评估"</f>
        <v>北京市房地产市场价值预评估</v>
      </c>
      <c r="C1" s="2669"/>
      <c r="D1" s="2670"/>
      <c r="E1" s="2669"/>
      <c r="F1" s="2671" t="s">
        <v>333</v>
      </c>
      <c r="G1" s="2672"/>
      <c r="I1" s="2663" t="str">
        <f>IF(B6="北京市","北京市",C6)&amp;IF(E12="房屋所有权证",B28,E28)&amp;"房地产"</f>
        <v>北京市房地产</v>
      </c>
    </row>
    <row r="2" ht="13.5" spans="1:8">
      <c r="A2" s="2673" t="s">
        <v>334</v>
      </c>
      <c r="B2" s="2674">
        <v>43426</v>
      </c>
      <c r="C2" s="2675" t="s">
        <v>335</v>
      </c>
      <c r="D2" s="2674">
        <v>43426</v>
      </c>
      <c r="E2" s="2676"/>
      <c r="F2" s="2676"/>
      <c r="G2" s="2677"/>
      <c r="H2" s="2663"/>
    </row>
    <row r="3" ht="13.5" spans="1:8">
      <c r="A3" s="2678" t="s">
        <v>336</v>
      </c>
      <c r="B3" s="2679" t="s">
        <v>181</v>
      </c>
      <c r="C3" s="2680">
        <f ca="1">SUMIF(注册房地产估价师,B3,估价师及机构信息!B3:B24)</f>
        <v>1120070085</v>
      </c>
      <c r="D3" s="2679" t="s">
        <v>173</v>
      </c>
      <c r="E3" s="2681">
        <f ca="1">SUMIF(注册房地产估价师,D3,估价师及机构信息!B3:B24)</f>
        <v>1119970111</v>
      </c>
      <c r="F3" s="2682"/>
      <c r="G3" s="2683"/>
      <c r="H3" s="2663"/>
    </row>
    <row r="4" ht="13.5" customHeight="1" spans="1:7">
      <c r="A4" s="2684" t="s">
        <v>337</v>
      </c>
      <c r="B4" s="2685"/>
      <c r="C4" s="2686" t="s">
        <v>338</v>
      </c>
      <c r="D4" s="2687"/>
      <c r="E4" s="2676"/>
      <c r="F4" s="2676"/>
      <c r="G4" s="2677"/>
    </row>
    <row r="5" spans="1:9">
      <c r="A5" s="2688" t="s">
        <v>339</v>
      </c>
      <c r="B5" s="2689"/>
      <c r="C5" s="1696" t="s">
        <v>340</v>
      </c>
      <c r="D5" s="2690" t="s">
        <v>341</v>
      </c>
      <c r="E5" s="2691" t="s">
        <v>342</v>
      </c>
      <c r="F5" s="2692"/>
      <c r="G5" s="2693"/>
      <c r="I5" s="2663" t="str">
        <f>IF(C16="否","截至估价时点，估价对象抵押权未见登记。","截至价值时点，估价对象已设定抵押。")</f>
        <v>截至价值时点，估价对象已设定抵押。</v>
      </c>
    </row>
    <row r="6" spans="1:9">
      <c r="A6" s="2694" t="s">
        <v>343</v>
      </c>
      <c r="B6" s="1710" t="s">
        <v>344</v>
      </c>
      <c r="C6" s="2695"/>
      <c r="D6" s="2696" t="s">
        <v>345</v>
      </c>
      <c r="E6" s="2187"/>
      <c r="F6" s="2697"/>
      <c r="G6" s="2698"/>
      <c r="I6" s="2665" t="str">
        <f>IF(COUNTIF(B5,"*上海银行*"),"上海银行","")</f>
        <v/>
      </c>
    </row>
    <row r="7" ht="13.5" spans="1:7">
      <c r="A7" s="2678" t="s">
        <v>346</v>
      </c>
      <c r="B7" s="2699" t="s">
        <v>347</v>
      </c>
      <c r="C7" s="2700" t="str">
        <f>IF(B7="自然人","姓名","名称")</f>
        <v>姓名</v>
      </c>
      <c r="D7" s="2701"/>
      <c r="E7" s="2702"/>
      <c r="F7" s="2682"/>
      <c r="G7" s="2683"/>
    </row>
    <row r="8" ht="13.5" spans="1:7">
      <c r="A8" s="2703" t="s">
        <v>348</v>
      </c>
      <c r="B8" s="2704" t="s">
        <v>349</v>
      </c>
      <c r="C8" s="2705"/>
      <c r="D8" s="2706"/>
      <c r="E8" s="2707" t="s">
        <v>350</v>
      </c>
      <c r="F8" s="2708" t="s">
        <v>351</v>
      </c>
      <c r="G8" s="2709">
        <f>C6</f>
        <v>0</v>
      </c>
    </row>
    <row r="9" spans="1:7">
      <c r="A9" s="2703"/>
      <c r="B9" s="1695" t="s">
        <v>352</v>
      </c>
      <c r="C9" s="2710" t="s">
        <v>353</v>
      </c>
      <c r="D9" s="2711"/>
      <c r="E9" s="2712" t="s">
        <v>354</v>
      </c>
      <c r="F9" s="2713" t="s">
        <v>355</v>
      </c>
      <c r="G9" s="2714"/>
    </row>
    <row r="10" ht="13.5" spans="1:7">
      <c r="A10" s="2703"/>
      <c r="B10" s="1695" t="s">
        <v>356</v>
      </c>
      <c r="C10" s="2715"/>
      <c r="D10" s="2716"/>
      <c r="E10" s="2717" t="s">
        <v>357</v>
      </c>
      <c r="F10" s="2718" t="s">
        <v>358</v>
      </c>
      <c r="G10" s="2719"/>
    </row>
    <row r="11" ht="13.5" spans="1:7">
      <c r="A11" s="2703"/>
      <c r="B11" s="1651" t="s">
        <v>359</v>
      </c>
      <c r="C11" s="2720"/>
      <c r="D11" s="2721"/>
      <c r="E11" s="2187"/>
      <c r="F11" s="2697"/>
      <c r="G11" s="2698"/>
    </row>
    <row r="12" ht="24.75" spans="1:7">
      <c r="A12" s="2722" t="s">
        <v>360</v>
      </c>
      <c r="B12" s="2723" t="s">
        <v>361</v>
      </c>
      <c r="C12" s="2724">
        <v>223.88</v>
      </c>
      <c r="D12" s="2723" t="s">
        <v>362</v>
      </c>
      <c r="E12" s="2725" t="s">
        <v>363</v>
      </c>
      <c r="F12" s="2726" t="s">
        <v>364</v>
      </c>
      <c r="G12" s="2698"/>
    </row>
    <row r="13" ht="21" customHeight="1" spans="1:10">
      <c r="A13" s="2727"/>
      <c r="B13" s="2728" t="s">
        <v>365</v>
      </c>
      <c r="C13" s="2729"/>
      <c r="D13" s="2728" t="s">
        <v>362</v>
      </c>
      <c r="E13" s="2730" t="s">
        <v>363</v>
      </c>
      <c r="F13" s="2697"/>
      <c r="G13" s="2698"/>
      <c r="I13" s="2815" t="s">
        <v>366</v>
      </c>
      <c r="J13" s="281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ht="13.5" spans="1:10">
      <c r="A14" s="2731"/>
      <c r="B14" s="2732" t="s">
        <v>367</v>
      </c>
      <c r="C14" s="2733"/>
      <c r="D14" s="2697"/>
      <c r="E14" s="2697"/>
      <c r="F14" s="2697"/>
      <c r="G14" s="2698"/>
      <c r="I14" s="2815"/>
      <c r="J14" s="28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4"/>
      <c r="B15" s="2735" t="s">
        <v>368</v>
      </c>
      <c r="C15" s="2736">
        <v>3.5</v>
      </c>
      <c r="D15" s="2682"/>
      <c r="E15" s="2682"/>
      <c r="F15" s="2682"/>
      <c r="G15" s="2683"/>
      <c r="I15" s="2815"/>
      <c r="J15" s="28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1" t="s">
        <v>369</v>
      </c>
      <c r="B16" s="2737" t="s">
        <v>370</v>
      </c>
      <c r="C16" s="2738" t="s">
        <v>121</v>
      </c>
      <c r="D16" s="2739" t="s">
        <v>371</v>
      </c>
      <c r="E16" s="2740"/>
      <c r="F16" s="2741" t="str">
        <f>IF(AND(C16="是",E16="否"),"是否提供他项权证或相关说明","")</f>
        <v/>
      </c>
      <c r="G16" s="2740"/>
      <c r="I16" s="2664"/>
      <c r="J16" s="2663"/>
    </row>
    <row r="17" ht="13.5" customHeight="1" spans="1:10">
      <c r="A17" s="2742" t="s">
        <v>372</v>
      </c>
      <c r="B17" s="2743" t="s">
        <v>373</v>
      </c>
      <c r="C17" s="1643"/>
      <c r="D17" s="2744" t="s">
        <v>374</v>
      </c>
      <c r="E17" s="2745"/>
      <c r="F17" s="2746" t="s">
        <v>375</v>
      </c>
      <c r="G17" s="2747"/>
      <c r="J17" s="2663"/>
    </row>
    <row r="18" ht="24" spans="1:10">
      <c r="A18" s="2742"/>
      <c r="B18" s="2748" t="s">
        <v>376</v>
      </c>
      <c r="C18" s="2693" t="s">
        <v>121</v>
      </c>
      <c r="D18" s="2749" t="s">
        <v>377</v>
      </c>
      <c r="E18" s="2750" t="s">
        <v>121</v>
      </c>
      <c r="F18" s="2751"/>
      <c r="G18" s="2752"/>
      <c r="H18" s="2663"/>
      <c r="J18" s="2663"/>
    </row>
    <row r="19" ht="21.75" customHeight="1" spans="1:7">
      <c r="A19" s="2742"/>
      <c r="B19" s="2753"/>
      <c r="C19" s="2730"/>
      <c r="D19" s="2754"/>
      <c r="E19" s="2697"/>
      <c r="F19" s="2697"/>
      <c r="G19" s="2752"/>
    </row>
    <row r="20" spans="1:7">
      <c r="A20" s="2755" t="s">
        <v>378</v>
      </c>
      <c r="B20" s="2756" t="s">
        <v>379</v>
      </c>
      <c r="C20" s="2757"/>
      <c r="D20" s="2758" t="s">
        <v>379</v>
      </c>
      <c r="E20" s="2757"/>
      <c r="F20" s="2697"/>
      <c r="G20" s="2752"/>
    </row>
    <row r="21" spans="1:7">
      <c r="A21" s="2759"/>
      <c r="B21" s="2760" t="s">
        <v>380</v>
      </c>
      <c r="C21" s="2716"/>
      <c r="D21" s="2742" t="s">
        <v>380</v>
      </c>
      <c r="E21" s="2761"/>
      <c r="F21" s="2697"/>
      <c r="G21" s="2752"/>
    </row>
    <row r="22" spans="1:7">
      <c r="A22" s="2759"/>
      <c r="B22" s="2762" t="s">
        <v>381</v>
      </c>
      <c r="C22" s="2763"/>
      <c r="D22" s="2762" t="s">
        <v>381</v>
      </c>
      <c r="E22" s="2761"/>
      <c r="F22" s="2697"/>
      <c r="G22" s="2752"/>
    </row>
    <row r="23" s="2661" customFormat="1" ht="21" spans="1:15">
      <c r="A23" s="2764"/>
      <c r="B23" s="2765" t="s">
        <v>382</v>
      </c>
      <c r="C23" s="2766"/>
      <c r="D23" s="2765" t="s">
        <v>382</v>
      </c>
      <c r="E23" s="2767"/>
      <c r="F23" s="2697"/>
      <c r="G23" s="2752"/>
      <c r="H23" s="2768"/>
      <c r="I23" s="2815"/>
      <c r="K23" s="2817"/>
      <c r="L23" s="2817"/>
      <c r="M23" s="2817"/>
      <c r="O23" s="2815"/>
    </row>
    <row r="24" ht="13.5" spans="1:11">
      <c r="A24" s="2769" t="s">
        <v>383</v>
      </c>
      <c r="B24" s="2697"/>
      <c r="C24" s="2697"/>
      <c r="D24" s="2697"/>
      <c r="E24" s="2697"/>
      <c r="F24" s="2697"/>
      <c r="G24" s="2770"/>
      <c r="I24" s="2664"/>
      <c r="K24" s="2664"/>
    </row>
    <row r="25" s="2662" customFormat="1" ht="13.5" spans="1:15">
      <c r="A25" s="2771"/>
      <c r="B25" s="2772" t="s">
        <v>384</v>
      </c>
      <c r="C25" s="2771"/>
      <c r="D25" s="2773"/>
      <c r="E25" s="2774" t="s">
        <v>385</v>
      </c>
      <c r="F25" s="2771"/>
      <c r="G25" s="2775" t="s">
        <v>386</v>
      </c>
      <c r="L25" s="2818"/>
      <c r="M25" s="2818"/>
      <c r="O25" s="2819"/>
    </row>
    <row r="26" s="2662" customFormat="1" ht="13.5" spans="1:15">
      <c r="A26" s="2771"/>
      <c r="B26" s="2776"/>
      <c r="C26" s="2771"/>
      <c r="D26" s="2773"/>
      <c r="E26" s="2776"/>
      <c r="F26" s="2771"/>
      <c r="G26" s="2777"/>
      <c r="L26" s="2818"/>
      <c r="M26" s="2818"/>
      <c r="O26" s="2819"/>
    </row>
    <row r="27" spans="1:11">
      <c r="A27" s="2778" t="s">
        <v>387</v>
      </c>
      <c r="B27" s="2779"/>
      <c r="C27" s="2780" t="s">
        <v>387</v>
      </c>
      <c r="D27" s="2781"/>
      <c r="E27" s="2779"/>
      <c r="F27" s="2782" t="s">
        <v>387</v>
      </c>
      <c r="G27" s="2779"/>
      <c r="I27" s="2664"/>
      <c r="K27" s="2664"/>
    </row>
    <row r="28" spans="1:11">
      <c r="A28" s="2783" t="s">
        <v>388</v>
      </c>
      <c r="B28" s="2784"/>
      <c r="C28" s="2785" t="s">
        <v>389</v>
      </c>
      <c r="D28" s="2180"/>
      <c r="E28" s="2784"/>
      <c r="F28" s="2182" t="s">
        <v>389</v>
      </c>
      <c r="G28" s="2784"/>
      <c r="I28" s="2664"/>
      <c r="K28" s="2664"/>
    </row>
    <row r="29" spans="1:11">
      <c r="A29" s="2783" t="s">
        <v>390</v>
      </c>
      <c r="B29" s="2784"/>
      <c r="C29" s="2785" t="s">
        <v>390</v>
      </c>
      <c r="D29" s="2180"/>
      <c r="E29" s="2784"/>
      <c r="F29" s="2182" t="s">
        <v>391</v>
      </c>
      <c r="G29" s="2784"/>
      <c r="I29" s="2664"/>
      <c r="K29" s="2664"/>
    </row>
    <row r="30" spans="1:7">
      <c r="A30" s="2783" t="s">
        <v>392</v>
      </c>
      <c r="B30" s="2784"/>
      <c r="C30" s="2786" t="s">
        <v>393</v>
      </c>
      <c r="D30" s="2194"/>
      <c r="E30" s="2787" t="str">
        <f>E31&amp;" "&amp;E32&amp;" "&amp;E33&amp;" "&amp;E34</f>
        <v>   </v>
      </c>
      <c r="F30" s="2182" t="s">
        <v>394</v>
      </c>
      <c r="G30" s="2784"/>
    </row>
    <row r="31" spans="1:7">
      <c r="A31" s="2783" t="s">
        <v>395</v>
      </c>
      <c r="B31" s="2784"/>
      <c r="C31" s="2788"/>
      <c r="D31" s="1707" t="s">
        <v>396</v>
      </c>
      <c r="E31" s="2784"/>
      <c r="F31" s="2182" t="s">
        <v>397</v>
      </c>
      <c r="G31" s="2784"/>
    </row>
    <row r="32" ht="24.75" spans="1:7">
      <c r="A32" s="2789" t="s">
        <v>398</v>
      </c>
      <c r="B32" s="2790"/>
      <c r="C32" s="2788"/>
      <c r="D32" s="1707" t="s">
        <v>399</v>
      </c>
      <c r="E32" s="2784"/>
      <c r="F32" s="2182" t="s">
        <v>400</v>
      </c>
      <c r="G32" s="2784"/>
    </row>
    <row r="33" spans="1:7">
      <c r="A33" s="2778" t="s">
        <v>401</v>
      </c>
      <c r="B33" s="2779"/>
      <c r="C33" s="2788"/>
      <c r="D33" s="1707" t="s">
        <v>402</v>
      </c>
      <c r="E33" s="2784"/>
      <c r="F33" s="2182" t="s">
        <v>403</v>
      </c>
      <c r="G33" s="2784"/>
    </row>
    <row r="34" ht="13.5" spans="1:7">
      <c r="A34" s="2783" t="s">
        <v>404</v>
      </c>
      <c r="B34" s="2784"/>
      <c r="C34" s="2791"/>
      <c r="D34" s="1707" t="s">
        <v>405</v>
      </c>
      <c r="E34" s="2784"/>
      <c r="F34" s="2188" t="s">
        <v>406</v>
      </c>
      <c r="G34" s="2792"/>
    </row>
    <row r="35" spans="1:7">
      <c r="A35" s="2783" t="s">
        <v>361</v>
      </c>
      <c r="B35" s="2784"/>
      <c r="C35" s="2785" t="s">
        <v>407</v>
      </c>
      <c r="D35" s="2180"/>
      <c r="E35" s="2784"/>
      <c r="F35" s="2781" t="s">
        <v>408</v>
      </c>
      <c r="G35" s="2779"/>
    </row>
    <row r="36" ht="13.5" spans="1:7">
      <c r="A36" s="2783" t="s">
        <v>409</v>
      </c>
      <c r="B36" s="2784"/>
      <c r="C36" s="2793" t="s">
        <v>410</v>
      </c>
      <c r="D36" s="2794"/>
      <c r="E36" s="2790"/>
      <c r="F36" s="2180" t="s">
        <v>411</v>
      </c>
      <c r="G36" s="2784"/>
    </row>
    <row r="37" ht="13.5" spans="1:7">
      <c r="A37" s="2783" t="s">
        <v>412</v>
      </c>
      <c r="B37" s="2784"/>
      <c r="C37" s="2782" t="s">
        <v>413</v>
      </c>
      <c r="D37" s="2795" t="s">
        <v>397</v>
      </c>
      <c r="E37" s="2779"/>
      <c r="F37" s="2188" t="s">
        <v>414</v>
      </c>
      <c r="G37" s="2790"/>
    </row>
    <row r="38" spans="1:7">
      <c r="A38" s="2783" t="s">
        <v>415</v>
      </c>
      <c r="B38" s="2784"/>
      <c r="C38" s="2182"/>
      <c r="D38" s="1707" t="s">
        <v>404</v>
      </c>
      <c r="E38" s="2784"/>
      <c r="F38" s="2782" t="s">
        <v>416</v>
      </c>
      <c r="G38" s="2779"/>
    </row>
    <row r="39" spans="1:7">
      <c r="A39" s="2783" t="s">
        <v>417</v>
      </c>
      <c r="B39" s="2784"/>
      <c r="C39" s="2182" t="s">
        <v>418</v>
      </c>
      <c r="D39" s="1707" t="s">
        <v>361</v>
      </c>
      <c r="E39" s="2784"/>
      <c r="F39" s="2182" t="s">
        <v>419</v>
      </c>
      <c r="G39" s="2784"/>
    </row>
    <row r="40" ht="24.75" customHeight="1" spans="1:7">
      <c r="A40" s="2789" t="s">
        <v>420</v>
      </c>
      <c r="B40" s="2790"/>
      <c r="C40" s="2188"/>
      <c r="D40" s="2189" t="s">
        <v>365</v>
      </c>
      <c r="E40" s="2790"/>
      <c r="F40" s="2188" t="s">
        <v>421</v>
      </c>
      <c r="G40" s="2790"/>
    </row>
    <row r="41" spans="1:7">
      <c r="A41" s="2712" t="s">
        <v>422</v>
      </c>
      <c r="B41" s="2796"/>
      <c r="C41" s="2797" t="s">
        <v>422</v>
      </c>
      <c r="D41" s="2798"/>
      <c r="E41" s="2796"/>
      <c r="F41" s="2782" t="s">
        <v>423</v>
      </c>
      <c r="G41" s="2796"/>
    </row>
    <row r="42" spans="1:7">
      <c r="A42" s="2799" t="s">
        <v>424</v>
      </c>
      <c r="B42" s="2800"/>
      <c r="C42" s="2801"/>
      <c r="D42" s="2802"/>
      <c r="E42" s="2800"/>
      <c r="F42" s="2703"/>
      <c r="G42" s="2800"/>
    </row>
    <row r="43" spans="1:7">
      <c r="A43" s="2170" t="s">
        <v>379</v>
      </c>
      <c r="B43" s="2803"/>
      <c r="C43" s="2801"/>
      <c r="D43" s="2804" t="s">
        <v>379</v>
      </c>
      <c r="E43" s="2803"/>
      <c r="F43" s="2170" t="s">
        <v>379</v>
      </c>
      <c r="G43" s="2803"/>
    </row>
    <row r="44" spans="1:7">
      <c r="A44" s="2170" t="s">
        <v>380</v>
      </c>
      <c r="B44" s="2803"/>
      <c r="C44" s="2801"/>
      <c r="D44" s="2760" t="s">
        <v>380</v>
      </c>
      <c r="E44" s="2803"/>
      <c r="F44" s="2170" t="s">
        <v>380</v>
      </c>
      <c r="G44" s="2803"/>
    </row>
    <row r="45" spans="1:7">
      <c r="A45" s="2170" t="s">
        <v>381</v>
      </c>
      <c r="B45" s="2803"/>
      <c r="C45" s="2801"/>
      <c r="D45" s="2760" t="s">
        <v>381</v>
      </c>
      <c r="E45" s="2803"/>
      <c r="F45" s="2170" t="s">
        <v>381</v>
      </c>
      <c r="G45" s="2803"/>
    </row>
    <row r="46" spans="1:7">
      <c r="A46" s="2170" t="s">
        <v>382</v>
      </c>
      <c r="B46" s="2803"/>
      <c r="C46" s="2801"/>
      <c r="D46" s="2760" t="s">
        <v>382</v>
      </c>
      <c r="E46" s="2803"/>
      <c r="F46" s="2170" t="s">
        <v>382</v>
      </c>
      <c r="G46" s="2803"/>
    </row>
    <row r="47" spans="1:7">
      <c r="A47" s="2799"/>
      <c r="B47" s="2803"/>
      <c r="C47" s="2801"/>
      <c r="D47" s="2802"/>
      <c r="E47" s="2803"/>
      <c r="F47" s="2703"/>
      <c r="G47" s="2803"/>
    </row>
    <row r="48" ht="13.5" spans="1:7">
      <c r="A48" s="2789" t="s">
        <v>425</v>
      </c>
      <c r="B48" s="2790"/>
      <c r="C48" s="2805" t="s">
        <v>425</v>
      </c>
      <c r="D48" s="2806"/>
      <c r="E48" s="2807"/>
      <c r="F48" s="2188" t="s">
        <v>426</v>
      </c>
      <c r="G48" s="2790"/>
    </row>
    <row r="49" spans="1:7">
      <c r="A49" s="2783" t="s">
        <v>427</v>
      </c>
      <c r="B49" s="2808"/>
      <c r="C49" s="2782" t="s">
        <v>428</v>
      </c>
      <c r="D49" s="2795"/>
      <c r="E49" s="2809"/>
      <c r="F49" s="2810"/>
      <c r="G49" s="2811"/>
    </row>
    <row r="50" ht="13.5" spans="1:7">
      <c r="A50" s="2783" t="s">
        <v>429</v>
      </c>
      <c r="B50" s="2808"/>
      <c r="C50" s="2188" t="s">
        <v>430</v>
      </c>
      <c r="D50" s="2189"/>
      <c r="E50" s="2790"/>
      <c r="F50" s="2697"/>
      <c r="G50" s="2698"/>
    </row>
    <row r="51" spans="1:7">
      <c r="A51" s="2783" t="s">
        <v>408</v>
      </c>
      <c r="B51" s="2784"/>
      <c r="C51" s="2697"/>
      <c r="D51" s="2697"/>
      <c r="E51" s="2697"/>
      <c r="F51" s="2697"/>
      <c r="G51" s="2698"/>
    </row>
    <row r="52" ht="24.75" spans="1:7">
      <c r="A52" s="2789" t="s">
        <v>431</v>
      </c>
      <c r="B52" s="2792"/>
      <c r="C52" s="2812"/>
      <c r="D52" s="2812"/>
      <c r="E52" s="2812"/>
      <c r="F52" s="2812"/>
      <c r="G52" s="2813"/>
    </row>
    <row r="53" spans="1:7">
      <c r="A53" s="2814"/>
      <c r="B53" s="2814"/>
      <c r="C53" s="2814"/>
      <c r="D53" s="2814"/>
      <c r="E53" s="2814"/>
      <c r="F53" s="2814"/>
      <c r="G53" s="2814"/>
    </row>
    <row r="54" spans="3:7">
      <c r="C54" s="2814"/>
      <c r="D54" s="2814"/>
      <c r="E54" s="2814"/>
      <c r="F54" s="2814"/>
      <c r="G54" s="2814"/>
    </row>
    <row r="56" s="2663" customFormat="1" spans="9:15">
      <c r="I56" s="2820"/>
      <c r="K56" s="2821"/>
      <c r="L56" s="2821"/>
      <c r="M56" s="2821"/>
      <c r="O56" s="2820"/>
    </row>
    <row r="57" s="2663" customFormat="1" spans="9:15">
      <c r="I57" s="2820"/>
      <c r="K57" s="2821"/>
      <c r="L57" s="2821"/>
      <c r="M57" s="2821"/>
      <c r="O57" s="2820"/>
    </row>
    <row r="58" s="2663" customFormat="1" spans="9:15">
      <c r="I58" s="2820"/>
      <c r="K58" s="2821"/>
      <c r="L58" s="2821"/>
      <c r="M58" s="2821"/>
      <c r="O58" s="2820"/>
    </row>
    <row r="59" s="2663" customFormat="1" spans="9:15">
      <c r="I59" s="2820"/>
      <c r="K59" s="2821"/>
      <c r="L59" s="2821"/>
      <c r="M59" s="2821"/>
      <c r="O59" s="2820"/>
    </row>
    <row r="60" s="2663" customFormat="1" spans="9:15">
      <c r="I60" s="2820"/>
      <c r="K60" s="2821"/>
      <c r="L60" s="2821"/>
      <c r="M60" s="2821"/>
      <c r="O60" s="2820"/>
    </row>
    <row r="61" s="2663" customFormat="1" spans="9:15">
      <c r="I61" s="2820"/>
      <c r="K61" s="2821"/>
      <c r="L61" s="2821"/>
      <c r="M61" s="2821"/>
      <c r="O61" s="2820"/>
    </row>
    <row r="62" s="2663" customFormat="1" spans="9:15">
      <c r="I62" s="2820"/>
      <c r="K62" s="2821"/>
      <c r="L62" s="2821"/>
      <c r="M62" s="2821"/>
      <c r="O62" s="282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6" right="0.699305555555556"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2657" customWidth="1"/>
    <col min="2" max="2" width="10.6333333333333" style="2657" customWidth="1"/>
    <col min="3" max="3" width="15.75" style="2657" customWidth="1"/>
    <col min="4" max="7" width="9.5" style="2657" customWidth="1"/>
    <col min="8" max="13" width="9.13333333333333" style="2657" customWidth="1"/>
    <col min="14" max="16384" width="9" style="2657"/>
  </cols>
  <sheetData>
    <row r="1" ht="14.25" spans="1:13">
      <c r="A1" s="2658" t="s">
        <v>432</v>
      </c>
      <c r="B1" s="2658" t="s">
        <v>433</v>
      </c>
      <c r="C1" s="2658" t="s">
        <v>434</v>
      </c>
      <c r="D1" s="2659" t="s">
        <v>435</v>
      </c>
      <c r="E1" s="2659" t="s">
        <v>436</v>
      </c>
      <c r="F1" s="2659"/>
      <c r="G1" s="2659"/>
      <c r="H1" s="2659"/>
      <c r="I1" s="2659"/>
      <c r="J1" s="2659"/>
      <c r="K1" s="2659"/>
      <c r="L1" s="2659"/>
      <c r="M1" s="2659"/>
    </row>
    <row r="2" ht="27" customHeight="1" spans="1:13">
      <c r="A2" s="2658"/>
      <c r="B2" s="2658"/>
      <c r="C2" s="2658"/>
      <c r="D2" s="2659"/>
      <c r="E2" s="2659" t="s">
        <v>437</v>
      </c>
      <c r="F2" s="2659" t="s">
        <v>438</v>
      </c>
      <c r="G2" s="2659"/>
      <c r="H2" s="2659"/>
      <c r="I2" s="2659"/>
      <c r="J2" s="2659" t="s">
        <v>439</v>
      </c>
      <c r="K2" s="2659"/>
      <c r="L2" s="2659"/>
      <c r="M2" s="2659"/>
    </row>
    <row r="3" ht="28.5" spans="1:13">
      <c r="A3" s="2658"/>
      <c r="B3" s="2658"/>
      <c r="C3" s="2658"/>
      <c r="D3" s="2659"/>
      <c r="E3" s="2659"/>
      <c r="F3" s="2660" t="s">
        <v>440</v>
      </c>
      <c r="G3" s="2660" t="s">
        <v>441</v>
      </c>
      <c r="H3" s="2660" t="s">
        <v>442</v>
      </c>
      <c r="I3" s="2660" t="s">
        <v>443</v>
      </c>
      <c r="J3" s="2660" t="s">
        <v>440</v>
      </c>
      <c r="K3" s="2660" t="s">
        <v>444</v>
      </c>
      <c r="L3" s="2660" t="s">
        <v>445</v>
      </c>
      <c r="M3" s="2660" t="s">
        <v>446</v>
      </c>
    </row>
    <row r="4" ht="42.75" spans="1:13">
      <c r="A4" s="2660" t="s">
        <v>447</v>
      </c>
      <c r="B4" s="2660" t="s">
        <v>448</v>
      </c>
      <c r="C4" s="2660" t="s">
        <v>449</v>
      </c>
      <c r="D4" s="2659">
        <v>3807.94</v>
      </c>
      <c r="E4" s="2659">
        <v>20666.91</v>
      </c>
      <c r="F4" s="2659">
        <v>19673</v>
      </c>
      <c r="G4" s="2659">
        <v>0</v>
      </c>
      <c r="H4" s="2659">
        <v>19673</v>
      </c>
      <c r="I4" s="2659">
        <v>0</v>
      </c>
      <c r="J4" s="2659">
        <v>993.91</v>
      </c>
      <c r="K4" s="2659">
        <v>0</v>
      </c>
      <c r="L4" s="2659">
        <v>0</v>
      </c>
      <c r="M4" s="2659">
        <v>993.91</v>
      </c>
    </row>
    <row r="5" ht="42.75" spans="1:13">
      <c r="A5" s="2660" t="s">
        <v>447</v>
      </c>
      <c r="B5" s="2660" t="s">
        <v>450</v>
      </c>
      <c r="C5" s="2660" t="s">
        <v>451</v>
      </c>
      <c r="D5" s="2659">
        <v>3667.86</v>
      </c>
      <c r="E5" s="2659">
        <v>19906.61</v>
      </c>
      <c r="F5" s="2659">
        <v>18792.87</v>
      </c>
      <c r="G5" s="2659">
        <v>18792.87</v>
      </c>
      <c r="H5" s="2659">
        <v>0</v>
      </c>
      <c r="I5" s="2659">
        <v>0</v>
      </c>
      <c r="J5" s="2659">
        <v>1113.74</v>
      </c>
      <c r="K5" s="2659">
        <v>55.59</v>
      </c>
      <c r="L5" s="2659">
        <v>0</v>
      </c>
      <c r="M5" s="2659">
        <v>1058.15</v>
      </c>
    </row>
    <row r="6" ht="42.75" spans="1:13">
      <c r="A6" s="2660" t="s">
        <v>447</v>
      </c>
      <c r="B6" s="2660" t="s">
        <v>450</v>
      </c>
      <c r="C6" s="2660" t="s">
        <v>452</v>
      </c>
      <c r="D6" s="2659">
        <v>2067.52</v>
      </c>
      <c r="E6" s="2659">
        <v>11221.06</v>
      </c>
      <c r="F6" s="2659">
        <v>9934.13</v>
      </c>
      <c r="G6" s="2659">
        <v>9934.13</v>
      </c>
      <c r="H6" s="2659">
        <v>0</v>
      </c>
      <c r="I6" s="2659">
        <v>0</v>
      </c>
      <c r="J6" s="2659">
        <v>1286.93</v>
      </c>
      <c r="K6" s="2659">
        <v>0</v>
      </c>
      <c r="L6" s="2659">
        <v>0</v>
      </c>
      <c r="M6" s="2659">
        <v>1286.93</v>
      </c>
    </row>
    <row r="7" ht="42.75" spans="1:13">
      <c r="A7" s="2660" t="s">
        <v>447</v>
      </c>
      <c r="B7" s="2660" t="s">
        <v>450</v>
      </c>
      <c r="C7" s="2660" t="s">
        <v>453</v>
      </c>
      <c r="D7" s="2659">
        <v>8.18</v>
      </c>
      <c r="E7" s="2659">
        <v>44.41</v>
      </c>
      <c r="F7" s="2659">
        <v>0</v>
      </c>
      <c r="G7" s="2659">
        <v>0</v>
      </c>
      <c r="H7" s="2659">
        <v>0</v>
      </c>
      <c r="I7" s="2659">
        <v>0</v>
      </c>
      <c r="J7" s="2659">
        <v>44.41</v>
      </c>
      <c r="K7" s="2659">
        <v>44.41</v>
      </c>
      <c r="L7" s="2659">
        <v>0</v>
      </c>
      <c r="M7" s="2659">
        <v>0</v>
      </c>
    </row>
    <row r="8" ht="42.75" spans="1:13">
      <c r="A8" s="2660" t="s">
        <v>447</v>
      </c>
      <c r="B8" s="2660" t="s">
        <v>450</v>
      </c>
      <c r="C8" s="2660" t="s">
        <v>443</v>
      </c>
      <c r="D8" s="2659">
        <v>2455.53</v>
      </c>
      <c r="E8" s="2659">
        <v>13326.96</v>
      </c>
      <c r="F8" s="2659">
        <v>9231.05</v>
      </c>
      <c r="G8" s="2659">
        <v>0</v>
      </c>
      <c r="H8" s="2659">
        <v>0</v>
      </c>
      <c r="I8" s="2659">
        <v>9231.05</v>
      </c>
      <c r="J8" s="2659">
        <v>4095.91</v>
      </c>
      <c r="K8" s="2659">
        <v>0</v>
      </c>
      <c r="L8" s="2659">
        <v>3320.79</v>
      </c>
      <c r="M8" s="2659">
        <v>775.12</v>
      </c>
    </row>
    <row r="9" ht="27" customHeight="1" spans="1:13">
      <c r="A9" s="2659" t="s">
        <v>454</v>
      </c>
      <c r="B9" s="2659"/>
      <c r="C9" s="2659"/>
      <c r="D9" s="2659">
        <v>12007.03</v>
      </c>
      <c r="E9" s="2659">
        <v>65165.95</v>
      </c>
      <c r="F9" s="2659">
        <v>57631.05</v>
      </c>
      <c r="G9" s="2659">
        <v>28727</v>
      </c>
      <c r="H9" s="2659">
        <v>19673</v>
      </c>
      <c r="I9" s="2659">
        <v>9231.05</v>
      </c>
      <c r="J9" s="2659">
        <v>7534.9</v>
      </c>
      <c r="K9" s="2659">
        <v>100</v>
      </c>
      <c r="L9" s="2659">
        <v>3320.79</v>
      </c>
      <c r="M9" s="2659">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46" sqref="B46"/>
    </sheetView>
  </sheetViews>
  <sheetFormatPr defaultColWidth="13.75" defaultRowHeight="12.75"/>
  <cols>
    <col min="1" max="1" width="20.8833333333333" style="2539" customWidth="1"/>
    <col min="2" max="2" width="16.75" style="2540" customWidth="1"/>
    <col min="3" max="3" width="10.75" style="2540" customWidth="1"/>
    <col min="4" max="4" width="31.6333333333333" style="2541" customWidth="1"/>
    <col min="5" max="5" width="17.6333333333333" style="2541" customWidth="1"/>
    <col min="6" max="8" width="9.13333333333333" style="2542" customWidth="1"/>
    <col min="9" max="9" width="15" style="1727" customWidth="1"/>
    <col min="10" max="14" width="8.88333333333333" style="1727" customWidth="1"/>
    <col min="15" max="16" width="12.3833333333333" style="1436" customWidth="1"/>
    <col min="17" max="17" width="8.63333333333333" style="1727" customWidth="1"/>
    <col min="18" max="18" width="12.5" style="1727" customWidth="1"/>
    <col min="19" max="19" width="8.5" style="1727" customWidth="1"/>
    <col min="20" max="21" width="10.8833333333333" style="1727" customWidth="1"/>
    <col min="22" max="23" width="12.5" style="1727" customWidth="1"/>
    <col min="24" max="24" width="12.1333333333333" style="1727" customWidth="1"/>
    <col min="25" max="25" width="7.5" style="1727" customWidth="1"/>
    <col min="26" max="26" width="6.38333333333333" style="1727" customWidth="1"/>
    <col min="27" max="30" width="6.75" style="1727" customWidth="1"/>
    <col min="31" max="32" width="6.75" style="2540" customWidth="1"/>
    <col min="33" max="33" width="6.5" style="2540" customWidth="1"/>
    <col min="34" max="36" width="7.25" style="2540" customWidth="1"/>
    <col min="37" max="41" width="8" style="2540" customWidth="1"/>
    <col min="42" max="16384" width="13.75" style="2540"/>
  </cols>
  <sheetData>
    <row r="1" ht="19.5" spans="1:41">
      <c r="A1" s="2543" t="s">
        <v>455</v>
      </c>
      <c r="B1" s="1727"/>
      <c r="C1" s="1727"/>
      <c r="D1" s="2542"/>
      <c r="E1" s="2542"/>
      <c r="AE1" s="1727"/>
      <c r="AF1" s="1727"/>
      <c r="AG1" s="1727"/>
      <c r="AH1" s="1727"/>
      <c r="AI1" s="1727"/>
      <c r="AJ1" s="1727"/>
      <c r="AK1" s="1727"/>
      <c r="AL1" s="1727"/>
      <c r="AM1" s="1727"/>
      <c r="AN1" s="1727"/>
      <c r="AO1" s="1727"/>
    </row>
    <row r="2" s="2536" customFormat="1" ht="15.75" spans="1:41">
      <c r="A2" s="2544" t="s">
        <v>456</v>
      </c>
      <c r="B2" s="2545">
        <f>项目基本情况!D2</f>
        <v>43426</v>
      </c>
      <c r="C2" s="2546"/>
      <c r="D2" s="2547" t="s">
        <v>457</v>
      </c>
      <c r="E2" s="2548"/>
      <c r="F2" s="2549"/>
      <c r="G2" s="2549"/>
      <c r="H2" s="2549"/>
      <c r="I2" s="2546"/>
      <c r="J2" s="2546"/>
      <c r="K2" s="2546"/>
      <c r="L2" s="2546"/>
      <c r="M2" s="2546"/>
      <c r="N2" s="2546"/>
      <c r="O2" s="2573"/>
      <c r="P2" s="2573"/>
      <c r="Q2" s="2546"/>
      <c r="R2" s="2546"/>
      <c r="S2" s="2546"/>
      <c r="T2" s="2546"/>
      <c r="U2" s="2546"/>
      <c r="V2" s="2546"/>
      <c r="W2" s="2546"/>
      <c r="X2" s="2546"/>
      <c r="Y2" s="2546"/>
      <c r="Z2" s="2546"/>
      <c r="AA2" s="2546"/>
      <c r="AB2" s="2546"/>
      <c r="AC2" s="2546"/>
      <c r="AD2" s="2546"/>
      <c r="AE2" s="2546"/>
      <c r="AF2" s="2546"/>
      <c r="AG2" s="2546"/>
      <c r="AH2" s="2546"/>
      <c r="AI2" s="2546"/>
      <c r="AJ2" s="2546"/>
      <c r="AK2" s="2546"/>
      <c r="AL2" s="2546"/>
      <c r="AM2" s="2546"/>
      <c r="AN2" s="2546"/>
      <c r="AO2" s="2546"/>
    </row>
    <row r="3" s="2536" customFormat="1" ht="15" customHeight="1" spans="1:41">
      <c r="A3" s="759" t="s">
        <v>458</v>
      </c>
      <c r="B3" s="2550" t="s">
        <v>459</v>
      </c>
      <c r="C3" s="2546"/>
      <c r="D3" s="2551"/>
      <c r="E3" s="2552" t="s">
        <v>237</v>
      </c>
      <c r="F3" s="2549"/>
      <c r="G3" s="2549"/>
      <c r="H3" s="2549"/>
      <c r="I3" s="2546"/>
      <c r="J3" s="2546"/>
      <c r="K3" s="2546"/>
      <c r="L3" s="2546"/>
      <c r="M3" s="2546"/>
      <c r="N3" s="2546"/>
      <c r="O3" s="2573"/>
      <c r="P3" s="2573"/>
      <c r="Q3" s="2546"/>
      <c r="R3" s="2546"/>
      <c r="S3" s="2546"/>
      <c r="T3" s="2546"/>
      <c r="U3" s="2546"/>
      <c r="V3" s="2546"/>
      <c r="W3" s="2546"/>
      <c r="X3" s="2546"/>
      <c r="Y3" s="2546"/>
      <c r="Z3" s="2546"/>
      <c r="AA3" s="2546"/>
      <c r="AB3" s="2546"/>
      <c r="AC3" s="2546"/>
      <c r="AD3" s="2546"/>
      <c r="AE3" s="2546"/>
      <c r="AF3" s="2546"/>
      <c r="AG3" s="2546"/>
      <c r="AH3" s="2546"/>
      <c r="AI3" s="2546"/>
      <c r="AJ3" s="2546"/>
      <c r="AK3" s="2546"/>
      <c r="AL3" s="2546"/>
      <c r="AM3" s="2546"/>
      <c r="AN3" s="2546"/>
      <c r="AO3" s="2546"/>
    </row>
    <row r="4" s="2536" customFormat="1" ht="15" spans="1:41">
      <c r="A4" s="1239" t="s">
        <v>460</v>
      </c>
      <c r="B4" s="2550" t="s">
        <v>461</v>
      </c>
      <c r="C4" s="2546"/>
      <c r="D4" s="2551"/>
      <c r="E4" s="2552"/>
      <c r="F4" s="2549"/>
      <c r="G4" s="2549"/>
      <c r="H4" s="2549"/>
      <c r="I4" s="2546"/>
      <c r="J4" s="2546"/>
      <c r="K4" s="2546"/>
      <c r="L4" s="2546"/>
      <c r="M4" s="2546"/>
      <c r="N4" s="2546"/>
      <c r="O4" s="2573"/>
      <c r="P4" s="2573"/>
      <c r="Q4" s="2546"/>
      <c r="R4" s="2546"/>
      <c r="S4" s="2546"/>
      <c r="T4" s="2546"/>
      <c r="U4" s="2546"/>
      <c r="V4" s="2546"/>
      <c r="W4" s="2546"/>
      <c r="X4" s="2546"/>
      <c r="Y4" s="2546"/>
      <c r="Z4" s="2546"/>
      <c r="AA4" s="2546"/>
      <c r="AB4" s="2546"/>
      <c r="AC4" s="2546"/>
      <c r="AD4" s="2546"/>
      <c r="AE4" s="2546"/>
      <c r="AF4" s="2546"/>
      <c r="AG4" s="2546"/>
      <c r="AH4" s="2546"/>
      <c r="AI4" s="2546"/>
      <c r="AJ4" s="2546"/>
      <c r="AK4" s="2546"/>
      <c r="AL4" s="2546"/>
      <c r="AM4" s="2546"/>
      <c r="AN4" s="2546"/>
      <c r="AO4" s="2546"/>
    </row>
    <row r="5" s="2536" customFormat="1" ht="15" spans="1:41">
      <c r="A5" s="2553" t="s">
        <v>462</v>
      </c>
      <c r="B5" s="2554">
        <f>项目基本情况!C12</f>
        <v>223.88</v>
      </c>
      <c r="C5" s="2546"/>
      <c r="D5" s="2555" t="s">
        <v>463</v>
      </c>
      <c r="E5" s="2556"/>
      <c r="F5" s="2549"/>
      <c r="G5" s="2549"/>
      <c r="H5" s="2549"/>
      <c r="I5" s="2546"/>
      <c r="J5" s="2546"/>
      <c r="K5" s="2546"/>
      <c r="L5" s="2546"/>
      <c r="M5" s="2546"/>
      <c r="N5" s="2546"/>
      <c r="O5" s="2573"/>
      <c r="P5" s="2573"/>
      <c r="Q5" s="2546"/>
      <c r="R5" s="2546"/>
      <c r="S5" s="2546"/>
      <c r="T5" s="2546"/>
      <c r="U5" s="2546"/>
      <c r="V5" s="2546"/>
      <c r="W5" s="2546"/>
      <c r="X5" s="2546"/>
      <c r="Y5" s="2546"/>
      <c r="Z5" s="2546"/>
      <c r="AA5" s="2546"/>
      <c r="AB5" s="2546"/>
      <c r="AC5" s="2546"/>
      <c r="AD5" s="2546"/>
      <c r="AE5" s="2546"/>
      <c r="AF5" s="2546"/>
      <c r="AG5" s="2546"/>
      <c r="AH5" s="2546"/>
      <c r="AI5" s="2546"/>
      <c r="AJ5" s="2546"/>
      <c r="AK5" s="2546"/>
      <c r="AL5" s="2546"/>
      <c r="AM5" s="2546"/>
      <c r="AN5" s="2546"/>
      <c r="AO5" s="2546"/>
    </row>
    <row r="6" s="2536" customFormat="1" ht="15" spans="1:41">
      <c r="A6" s="2557" t="s">
        <v>464</v>
      </c>
      <c r="B6" s="2558">
        <f>项目基本情况!C13</f>
        <v>0</v>
      </c>
      <c r="C6" s="2546"/>
      <c r="D6" s="2555" t="s">
        <v>465</v>
      </c>
      <c r="E6" s="2556"/>
      <c r="F6" s="2549"/>
      <c r="G6" s="2549"/>
      <c r="H6" s="2549"/>
      <c r="I6" s="2546"/>
      <c r="J6" s="2546"/>
      <c r="K6" s="2546"/>
      <c r="L6" s="2546"/>
      <c r="M6" s="2546"/>
      <c r="N6" s="2546"/>
      <c r="O6" s="2573"/>
      <c r="P6" s="2573"/>
      <c r="Q6" s="2546"/>
      <c r="R6" s="2546"/>
      <c r="S6" s="2546"/>
      <c r="T6" s="2546"/>
      <c r="U6" s="2546"/>
      <c r="V6" s="2546"/>
      <c r="W6" s="2546"/>
      <c r="X6" s="2546"/>
      <c r="Y6" s="2546"/>
      <c r="Z6" s="2546"/>
      <c r="AA6" s="2546"/>
      <c r="AB6" s="2546"/>
      <c r="AC6" s="2546"/>
      <c r="AD6" s="2546"/>
      <c r="AE6" s="2546"/>
      <c r="AF6" s="2546"/>
      <c r="AG6" s="2546"/>
      <c r="AH6" s="2546"/>
      <c r="AI6" s="2546"/>
      <c r="AJ6" s="2546"/>
      <c r="AK6" s="2546"/>
      <c r="AL6" s="2546"/>
      <c r="AM6" s="2546"/>
      <c r="AN6" s="2546"/>
      <c r="AO6" s="2546"/>
    </row>
    <row r="7" s="2536" customFormat="1" ht="15" spans="1:41">
      <c r="A7" s="2559"/>
      <c r="B7" s="2546"/>
      <c r="C7" s="2546"/>
      <c r="D7" s="2560"/>
      <c r="E7" s="2560"/>
      <c r="F7" s="2549"/>
      <c r="G7" s="2549"/>
      <c r="H7" s="2549"/>
      <c r="I7" s="2546"/>
      <c r="J7" s="2546"/>
      <c r="K7" s="2546"/>
      <c r="L7" s="2546"/>
      <c r="M7" s="2546"/>
      <c r="N7" s="2546"/>
      <c r="O7" s="2573"/>
      <c r="P7" s="2573"/>
      <c r="Q7" s="2546"/>
      <c r="R7" s="2546"/>
      <c r="S7" s="2546"/>
      <c r="T7" s="2546"/>
      <c r="U7" s="2546"/>
      <c r="V7" s="2546"/>
      <c r="W7" s="2546"/>
      <c r="X7" s="2546"/>
      <c r="Y7" s="2546"/>
      <c r="Z7" s="2546"/>
      <c r="AA7" s="2546"/>
      <c r="AB7" s="2546"/>
      <c r="AC7" s="2546"/>
      <c r="AD7" s="2546"/>
      <c r="AE7" s="2546"/>
      <c r="AF7" s="2546"/>
      <c r="AG7" s="2546"/>
      <c r="AH7" s="2546"/>
      <c r="AI7" s="2546"/>
      <c r="AJ7" s="2546"/>
      <c r="AK7" s="2546"/>
      <c r="AL7" s="2546"/>
      <c r="AM7" s="2546"/>
      <c r="AN7" s="2546"/>
      <c r="AO7" s="2546"/>
    </row>
    <row r="8" s="2536" customFormat="1" ht="15" spans="1:41">
      <c r="A8" s="2559"/>
      <c r="B8" s="2546"/>
      <c r="C8" s="2546"/>
      <c r="D8" s="2560"/>
      <c r="E8" s="2560"/>
      <c r="F8" s="2549"/>
      <c r="G8" s="2549"/>
      <c r="H8" s="2549"/>
      <c r="I8" s="2546"/>
      <c r="J8" s="2546"/>
      <c r="K8" s="2546"/>
      <c r="L8" s="2546"/>
      <c r="M8" s="2546"/>
      <c r="N8" s="2546"/>
      <c r="O8" s="2573"/>
      <c r="P8" s="2573"/>
      <c r="Q8" s="2546"/>
      <c r="R8" s="2546"/>
      <c r="S8" s="2546"/>
      <c r="T8" s="2546"/>
      <c r="U8" s="2546"/>
      <c r="V8" s="2546"/>
      <c r="W8" s="2546"/>
      <c r="X8" s="2546"/>
      <c r="Y8" s="2546"/>
      <c r="Z8" s="2546"/>
      <c r="AA8" s="2546"/>
      <c r="AB8" s="2546"/>
      <c r="AC8" s="2546"/>
      <c r="AD8" s="2546"/>
      <c r="AE8" s="2546"/>
      <c r="AF8" s="2546"/>
      <c r="AG8" s="2546"/>
      <c r="AH8" s="2546"/>
      <c r="AI8" s="2546"/>
      <c r="AJ8" s="2546"/>
      <c r="AK8" s="2546"/>
      <c r="AL8" s="2546"/>
      <c r="AM8" s="2546"/>
      <c r="AN8" s="2546"/>
      <c r="AO8" s="2546"/>
    </row>
    <row r="9" s="2536" customFormat="1" ht="15" spans="1:41">
      <c r="A9" s="2546"/>
      <c r="B9" s="2546"/>
      <c r="C9" s="2546"/>
      <c r="D9" s="2549"/>
      <c r="E9" s="2549"/>
      <c r="F9" s="2549"/>
      <c r="G9" s="2549"/>
      <c r="H9" s="2549"/>
      <c r="I9" s="2546"/>
      <c r="J9" s="2546"/>
      <c r="K9" s="2546"/>
      <c r="L9" s="2546"/>
      <c r="M9" s="2546"/>
      <c r="N9" s="2546"/>
      <c r="O9" s="2546"/>
      <c r="P9" s="2546"/>
      <c r="Q9" s="2546"/>
      <c r="R9" s="2546"/>
      <c r="S9" s="2546"/>
      <c r="T9" s="2546"/>
      <c r="U9" s="2546"/>
      <c r="V9" s="2546"/>
      <c r="W9" s="2546"/>
      <c r="X9" s="2546"/>
      <c r="Y9" s="2546"/>
      <c r="Z9" s="2546"/>
      <c r="AA9" s="2546"/>
      <c r="AB9" s="2546"/>
      <c r="AC9" s="2546"/>
      <c r="AD9" s="2546"/>
      <c r="AE9" s="2546"/>
      <c r="AF9" s="2546"/>
      <c r="AG9" s="2546"/>
      <c r="AH9" s="2546"/>
      <c r="AI9" s="2546"/>
      <c r="AJ9" s="2546"/>
      <c r="AK9" s="2546"/>
      <c r="AL9" s="2546"/>
      <c r="AM9" s="2546"/>
      <c r="AN9" s="2546"/>
      <c r="AO9" s="2546"/>
    </row>
    <row r="10" s="2536" customFormat="1" ht="15" spans="1:41">
      <c r="A10" s="2561" t="s">
        <v>204</v>
      </c>
      <c r="B10" s="2562" t="s">
        <v>353</v>
      </c>
      <c r="C10" s="2546"/>
      <c r="D10" s="2544" t="s">
        <v>466</v>
      </c>
      <c r="E10" s="2563" t="s">
        <v>467</v>
      </c>
      <c r="F10" s="2438" t="s">
        <v>468</v>
      </c>
      <c r="G10" s="2546"/>
      <c r="H10" s="2546"/>
      <c r="I10" s="2546"/>
      <c r="J10" s="2546"/>
      <c r="K10" s="2546"/>
      <c r="L10" s="2546"/>
      <c r="M10" s="2546"/>
      <c r="N10" s="2546"/>
      <c r="O10" s="2546"/>
      <c r="P10" s="2546"/>
      <c r="Q10" s="2546"/>
      <c r="R10" s="2546"/>
      <c r="S10" s="2546"/>
      <c r="T10" s="2546"/>
      <c r="U10" s="2546"/>
      <c r="V10" s="2546"/>
      <c r="W10" s="2546"/>
      <c r="X10" s="2546"/>
      <c r="Y10" s="2546"/>
      <c r="Z10" s="2546"/>
      <c r="AA10" s="2546"/>
      <c r="AB10" s="2546"/>
      <c r="AC10" s="2546"/>
      <c r="AD10" s="2546"/>
      <c r="AE10" s="2546"/>
      <c r="AF10" s="2546"/>
      <c r="AG10" s="2546"/>
      <c r="AH10" s="2546"/>
      <c r="AI10" s="2546"/>
      <c r="AJ10" s="2546"/>
      <c r="AK10" s="2546"/>
      <c r="AL10" s="2546"/>
      <c r="AM10" s="2546"/>
      <c r="AN10" s="2546"/>
      <c r="AO10" s="2546"/>
    </row>
    <row r="11" s="2537" customFormat="1" ht="14.25" spans="1:41">
      <c r="A11" s="2564" t="s">
        <v>469</v>
      </c>
      <c r="B11" s="2565">
        <v>50</v>
      </c>
      <c r="C11" s="2546"/>
      <c r="D11" s="2566" t="s">
        <v>470</v>
      </c>
      <c r="E11" s="2567"/>
      <c r="F11" s="2568" t="s">
        <v>471</v>
      </c>
      <c r="G11" s="2546"/>
      <c r="H11" s="2546"/>
      <c r="I11" s="2546"/>
      <c r="J11" s="2546"/>
      <c r="K11" s="2546"/>
      <c r="L11" s="2654"/>
      <c r="M11" s="2654"/>
      <c r="N11" s="2654"/>
      <c r="O11" s="2654"/>
      <c r="P11" s="2654"/>
      <c r="Q11" s="2654"/>
      <c r="R11" s="2546"/>
      <c r="S11" s="2546"/>
      <c r="T11" s="2546"/>
      <c r="U11" s="2546"/>
      <c r="V11" s="2546"/>
      <c r="W11" s="2546"/>
      <c r="X11" s="2546"/>
      <c r="Y11" s="2546"/>
      <c r="Z11" s="2546"/>
      <c r="AA11" s="2546"/>
      <c r="AB11" s="2546"/>
      <c r="AC11" s="2546"/>
      <c r="AD11" s="2546"/>
      <c r="AE11" s="2546"/>
      <c r="AF11" s="2546"/>
      <c r="AG11" s="2546"/>
      <c r="AH11" s="2546"/>
      <c r="AI11" s="2546"/>
      <c r="AJ11" s="2546"/>
      <c r="AK11" s="2546"/>
      <c r="AL11" s="2546"/>
      <c r="AM11" s="2546"/>
      <c r="AN11" s="2546"/>
      <c r="AO11" s="2546"/>
    </row>
    <row r="12" s="2536" customFormat="1" ht="15" spans="1:41">
      <c r="A12" s="2569" t="s">
        <v>472</v>
      </c>
      <c r="B12" s="2570"/>
      <c r="C12" s="2546"/>
      <c r="D12" s="2571" t="s">
        <v>473</v>
      </c>
      <c r="E12" s="2572">
        <v>200</v>
      </c>
      <c r="F12" s="2573"/>
      <c r="G12" s="2546"/>
      <c r="H12" s="2546"/>
      <c r="I12" s="2546"/>
      <c r="J12" s="2546"/>
      <c r="K12" s="2546"/>
      <c r="L12" s="2546"/>
      <c r="M12" s="2546"/>
      <c r="N12" s="2546"/>
      <c r="O12" s="2546"/>
      <c r="P12" s="2546"/>
      <c r="Q12" s="2546"/>
      <c r="R12" s="2546"/>
      <c r="S12" s="2546"/>
      <c r="T12" s="2546"/>
      <c r="U12" s="2546"/>
      <c r="V12" s="2546"/>
      <c r="W12" s="2546"/>
      <c r="X12" s="2546"/>
      <c r="Y12" s="2546"/>
      <c r="Z12" s="2546"/>
      <c r="AA12" s="2546"/>
      <c r="AB12" s="2546"/>
      <c r="AC12" s="2546"/>
      <c r="AD12" s="2546"/>
      <c r="AE12" s="2546"/>
      <c r="AF12" s="2546"/>
      <c r="AG12" s="2546"/>
      <c r="AH12" s="2546"/>
      <c r="AI12" s="2546"/>
      <c r="AJ12" s="2546"/>
      <c r="AK12" s="2546"/>
      <c r="AL12" s="2546"/>
      <c r="AM12" s="2546"/>
      <c r="AN12" s="2546"/>
      <c r="AO12" s="2546"/>
    </row>
    <row r="13" s="2536" customFormat="1" ht="15" spans="1:41">
      <c r="A13" s="2574" t="s">
        <v>474</v>
      </c>
      <c r="B13" s="2575">
        <f>IF(B12="",B11-(YEAR($B$2)-B26+B23),ROUNDDOWN(MIN((B12-$B$2)/365,B11),2))</f>
        <v>35</v>
      </c>
      <c r="C13" s="2576"/>
      <c r="D13" s="2577" t="s">
        <v>475</v>
      </c>
      <c r="E13" s="2578">
        <f>成本法!C10</f>
        <v>44776</v>
      </c>
      <c r="F13" s="932" t="s">
        <v>476</v>
      </c>
      <c r="G13" s="2546"/>
      <c r="H13" s="2546"/>
      <c r="I13" s="2546"/>
      <c r="J13" s="2546"/>
      <c r="K13" s="2546"/>
      <c r="L13" s="2546"/>
      <c r="M13" s="2546"/>
      <c r="N13" s="2546"/>
      <c r="O13" s="2546"/>
      <c r="P13" s="2546"/>
      <c r="Q13" s="2546"/>
      <c r="R13" s="2546"/>
      <c r="S13" s="2546"/>
      <c r="T13" s="2546"/>
      <c r="U13" s="2546"/>
      <c r="V13" s="2546"/>
      <c r="W13" s="2546"/>
      <c r="X13" s="2546"/>
      <c r="Y13" s="2546"/>
      <c r="Z13" s="2546"/>
      <c r="AA13" s="2546"/>
      <c r="AB13" s="2546"/>
      <c r="AC13" s="2546"/>
      <c r="AD13" s="2546"/>
      <c r="AE13" s="2546"/>
      <c r="AF13" s="2546"/>
      <c r="AG13" s="2546"/>
      <c r="AH13" s="2546"/>
      <c r="AI13" s="2546"/>
      <c r="AJ13" s="2546"/>
      <c r="AK13" s="2546"/>
      <c r="AL13" s="2546"/>
      <c r="AM13" s="2546"/>
      <c r="AN13" s="2546"/>
      <c r="AO13" s="2546"/>
    </row>
    <row r="14" s="2536" customFormat="1" ht="14.25" spans="1:41">
      <c r="A14" s="2569" t="s">
        <v>477</v>
      </c>
      <c r="B14" s="2579">
        <f>IF(ISERROR(ROUND(POWER(1+B15,B11-B13)*(POWER(1+B15,B13)-1)/(POWER(1+B15,B11)-1),3)),0,ROUND(POWER(1+B15,B11-B13)*(POWER(1+B15,B13)-1)/(POWER(1+B15,B11)-1),3))</f>
        <v>0.869</v>
      </c>
      <c r="C14" s="2546"/>
      <c r="D14" s="2580" t="s">
        <v>478</v>
      </c>
      <c r="E14" s="2581">
        <v>200</v>
      </c>
      <c r="F14" s="2573"/>
      <c r="G14" s="2546"/>
      <c r="H14" s="2546"/>
      <c r="I14" s="2546"/>
      <c r="J14" s="2546"/>
      <c r="K14" s="2546"/>
      <c r="L14" s="2546"/>
      <c r="M14" s="2546"/>
      <c r="N14" s="2546"/>
      <c r="O14" s="2546"/>
      <c r="P14" s="2546"/>
      <c r="Q14" s="2546"/>
      <c r="R14" s="2546"/>
      <c r="S14" s="2546"/>
      <c r="T14" s="2546"/>
      <c r="U14" s="2546"/>
      <c r="V14" s="2546"/>
      <c r="W14" s="2546"/>
      <c r="X14" s="2546"/>
      <c r="Y14" s="2546"/>
      <c r="Z14" s="2546"/>
      <c r="AA14" s="2546"/>
      <c r="AB14" s="2546"/>
      <c r="AC14" s="2546"/>
      <c r="AD14" s="2546"/>
      <c r="AE14" s="2546"/>
      <c r="AF14" s="2546"/>
      <c r="AG14" s="2546"/>
      <c r="AH14" s="2546"/>
      <c r="AI14" s="2546"/>
      <c r="AJ14" s="2546"/>
      <c r="AK14" s="2546"/>
      <c r="AL14" s="2546"/>
      <c r="AM14" s="2546"/>
      <c r="AN14" s="2546"/>
      <c r="AO14" s="2546"/>
    </row>
    <row r="15" s="2536" customFormat="1" ht="14.25" spans="1:41">
      <c r="A15" s="2569" t="s">
        <v>479</v>
      </c>
      <c r="B15" s="2582">
        <v>0.04</v>
      </c>
      <c r="C15" s="2546"/>
      <c r="D15" s="2571" t="s">
        <v>480</v>
      </c>
      <c r="E15" s="2583">
        <f>E14-E16</f>
        <v>200</v>
      </c>
      <c r="F15" s="2584"/>
      <c r="G15" s="2546"/>
      <c r="H15" s="2546"/>
      <c r="I15" s="2546"/>
      <c r="J15" s="2546"/>
      <c r="K15" s="2546"/>
      <c r="L15" s="2546"/>
      <c r="M15" s="2546"/>
      <c r="N15" s="2546"/>
      <c r="O15" s="2546"/>
      <c r="P15" s="2546"/>
      <c r="Q15" s="2546"/>
      <c r="R15" s="2546"/>
      <c r="S15" s="2546"/>
      <c r="T15" s="2546"/>
      <c r="U15" s="2546"/>
      <c r="V15" s="2546"/>
      <c r="W15" s="2546"/>
      <c r="X15" s="2546"/>
      <c r="Y15" s="2546"/>
      <c r="Z15" s="2546"/>
      <c r="AA15" s="2546"/>
      <c r="AB15" s="2546"/>
      <c r="AC15" s="2546"/>
      <c r="AD15" s="2546"/>
      <c r="AE15" s="2546"/>
      <c r="AF15" s="2546"/>
      <c r="AG15" s="2546"/>
      <c r="AH15" s="2546"/>
      <c r="AI15" s="2546"/>
      <c r="AJ15" s="2546"/>
      <c r="AK15" s="2546"/>
      <c r="AL15" s="2546"/>
      <c r="AM15" s="2546"/>
      <c r="AN15" s="2546"/>
      <c r="AO15" s="2546"/>
    </row>
    <row r="16" s="2536" customFormat="1" ht="15" spans="1:41">
      <c r="A16" s="2569" t="s">
        <v>481</v>
      </c>
      <c r="B16" s="2582">
        <v>0.055</v>
      </c>
      <c r="C16" s="2546"/>
      <c r="D16" s="2585" t="s">
        <v>482</v>
      </c>
      <c r="E16" s="2586"/>
      <c r="F16" s="2587"/>
      <c r="G16" s="2546"/>
      <c r="H16" s="2546"/>
      <c r="I16" s="2546"/>
      <c r="J16" s="2546"/>
      <c r="K16" s="2546"/>
      <c r="L16" s="2546"/>
      <c r="M16" s="2546"/>
      <c r="N16" s="2546"/>
      <c r="O16" s="2546"/>
      <c r="P16" s="2546"/>
      <c r="Q16" s="2546"/>
      <c r="R16" s="2546"/>
      <c r="S16" s="2546"/>
      <c r="T16" s="2546"/>
      <c r="U16" s="2546"/>
      <c r="V16" s="2546"/>
      <c r="W16" s="2546"/>
      <c r="X16" s="2546"/>
      <c r="Y16" s="2546"/>
      <c r="Z16" s="2546"/>
      <c r="AA16" s="2546"/>
      <c r="AB16" s="2546"/>
      <c r="AC16" s="2546"/>
      <c r="AD16" s="2546"/>
      <c r="AE16" s="2546"/>
      <c r="AF16" s="2546"/>
      <c r="AG16" s="2546"/>
      <c r="AH16" s="2546"/>
      <c r="AI16" s="2546"/>
      <c r="AJ16" s="2546"/>
      <c r="AK16" s="2546"/>
      <c r="AL16" s="2546"/>
      <c r="AM16" s="2546"/>
      <c r="AN16" s="2546"/>
      <c r="AO16" s="2546"/>
    </row>
    <row r="17" s="2536" customFormat="1" ht="15" spans="1:41">
      <c r="A17" s="2588" t="s">
        <v>483</v>
      </c>
      <c r="B17" s="2589"/>
      <c r="C17" s="2546"/>
      <c r="D17" s="2561" t="s">
        <v>484</v>
      </c>
      <c r="E17" s="2590">
        <v>3200</v>
      </c>
      <c r="F17" s="1727"/>
      <c r="G17" s="2546"/>
      <c r="H17" s="2546"/>
      <c r="I17" s="2546"/>
      <c r="J17" s="2546"/>
      <c r="K17" s="2546"/>
      <c r="L17" s="2546"/>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c r="AN17" s="2546"/>
      <c r="AO17" s="2546"/>
    </row>
    <row r="18" s="2536" customFormat="1" ht="15" spans="1:41">
      <c r="A18" s="2546"/>
      <c r="B18" s="2546"/>
      <c r="C18" s="2546"/>
      <c r="D18" s="2591" t="str">
        <f>IF(B25=0,"建安总额","在建建安")</f>
        <v>建安总额</v>
      </c>
      <c r="E18" s="2592">
        <f>ROUND(B5*E17*IF(B25=0,1,E20),0)</f>
        <v>716416</v>
      </c>
      <c r="F18" s="2593">
        <f>ROUND(E5*E17*IF(B25=0,1,E20),0)</f>
        <v>0</v>
      </c>
      <c r="G18" s="2546"/>
      <c r="H18" s="2546"/>
      <c r="I18" s="2546"/>
      <c r="J18" s="2546"/>
      <c r="K18" s="2546"/>
      <c r="L18" s="2546"/>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c r="AN18" s="2546"/>
      <c r="AO18" s="2546"/>
    </row>
    <row r="19" s="2536" customFormat="1" ht="15" spans="1:41">
      <c r="A19" s="1216" t="s">
        <v>485</v>
      </c>
      <c r="B19" s="2546"/>
      <c r="C19" s="2546"/>
      <c r="D19" s="2591" t="str">
        <f>IF(B25=0,"——","续建建安")</f>
        <v>——</v>
      </c>
      <c r="E19" s="2592" t="str">
        <f>IF(B25=0,"——",ROUND(B5*E17*(1-E20),0))</f>
        <v>——</v>
      </c>
      <c r="F19" s="2593" t="str">
        <f>IF(B25=0,"——",ROUND(E5*E17*(1-E20),0))</f>
        <v>——</v>
      </c>
      <c r="G19" s="2546"/>
      <c r="H19" s="2546"/>
      <c r="I19" s="2546"/>
      <c r="J19" s="2546"/>
      <c r="K19" s="2546"/>
      <c r="L19" s="2546"/>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c r="AN19" s="2546"/>
      <c r="AO19" s="2546"/>
    </row>
    <row r="20" s="2536" customFormat="1" ht="15" spans="1:41">
      <c r="A20" s="2594" t="s">
        <v>486</v>
      </c>
      <c r="B20" s="2595">
        <v>0</v>
      </c>
      <c r="C20" s="2546"/>
      <c r="D20" s="2596" t="str">
        <f>IF(B25=0,"成新率","工程进度")</f>
        <v>成新率</v>
      </c>
      <c r="E20" s="2597">
        <v>0.86</v>
      </c>
      <c r="F20" s="1727"/>
      <c r="G20" s="2546"/>
      <c r="H20" s="2546"/>
      <c r="I20" s="2546"/>
      <c r="J20" s="2546"/>
      <c r="K20" s="2546"/>
      <c r="L20" s="2546"/>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c r="AN20" s="2546"/>
      <c r="AO20" s="2546"/>
    </row>
    <row r="21" s="2536" customFormat="1" ht="14.25" spans="1:41">
      <c r="A21" s="2598" t="s">
        <v>487</v>
      </c>
      <c r="B21" s="2599">
        <v>2</v>
      </c>
      <c r="C21" s="2546"/>
      <c r="D21" s="2571" t="s">
        <v>488</v>
      </c>
      <c r="E21" s="2600">
        <v>0.03</v>
      </c>
      <c r="F21" s="2601" t="s">
        <v>489</v>
      </c>
      <c r="G21" s="2546"/>
      <c r="H21" s="2546"/>
      <c r="I21" s="2546"/>
      <c r="J21" s="2546"/>
      <c r="K21" s="2546"/>
      <c r="L21" s="2546"/>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c r="AN21" s="2546"/>
      <c r="AO21" s="2546"/>
    </row>
    <row r="22" s="2536" customFormat="1" ht="14.25" spans="1:41">
      <c r="A22" s="2602" t="s">
        <v>490</v>
      </c>
      <c r="B22" s="2603">
        <v>2</v>
      </c>
      <c r="C22" s="2546"/>
      <c r="D22" s="2571" t="s">
        <v>491</v>
      </c>
      <c r="E22" s="2604">
        <v>0</v>
      </c>
      <c r="F22" s="2601" t="s">
        <v>492</v>
      </c>
      <c r="G22" s="2546"/>
      <c r="H22" s="2546"/>
      <c r="I22" s="2546"/>
      <c r="J22" s="2546"/>
      <c r="K22" s="2546"/>
      <c r="L22" s="2546"/>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c r="AN22" s="2546"/>
      <c r="AO22" s="2546"/>
    </row>
    <row r="23" s="2536" customFormat="1" ht="15" spans="1:41">
      <c r="A23" s="2605" t="s">
        <v>493</v>
      </c>
      <c r="B23" s="2606">
        <f>B20+B21</f>
        <v>2</v>
      </c>
      <c r="C23" s="2546"/>
      <c r="D23" s="2571" t="s">
        <v>494</v>
      </c>
      <c r="E23" s="2572">
        <v>200</v>
      </c>
      <c r="F23" s="2601" t="s">
        <v>495</v>
      </c>
      <c r="G23" s="2546"/>
      <c r="H23" s="2546"/>
      <c r="I23" s="2546"/>
      <c r="J23" s="2546"/>
      <c r="K23" s="2546"/>
      <c r="L23" s="2546"/>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c r="AN23" s="2546"/>
      <c r="AO23" s="2546"/>
    </row>
    <row r="24" s="2536" customFormat="1" ht="15" spans="1:41">
      <c r="A24" s="2607" t="s">
        <v>496</v>
      </c>
      <c r="B24" s="2608">
        <f>B20+B22</f>
        <v>2</v>
      </c>
      <c r="C24" s="2546"/>
      <c r="D24" s="2585" t="s">
        <v>497</v>
      </c>
      <c r="E24" s="2609">
        <v>0.015</v>
      </c>
      <c r="F24" s="2601" t="s">
        <v>498</v>
      </c>
      <c r="G24" s="2546"/>
      <c r="H24" s="2546"/>
      <c r="I24" s="2546"/>
      <c r="J24" s="2546"/>
      <c r="K24" s="2546"/>
      <c r="L24" s="2546"/>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c r="AN24" s="2546"/>
      <c r="AO24" s="2546"/>
    </row>
    <row r="25" ht="15" spans="1:41">
      <c r="A25" s="2605" t="s">
        <v>499</v>
      </c>
      <c r="B25" s="2610">
        <f>B21-B22</f>
        <v>0</v>
      </c>
      <c r="C25" s="1727"/>
      <c r="D25" s="2566" t="s">
        <v>500</v>
      </c>
      <c r="E25" s="2600">
        <v>0.02</v>
      </c>
      <c r="F25" s="2601" t="s">
        <v>501</v>
      </c>
      <c r="I25" s="2542"/>
      <c r="AE25" s="1727"/>
      <c r="AF25" s="1727"/>
      <c r="AG25" s="1727"/>
      <c r="AH25" s="1727"/>
      <c r="AI25" s="1727"/>
      <c r="AJ25" s="1727"/>
      <c r="AK25" s="1727"/>
      <c r="AL25" s="1727"/>
      <c r="AM25" s="1727"/>
      <c r="AN25" s="1727"/>
      <c r="AO25" s="1727"/>
    </row>
    <row r="26" ht="15" spans="1:41">
      <c r="A26" s="2611" t="s">
        <v>502</v>
      </c>
      <c r="B26" s="2612">
        <v>2005</v>
      </c>
      <c r="C26" s="2546"/>
      <c r="D26" s="2571" t="s">
        <v>503</v>
      </c>
      <c r="E26" s="2604">
        <v>0.02</v>
      </c>
      <c r="F26" s="2601" t="s">
        <v>501</v>
      </c>
      <c r="G26" s="2549"/>
      <c r="H26" s="2549"/>
      <c r="I26" s="2546"/>
      <c r="J26" s="2546"/>
      <c r="K26" s="2546"/>
      <c r="L26" s="2546"/>
      <c r="M26" s="2546"/>
      <c r="N26" s="2546"/>
      <c r="AE26" s="1727"/>
      <c r="AF26" s="1727"/>
      <c r="AG26" s="1727"/>
      <c r="AH26" s="1727"/>
      <c r="AI26" s="1727"/>
      <c r="AJ26" s="1727"/>
      <c r="AK26" s="1727"/>
      <c r="AL26" s="1727"/>
      <c r="AM26" s="1727"/>
      <c r="AN26" s="1727"/>
      <c r="AO26" s="1727"/>
    </row>
    <row r="27" ht="15" spans="1:41">
      <c r="A27" s="1727"/>
      <c r="B27" s="1727"/>
      <c r="C27" s="1727"/>
      <c r="D27" s="2571" t="s">
        <v>504</v>
      </c>
      <c r="E27" s="1698">
        <f ca="1">存贷款利率!G1</f>
        <v>0.0475</v>
      </c>
      <c r="F27" s="2601" t="s">
        <v>505</v>
      </c>
      <c r="G27" s="2549"/>
      <c r="H27" s="2549"/>
      <c r="K27" s="2546"/>
      <c r="N27" s="2546"/>
      <c r="AE27" s="1727"/>
      <c r="AF27" s="1727"/>
      <c r="AG27" s="1727"/>
      <c r="AH27" s="1727"/>
      <c r="AI27" s="1727"/>
      <c r="AJ27" s="1727"/>
      <c r="AK27" s="1727"/>
      <c r="AL27" s="1727"/>
      <c r="AM27" s="1727"/>
      <c r="AN27" s="1727"/>
      <c r="AO27" s="1727"/>
    </row>
    <row r="28" ht="15" spans="1:41">
      <c r="A28" s="2613" t="s">
        <v>506</v>
      </c>
      <c r="B28" s="2614" t="s">
        <v>507</v>
      </c>
      <c r="C28" s="1727"/>
      <c r="D28" s="2615" t="s">
        <v>508</v>
      </c>
      <c r="E28" s="2616">
        <v>0.2</v>
      </c>
      <c r="G28" s="2549"/>
      <c r="H28" s="2549"/>
      <c r="K28" s="2546"/>
      <c r="N28" s="2546"/>
      <c r="AE28" s="1727"/>
      <c r="AF28" s="1727"/>
      <c r="AG28" s="1727"/>
      <c r="AH28" s="1727"/>
      <c r="AI28" s="1727"/>
      <c r="AJ28" s="1727"/>
      <c r="AK28" s="1727"/>
      <c r="AL28" s="1727"/>
      <c r="AM28" s="1727"/>
      <c r="AN28" s="1727"/>
      <c r="AO28" s="1727"/>
    </row>
    <row r="29" ht="14.25" spans="1:41">
      <c r="A29" s="2569" t="str">
        <f>IF(B28="租赁期内按合同租金","合同租金","市场租金")</f>
        <v>市场租金</v>
      </c>
      <c r="B29" s="2617">
        <v>7</v>
      </c>
      <c r="C29" s="1727"/>
      <c r="D29" s="2580" t="s">
        <v>509</v>
      </c>
      <c r="E29" s="2618">
        <f>E30+E31</f>
        <v>0.056</v>
      </c>
      <c r="F29" s="932"/>
      <c r="G29" s="2549"/>
      <c r="H29" s="2549"/>
      <c r="K29" s="2546"/>
      <c r="N29" s="2546"/>
      <c r="AE29" s="1727"/>
      <c r="AF29" s="1727"/>
      <c r="AG29" s="1727"/>
      <c r="AH29" s="1727"/>
      <c r="AI29" s="1727"/>
      <c r="AJ29" s="1727"/>
      <c r="AK29" s="1727"/>
      <c r="AL29" s="1727"/>
      <c r="AM29" s="1727"/>
      <c r="AN29" s="1727"/>
      <c r="AO29" s="1727"/>
    </row>
    <row r="30" ht="14.25" spans="1:41">
      <c r="A30" s="2569" t="s">
        <v>510</v>
      </c>
      <c r="B30" s="2619">
        <f ca="1">存贷款利率!I1</f>
        <v>0.015</v>
      </c>
      <c r="C30" s="1727"/>
      <c r="D30" s="2620" t="s">
        <v>511</v>
      </c>
      <c r="E30" s="2621">
        <v>0.05</v>
      </c>
      <c r="F30" s="2622">
        <f>IF(B2&lt;DATE(2016,5,1),0,E30)</f>
        <v>0.05</v>
      </c>
      <c r="G30" s="2549"/>
      <c r="H30" s="2549"/>
      <c r="K30" s="2546"/>
      <c r="N30" s="2546"/>
      <c r="AE30" s="1727"/>
      <c r="AF30" s="1727"/>
      <c r="AG30" s="1727"/>
      <c r="AH30" s="1727"/>
      <c r="AI30" s="1727"/>
      <c r="AJ30" s="1727"/>
      <c r="AK30" s="1727"/>
      <c r="AL30" s="1727"/>
      <c r="AM30" s="1727"/>
      <c r="AN30" s="1727"/>
      <c r="AO30" s="1727"/>
    </row>
    <row r="31" ht="14.25" spans="1:41">
      <c r="A31" s="2569" t="s">
        <v>512</v>
      </c>
      <c r="B31" s="2582">
        <v>0.035</v>
      </c>
      <c r="C31" s="1727"/>
      <c r="D31" s="2620" t="s">
        <v>513</v>
      </c>
      <c r="E31" s="2623">
        <f>E30*(E32+E33+E34)+E35</f>
        <v>0.006</v>
      </c>
      <c r="F31" s="932"/>
      <c r="G31" s="2549"/>
      <c r="H31" s="2549"/>
      <c r="K31" s="2546"/>
      <c r="N31" s="2546"/>
      <c r="AE31" s="1727"/>
      <c r="AF31" s="1727"/>
      <c r="AG31" s="1727"/>
      <c r="AH31" s="1727"/>
      <c r="AI31" s="1727"/>
      <c r="AJ31" s="1727"/>
      <c r="AK31" s="1727"/>
      <c r="AL31" s="1727"/>
      <c r="AM31" s="1727"/>
      <c r="AN31" s="1727"/>
      <c r="AO31" s="1727"/>
    </row>
    <row r="32" ht="14.25" spans="1:41">
      <c r="A32" s="2569" t="s">
        <v>514</v>
      </c>
      <c r="B32" s="2582">
        <v>0.1</v>
      </c>
      <c r="C32" s="1727"/>
      <c r="D32" s="2624" t="s">
        <v>515</v>
      </c>
      <c r="E32" s="2625">
        <v>0.07</v>
      </c>
      <c r="F32" s="2626" t="s">
        <v>516</v>
      </c>
      <c r="G32" s="2549"/>
      <c r="H32" s="2549"/>
      <c r="K32" s="2546"/>
      <c r="L32" s="2546"/>
      <c r="M32" s="2546"/>
      <c r="N32" s="2546"/>
      <c r="AE32" s="1727"/>
      <c r="AF32" s="1727"/>
      <c r="AG32" s="1727"/>
      <c r="AH32" s="1727"/>
      <c r="AI32" s="1727"/>
      <c r="AJ32" s="1727"/>
      <c r="AK32" s="1727"/>
      <c r="AL32" s="1727"/>
      <c r="AM32" s="1727"/>
      <c r="AN32" s="1727"/>
      <c r="AO32" s="1727"/>
    </row>
    <row r="33" ht="14.25" spans="1:41">
      <c r="A33" s="2569" t="s">
        <v>517</v>
      </c>
      <c r="B33" s="2627">
        <f>收益法!J54</f>
        <v>35</v>
      </c>
      <c r="C33" s="1727"/>
      <c r="D33" s="2624" t="s">
        <v>518</v>
      </c>
      <c r="E33" s="2621">
        <v>0.03</v>
      </c>
      <c r="F33" s="2628" t="s">
        <v>519</v>
      </c>
      <c r="G33" s="2549"/>
      <c r="H33" s="2549"/>
      <c r="K33" s="2546"/>
      <c r="L33" s="2546"/>
      <c r="M33" s="2546"/>
      <c r="N33" s="2546"/>
      <c r="AE33" s="1727"/>
      <c r="AF33" s="1727"/>
      <c r="AG33" s="1727"/>
      <c r="AH33" s="1727"/>
      <c r="AI33" s="1727"/>
      <c r="AJ33" s="1727"/>
      <c r="AK33" s="1727"/>
      <c r="AL33" s="1727"/>
      <c r="AM33" s="1727"/>
      <c r="AN33" s="1727"/>
      <c r="AO33" s="1727"/>
    </row>
    <row r="34" s="2538" customFormat="1" ht="15" spans="1:41">
      <c r="A34" s="2620" t="str">
        <f>IF(B28="租赁期内按合同租金","剩余租赁期","——")</f>
        <v>——</v>
      </c>
      <c r="B34" s="2629"/>
      <c r="C34" s="1727"/>
      <c r="D34" s="2624" t="s">
        <v>520</v>
      </c>
      <c r="E34" s="2621">
        <v>0.02</v>
      </c>
      <c r="F34" s="2628" t="s">
        <v>521</v>
      </c>
      <c r="G34" s="2630"/>
      <c r="H34" s="2630"/>
      <c r="I34" s="2573"/>
      <c r="J34" s="2573"/>
      <c r="K34" s="2546"/>
      <c r="L34" s="2546"/>
      <c r="M34" s="2546"/>
      <c r="N34" s="2546"/>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8" customFormat="1" ht="15" spans="1:41">
      <c r="A35" s="2631" t="s">
        <v>522</v>
      </c>
      <c r="B35" s="2092"/>
      <c r="C35" s="1727"/>
      <c r="D35" s="2632" t="s">
        <v>523</v>
      </c>
      <c r="E35" s="2633">
        <v>0</v>
      </c>
      <c r="F35" s="2568" t="s">
        <v>471</v>
      </c>
      <c r="G35" s="2630"/>
      <c r="H35" s="2630"/>
      <c r="I35" s="2573"/>
      <c r="J35" s="2573"/>
      <c r="K35" s="2546"/>
      <c r="L35" s="2546"/>
      <c r="M35" s="2546"/>
      <c r="N35" s="2546"/>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8" customFormat="1" ht="14.25" spans="1:41">
      <c r="A36" s="2634" t="str">
        <f>IF(B28="租赁期内按合同租金","租金","——")</f>
        <v>——</v>
      </c>
      <c r="B36" s="2635"/>
      <c r="C36" s="1727"/>
      <c r="D36" s="2636" t="s">
        <v>524</v>
      </c>
      <c r="E36" s="2637">
        <v>0.03</v>
      </c>
      <c r="F36" s="2584" t="s">
        <v>525</v>
      </c>
      <c r="G36" s="2630"/>
      <c r="H36" s="2630"/>
      <c r="I36" s="2573"/>
      <c r="J36" s="2573"/>
      <c r="K36" s="2546"/>
      <c r="L36" s="2546"/>
      <c r="M36" s="2546"/>
      <c r="N36" s="2546"/>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8" customFormat="1" ht="15" spans="1:41">
      <c r="A37" s="2569" t="str">
        <f>IF(B28="租赁期内按合同租金","年租金增长率","——")</f>
        <v>——</v>
      </c>
      <c r="B37" s="2582"/>
      <c r="C37" s="1727"/>
      <c r="D37" s="2585" t="s">
        <v>526</v>
      </c>
      <c r="E37" s="2621">
        <v>0.0005</v>
      </c>
      <c r="F37" s="2584" t="s">
        <v>527</v>
      </c>
      <c r="G37" s="2549"/>
      <c r="H37" s="2549"/>
      <c r="I37" s="2546"/>
      <c r="J37" s="2546"/>
      <c r="K37" s="2546"/>
      <c r="L37" s="2546"/>
      <c r="M37" s="2546"/>
      <c r="N37" s="2546"/>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8" customFormat="1" ht="14.25" spans="1:41">
      <c r="A38" s="2569" t="str">
        <f>IF(B28="租赁期内按合同租金","空置率","——")</f>
        <v>——</v>
      </c>
      <c r="B38" s="2582"/>
      <c r="C38" s="1727"/>
      <c r="D38" s="2638" t="s">
        <v>528</v>
      </c>
      <c r="E38" s="2639">
        <v>0.012</v>
      </c>
      <c r="F38" s="2573"/>
      <c r="G38" s="2542"/>
      <c r="H38" s="2542"/>
      <c r="I38" s="2549"/>
      <c r="J38" s="2546"/>
      <c r="K38" s="2546"/>
      <c r="L38" s="2546"/>
      <c r="M38" s="2546"/>
      <c r="N38" s="2546"/>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8" customFormat="1" ht="15" spans="1:41">
      <c r="A39" s="2569" t="str">
        <f>IF(B28="租赁期内按合同租金","成新率","——")</f>
        <v>——</v>
      </c>
      <c r="B39" s="2582"/>
      <c r="C39" s="1727"/>
      <c r="D39" s="2577" t="s">
        <v>529</v>
      </c>
      <c r="E39" s="2640">
        <v>0.12</v>
      </c>
      <c r="F39" s="2573"/>
      <c r="G39" s="2630"/>
      <c r="H39" s="2630"/>
      <c r="I39" s="2573"/>
      <c r="J39" s="2573"/>
      <c r="K39" s="2546"/>
      <c r="L39" s="2546"/>
      <c r="M39" s="2546"/>
      <c r="N39" s="2546"/>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 spans="1:41">
      <c r="A40" s="2620" t="str">
        <f>IF(B28="租赁期内按合同租金","租赁期外收益期","——")</f>
        <v>——</v>
      </c>
      <c r="B40" s="2641" t="str">
        <f>IF(B28="租赁期内按合同租金",B33-B34,"——")</f>
        <v>——</v>
      </c>
      <c r="C40" s="1727"/>
      <c r="D40" s="2638" t="s">
        <v>530</v>
      </c>
      <c r="E40" s="2642">
        <f>SUMIF(D42:D51,E41,E42:E51)</f>
        <v>0</v>
      </c>
      <c r="F40" s="2573"/>
      <c r="G40" s="2549"/>
      <c r="H40" s="2549"/>
      <c r="I40" s="2546"/>
      <c r="J40" s="2546"/>
      <c r="K40" s="2546"/>
      <c r="L40" s="2546"/>
      <c r="M40" s="2546"/>
      <c r="N40" s="2546"/>
      <c r="AE40" s="1727"/>
      <c r="AF40" s="1727"/>
      <c r="AG40" s="1727"/>
      <c r="AH40" s="1727"/>
      <c r="AI40" s="1727"/>
      <c r="AJ40" s="1727"/>
      <c r="AK40" s="1727"/>
      <c r="AL40" s="1727"/>
      <c r="AM40" s="1727"/>
      <c r="AN40" s="1727"/>
      <c r="AO40" s="1727"/>
    </row>
    <row r="41" ht="14.25" spans="1:41">
      <c r="A41" s="2643" t="s">
        <v>531</v>
      </c>
      <c r="B41" s="2644"/>
      <c r="C41" s="1727"/>
      <c r="D41" s="2571" t="s">
        <v>532</v>
      </c>
      <c r="E41" s="2645"/>
      <c r="F41" s="2573" t="s">
        <v>533</v>
      </c>
      <c r="G41" s="2646" t="s">
        <v>534</v>
      </c>
      <c r="H41" s="2549"/>
      <c r="I41" s="2546"/>
      <c r="J41" s="2546"/>
      <c r="K41" s="2546"/>
      <c r="L41" s="2546"/>
      <c r="M41" s="2546"/>
      <c r="N41" s="2546"/>
      <c r="AE41" s="1727"/>
      <c r="AF41" s="1727"/>
      <c r="AG41" s="1727"/>
      <c r="AH41" s="1727"/>
      <c r="AI41" s="1727"/>
      <c r="AJ41" s="1727"/>
      <c r="AK41" s="1727"/>
      <c r="AL41" s="1727"/>
      <c r="AM41" s="1727"/>
      <c r="AN41" s="1727"/>
      <c r="AO41" s="1727"/>
    </row>
    <row r="42" ht="14.25" spans="1:41">
      <c r="A42" s="2569" t="s">
        <v>535</v>
      </c>
      <c r="B42" s="2647">
        <v>365</v>
      </c>
      <c r="C42" s="1727"/>
      <c r="D42" s="2648" t="s">
        <v>536</v>
      </c>
      <c r="E42" s="2617"/>
      <c r="F42" s="2573">
        <v>30</v>
      </c>
      <c r="G42" s="2549"/>
      <c r="H42" s="2549"/>
      <c r="I42" s="2546"/>
      <c r="J42" s="2546"/>
      <c r="K42" s="2546"/>
      <c r="L42" s="2546"/>
      <c r="M42" s="2546"/>
      <c r="N42" s="2546"/>
      <c r="AE42" s="1727"/>
      <c r="AF42" s="1727"/>
      <c r="AG42" s="1727"/>
      <c r="AH42" s="1727"/>
      <c r="AI42" s="1727"/>
      <c r="AJ42" s="1727"/>
      <c r="AK42" s="1727"/>
      <c r="AL42" s="1727"/>
      <c r="AM42" s="1727"/>
      <c r="AN42" s="1727"/>
      <c r="AO42" s="1727"/>
    </row>
    <row r="43" ht="14.25" spans="1:41">
      <c r="A43" s="2569" t="s">
        <v>537</v>
      </c>
      <c r="B43" s="2617"/>
      <c r="C43" s="1727"/>
      <c r="D43" s="2648" t="s">
        <v>538</v>
      </c>
      <c r="E43" s="2617"/>
      <c r="F43" s="2573">
        <v>24</v>
      </c>
      <c r="G43" s="2549"/>
      <c r="H43" s="2549"/>
      <c r="I43" s="2546"/>
      <c r="J43" s="2546"/>
      <c r="K43" s="2546"/>
      <c r="L43" s="2546"/>
      <c r="M43" s="2546"/>
      <c r="N43" s="2546"/>
      <c r="AE43" s="1727"/>
      <c r="AF43" s="1727"/>
      <c r="AG43" s="1727"/>
      <c r="AH43" s="1727"/>
      <c r="AI43" s="1727"/>
      <c r="AJ43" s="1727"/>
      <c r="AK43" s="1727"/>
      <c r="AL43" s="1727"/>
      <c r="AM43" s="1727"/>
      <c r="AN43" s="1727"/>
      <c r="AO43" s="1727"/>
    </row>
    <row r="44" ht="14.25" spans="1:41">
      <c r="A44" s="2569" t="s">
        <v>539</v>
      </c>
      <c r="B44" s="2649">
        <v>0.025</v>
      </c>
      <c r="C44" s="1727" t="s">
        <v>540</v>
      </c>
      <c r="D44" s="2648" t="s">
        <v>541</v>
      </c>
      <c r="E44" s="2617"/>
      <c r="F44" s="2573">
        <v>18</v>
      </c>
      <c r="G44" s="1727"/>
      <c r="H44" s="1727"/>
      <c r="I44" s="2549"/>
      <c r="J44" s="2546"/>
      <c r="K44" s="2546"/>
      <c r="L44" s="2546"/>
      <c r="M44" s="2546"/>
      <c r="N44" s="2546"/>
      <c r="AE44" s="1727"/>
      <c r="AF44" s="1727"/>
      <c r="AG44" s="1727"/>
      <c r="AH44" s="1727"/>
      <c r="AI44" s="1727"/>
      <c r="AJ44" s="1727"/>
      <c r="AK44" s="1727"/>
      <c r="AL44" s="1727"/>
      <c r="AM44" s="1727"/>
      <c r="AN44" s="1727"/>
      <c r="AO44" s="1727"/>
    </row>
    <row r="45" ht="14.25" spans="1:41">
      <c r="A45" s="2569" t="s">
        <v>542</v>
      </c>
      <c r="B45" s="2650">
        <v>0.002</v>
      </c>
      <c r="C45" s="1727" t="s">
        <v>543</v>
      </c>
      <c r="D45" s="2648" t="s">
        <v>544</v>
      </c>
      <c r="E45" s="2617"/>
      <c r="F45" s="2573">
        <v>12</v>
      </c>
      <c r="G45" s="1727"/>
      <c r="H45" s="1727"/>
      <c r="M45" s="2546"/>
      <c r="N45" s="2546"/>
      <c r="AE45" s="1727"/>
      <c r="AF45" s="1727"/>
      <c r="AG45" s="1727"/>
      <c r="AH45" s="1727"/>
      <c r="AI45" s="1727"/>
      <c r="AJ45" s="1727"/>
      <c r="AK45" s="1727"/>
      <c r="AL45" s="1727"/>
      <c r="AM45" s="1727"/>
      <c r="AN45" s="1727"/>
      <c r="AO45" s="1727"/>
    </row>
    <row r="46" ht="15" spans="1:41">
      <c r="A46" s="2615" t="s">
        <v>545</v>
      </c>
      <c r="B46" s="2651">
        <v>0.025</v>
      </c>
      <c r="C46" s="1727" t="s">
        <v>546</v>
      </c>
      <c r="D46" s="2648" t="s">
        <v>266</v>
      </c>
      <c r="E46" s="2617"/>
      <c r="F46" s="2573">
        <v>3</v>
      </c>
      <c r="G46" s="1727"/>
      <c r="H46" s="1727"/>
      <c r="M46" s="2546"/>
      <c r="N46" s="2546"/>
      <c r="AE46" s="1727"/>
      <c r="AF46" s="1727"/>
      <c r="AG46" s="1727"/>
      <c r="AH46" s="1727"/>
      <c r="AI46" s="1727"/>
      <c r="AJ46" s="1727"/>
      <c r="AK46" s="1727"/>
      <c r="AL46" s="1727"/>
      <c r="AM46" s="1727"/>
      <c r="AN46" s="1727"/>
      <c r="AO46" s="1727"/>
    </row>
    <row r="47" ht="14.25" spans="1:41">
      <c r="A47" s="1727"/>
      <c r="B47" s="1727"/>
      <c r="C47" s="1727"/>
      <c r="D47" s="2648" t="s">
        <v>547</v>
      </c>
      <c r="E47" s="2617"/>
      <c r="F47" s="2573">
        <v>1.5</v>
      </c>
      <c r="G47" s="1727"/>
      <c r="H47" s="1727"/>
      <c r="M47" s="2546"/>
      <c r="N47" s="2546"/>
      <c r="AE47" s="1727"/>
      <c r="AF47" s="1727"/>
      <c r="AG47" s="1727"/>
      <c r="AH47" s="1727"/>
      <c r="AI47" s="1727"/>
      <c r="AJ47" s="1727"/>
      <c r="AK47" s="1727"/>
      <c r="AL47" s="1727"/>
      <c r="AM47" s="1727"/>
      <c r="AN47" s="1727"/>
      <c r="AO47" s="1727"/>
    </row>
    <row r="48" ht="14.25" spans="1:41">
      <c r="A48" s="1727"/>
      <c r="B48" s="1727"/>
      <c r="C48" s="1727"/>
      <c r="D48" s="2648" t="s">
        <v>548</v>
      </c>
      <c r="E48" s="2617"/>
      <c r="F48" s="2546"/>
      <c r="G48" s="1727"/>
      <c r="H48" s="1727"/>
      <c r="M48" s="2546"/>
      <c r="N48" s="2546"/>
      <c r="AE48" s="1727"/>
      <c r="AF48" s="1727"/>
      <c r="AG48" s="1727"/>
      <c r="AH48" s="1727"/>
      <c r="AI48" s="1727"/>
      <c r="AJ48" s="1727"/>
      <c r="AK48" s="1727"/>
      <c r="AL48" s="1727"/>
      <c r="AM48" s="1727"/>
      <c r="AN48" s="1727"/>
      <c r="AO48" s="1727"/>
    </row>
    <row r="49" ht="14.25" spans="1:41">
      <c r="A49" s="1727"/>
      <c r="B49" s="1727"/>
      <c r="C49" s="1727"/>
      <c r="D49" s="2648" t="s">
        <v>549</v>
      </c>
      <c r="E49" s="2617"/>
      <c r="F49" s="2546"/>
      <c r="G49" s="1727"/>
      <c r="H49" s="1727"/>
      <c r="M49" s="2546"/>
      <c r="N49" s="2546"/>
      <c r="AE49" s="1727"/>
      <c r="AF49" s="1727"/>
      <c r="AG49" s="1727"/>
      <c r="AH49" s="1727"/>
      <c r="AI49" s="1727"/>
      <c r="AJ49" s="1727"/>
      <c r="AK49" s="1727"/>
      <c r="AL49" s="1727"/>
      <c r="AM49" s="1727"/>
      <c r="AN49" s="1727"/>
      <c r="AO49" s="1727"/>
    </row>
    <row r="50" ht="14.25" spans="1:41">
      <c r="A50" s="1727"/>
      <c r="B50" s="1727"/>
      <c r="C50" s="1727"/>
      <c r="D50" s="2648" t="s">
        <v>550</v>
      </c>
      <c r="E50" s="2617"/>
      <c r="F50" s="2546"/>
      <c r="G50" s="1727"/>
      <c r="H50" s="1727"/>
      <c r="M50" s="2546"/>
      <c r="N50" s="2546"/>
      <c r="AE50" s="1727"/>
      <c r="AF50" s="1727"/>
      <c r="AG50" s="1727"/>
      <c r="AH50" s="1727"/>
      <c r="AI50" s="1727"/>
      <c r="AJ50" s="1727"/>
      <c r="AK50" s="1727"/>
      <c r="AL50" s="1727"/>
      <c r="AM50" s="1727"/>
      <c r="AN50" s="1727"/>
      <c r="AO50" s="1727"/>
    </row>
    <row r="51" s="1727" customFormat="1" ht="15" spans="4:16">
      <c r="D51" s="2652" t="s">
        <v>551</v>
      </c>
      <c r="E51" s="2653"/>
      <c r="F51" s="2546"/>
      <c r="M51" s="2546"/>
      <c r="N51" s="2546"/>
      <c r="O51" s="1436"/>
      <c r="P51" s="1436"/>
    </row>
    <row r="52" s="1727" customFormat="1" ht="14.25" spans="4:16">
      <c r="D52" s="2549"/>
      <c r="E52" s="2549"/>
      <c r="F52" s="2549"/>
      <c r="G52" s="2549"/>
      <c r="H52" s="2549"/>
      <c r="I52" s="2546"/>
      <c r="J52" s="2546"/>
      <c r="K52" s="2546"/>
      <c r="L52" s="2546"/>
      <c r="M52" s="2546"/>
      <c r="N52" s="2546"/>
      <c r="O52" s="1436"/>
      <c r="P52" s="1436"/>
    </row>
    <row r="53" s="1727" customFormat="1" ht="14.25" spans="4:16">
      <c r="D53" s="2549"/>
      <c r="E53" s="2549"/>
      <c r="F53" s="2549"/>
      <c r="G53" s="2549"/>
      <c r="H53" s="2549"/>
      <c r="I53" s="2546"/>
      <c r="J53" s="2546"/>
      <c r="K53" s="2546"/>
      <c r="L53" s="2546"/>
      <c r="M53" s="2546"/>
      <c r="N53" s="2546"/>
      <c r="O53" s="1436"/>
      <c r="P53" s="1436"/>
    </row>
    <row r="54" s="1727" customFormat="1" ht="14.25" spans="4:16">
      <c r="D54" s="2549"/>
      <c r="E54" s="2549"/>
      <c r="F54" s="2549"/>
      <c r="G54" s="2549"/>
      <c r="H54" s="2549"/>
      <c r="I54" s="2546"/>
      <c r="J54" s="2546"/>
      <c r="K54" s="2546"/>
      <c r="L54" s="2546"/>
      <c r="M54" s="2546"/>
      <c r="N54" s="2546"/>
      <c r="O54" s="1436"/>
      <c r="P54" s="1436"/>
    </row>
    <row r="55" s="1727" customFormat="1" ht="14.25" spans="4:16">
      <c r="D55" s="2549"/>
      <c r="E55" s="2549"/>
      <c r="F55" s="2549"/>
      <c r="G55" s="2549"/>
      <c r="H55" s="2549"/>
      <c r="I55" s="2546"/>
      <c r="J55" s="2546"/>
      <c r="K55" s="2546"/>
      <c r="L55" s="2546"/>
      <c r="M55" s="2546"/>
      <c r="N55" s="2546"/>
      <c r="O55" s="1436"/>
      <c r="P55" s="1436"/>
    </row>
    <row r="56" s="1727" customFormat="1" ht="14.25" spans="4:16">
      <c r="D56" s="2549"/>
      <c r="E56" s="2549"/>
      <c r="F56" s="2549"/>
      <c r="G56" s="2549"/>
      <c r="H56" s="2549"/>
      <c r="I56" s="2546"/>
      <c r="J56" s="2546"/>
      <c r="K56" s="2546"/>
      <c r="L56" s="2546"/>
      <c r="M56" s="2546"/>
      <c r="N56" s="2546"/>
      <c r="O56" s="1436"/>
      <c r="P56" s="1436"/>
    </row>
    <row r="57" s="1727" customFormat="1" ht="14.25" spans="4:16">
      <c r="D57" s="2549"/>
      <c r="E57" s="2549"/>
      <c r="F57" s="2549"/>
      <c r="G57" s="2549"/>
      <c r="H57" s="2549"/>
      <c r="I57" s="2546"/>
      <c r="J57" s="2546"/>
      <c r="K57" s="2546"/>
      <c r="L57" s="2546"/>
      <c r="M57" s="2546"/>
      <c r="N57" s="2546"/>
      <c r="O57" s="1436"/>
      <c r="P57" s="1436"/>
    </row>
    <row r="58" s="1727" customFormat="1" ht="14.25" spans="4:16">
      <c r="D58" s="2549"/>
      <c r="E58" s="2549"/>
      <c r="F58" s="2549"/>
      <c r="G58" s="2549"/>
      <c r="H58" s="2549"/>
      <c r="I58" s="2546"/>
      <c r="J58" s="2546"/>
      <c r="K58" s="2546"/>
      <c r="L58" s="2546"/>
      <c r="M58" s="2546"/>
      <c r="N58" s="2546"/>
      <c r="O58" s="1436"/>
      <c r="P58" s="1436"/>
    </row>
    <row r="59" s="1727" customFormat="1" ht="14.25" spans="4:16">
      <c r="D59" s="2549"/>
      <c r="E59" s="2549"/>
      <c r="F59" s="2549"/>
      <c r="G59" s="2549"/>
      <c r="H59" s="2549"/>
      <c r="I59" s="2546"/>
      <c r="J59" s="2546"/>
      <c r="K59" s="2546"/>
      <c r="L59" s="2546"/>
      <c r="M59" s="2655"/>
      <c r="N59" s="2546"/>
      <c r="O59" s="1436"/>
      <c r="P59" s="1436"/>
    </row>
    <row r="60" s="1727" customFormat="1" ht="14.25" spans="4:16">
      <c r="D60" s="2549"/>
      <c r="E60" s="2549"/>
      <c r="F60" s="2549"/>
      <c r="G60" s="2549"/>
      <c r="H60" s="2549"/>
      <c r="I60" s="2546"/>
      <c r="J60" s="2546"/>
      <c r="K60" s="2546"/>
      <c r="L60" s="2546"/>
      <c r="M60" s="2546"/>
      <c r="N60" s="2546"/>
      <c r="O60" s="1436"/>
      <c r="P60" s="1436"/>
    </row>
    <row r="61" s="1727" customFormat="1" ht="14.25" spans="4:16">
      <c r="D61" s="2549"/>
      <c r="E61" s="2549"/>
      <c r="F61" s="2549"/>
      <c r="G61" s="2549"/>
      <c r="H61" s="2549"/>
      <c r="I61" s="2546"/>
      <c r="J61" s="2546"/>
      <c r="K61" s="2546"/>
      <c r="L61" s="2546"/>
      <c r="M61" s="2546"/>
      <c r="N61" s="2546"/>
      <c r="O61" s="1436"/>
      <c r="P61" s="1436"/>
    </row>
    <row r="62" s="1727" customFormat="1" ht="14.25" spans="4:16">
      <c r="D62" s="2549"/>
      <c r="E62" s="2549"/>
      <c r="F62" s="2549"/>
      <c r="G62" s="2549"/>
      <c r="H62" s="2549"/>
      <c r="I62" s="2546"/>
      <c r="J62" s="2546"/>
      <c r="K62" s="2546"/>
      <c r="L62" s="2546"/>
      <c r="M62" s="2546"/>
      <c r="N62" s="2546"/>
      <c r="O62" s="1436"/>
      <c r="P62" s="1436"/>
    </row>
    <row r="63" s="1727" customFormat="1" ht="14.25" spans="4:16">
      <c r="D63" s="2549"/>
      <c r="E63" s="2549"/>
      <c r="F63" s="2549"/>
      <c r="G63" s="2549"/>
      <c r="H63" s="2549"/>
      <c r="I63" s="2546"/>
      <c r="J63" s="2546"/>
      <c r="K63" s="2546"/>
      <c r="L63" s="2546"/>
      <c r="M63" s="2546"/>
      <c r="N63" s="2546"/>
      <c r="O63" s="1436"/>
      <c r="P63" s="1436"/>
    </row>
    <row r="64" s="1727" customFormat="1" ht="14.25" spans="4:16">
      <c r="D64" s="2549"/>
      <c r="E64" s="2549"/>
      <c r="F64" s="2549"/>
      <c r="G64" s="2549"/>
      <c r="H64" s="2549"/>
      <c r="I64" s="2546"/>
      <c r="J64" s="2546"/>
      <c r="K64" s="2546"/>
      <c r="L64" s="2546"/>
      <c r="M64" s="2546"/>
      <c r="N64" s="2546"/>
      <c r="O64" s="1436"/>
      <c r="P64" s="1436"/>
    </row>
    <row r="65" s="1727" customFormat="1" ht="14.25" spans="4:16">
      <c r="D65" s="2549"/>
      <c r="E65" s="2549"/>
      <c r="F65" s="2549"/>
      <c r="G65" s="2549"/>
      <c r="H65" s="2549"/>
      <c r="I65" s="2546"/>
      <c r="J65" s="2546"/>
      <c r="K65" s="2546"/>
      <c r="L65" s="2546"/>
      <c r="M65" s="2546"/>
      <c r="N65" s="2546"/>
      <c r="O65" s="1436"/>
      <c r="P65" s="1436"/>
    </row>
    <row r="66" s="1727" customFormat="1" ht="14.25" spans="1:16">
      <c r="A66" s="2656"/>
      <c r="D66" s="2549"/>
      <c r="E66" s="2549"/>
      <c r="F66" s="2549"/>
      <c r="G66" s="2549"/>
      <c r="H66" s="2549"/>
      <c r="I66" s="2546"/>
      <c r="J66" s="2546"/>
      <c r="K66" s="2546"/>
      <c r="L66" s="2546"/>
      <c r="M66" s="2546"/>
      <c r="N66" s="2546"/>
      <c r="O66" s="1436"/>
      <c r="P66" s="1436"/>
    </row>
    <row r="67" s="1727" customFormat="1" ht="14.25" spans="1:16">
      <c r="A67" s="2656"/>
      <c r="D67" s="2549"/>
      <c r="E67" s="2549"/>
      <c r="F67" s="2549"/>
      <c r="G67" s="2549"/>
      <c r="H67" s="2549"/>
      <c r="I67" s="2546"/>
      <c r="J67" s="2546"/>
      <c r="K67" s="2546"/>
      <c r="L67" s="2546"/>
      <c r="M67" s="2546"/>
      <c r="N67" s="2546"/>
      <c r="O67" s="1436"/>
      <c r="P67" s="1436"/>
    </row>
    <row r="68" s="1727" customFormat="1" ht="14.25" spans="1:16">
      <c r="A68" s="2656"/>
      <c r="D68" s="2549"/>
      <c r="E68" s="2549"/>
      <c r="F68" s="2549"/>
      <c r="G68" s="2542"/>
      <c r="H68" s="2542"/>
      <c r="O68" s="1436"/>
      <c r="P68" s="1436"/>
    </row>
    <row r="69" s="1727" customFormat="1" spans="1:16">
      <c r="A69" s="2656"/>
      <c r="D69" s="2542"/>
      <c r="E69" s="2542"/>
      <c r="F69" s="2542"/>
      <c r="G69" s="2542"/>
      <c r="H69" s="2542"/>
      <c r="O69" s="1436"/>
      <c r="P69" s="1436"/>
    </row>
    <row r="70" s="1727" customFormat="1" spans="1:16">
      <c r="A70" s="2656"/>
      <c r="D70" s="2542"/>
      <c r="E70" s="2542"/>
      <c r="F70" s="2542"/>
      <c r="G70" s="2542"/>
      <c r="H70" s="2542"/>
      <c r="O70" s="1436"/>
      <c r="P70" s="1436"/>
    </row>
    <row r="71" s="1727" customFormat="1" spans="1:16">
      <c r="A71" s="2656"/>
      <c r="D71" s="2542"/>
      <c r="E71" s="2542"/>
      <c r="F71" s="2542"/>
      <c r="G71" s="2542"/>
      <c r="H71" s="2542"/>
      <c r="O71" s="1436"/>
      <c r="P71" s="1436"/>
    </row>
    <row r="72" s="1727" customFormat="1" spans="1:16">
      <c r="A72" s="2656"/>
      <c r="D72" s="2542"/>
      <c r="E72" s="2542"/>
      <c r="F72" s="2542"/>
      <c r="G72" s="2542"/>
      <c r="H72" s="2542"/>
      <c r="O72" s="1436"/>
      <c r="P72" s="1436"/>
    </row>
    <row r="73" s="1727" customFormat="1" spans="1:16">
      <c r="A73" s="2656"/>
      <c r="D73" s="2542"/>
      <c r="E73" s="2542"/>
      <c r="F73" s="2542"/>
      <c r="G73" s="2542"/>
      <c r="H73" s="2542"/>
      <c r="O73" s="1436"/>
      <c r="P73" s="1436"/>
    </row>
    <row r="74" s="1727" customFormat="1" spans="1:16">
      <c r="A74" s="2656"/>
      <c r="D74" s="2542"/>
      <c r="E74" s="2542"/>
      <c r="F74" s="2542"/>
      <c r="G74" s="2542"/>
      <c r="H74" s="2542"/>
      <c r="O74" s="1436"/>
      <c r="P74" s="1436"/>
    </row>
    <row r="75" s="1727" customFormat="1" spans="1:16">
      <c r="A75" s="2656"/>
      <c r="D75" s="2542"/>
      <c r="E75" s="2542"/>
      <c r="F75" s="2542"/>
      <c r="G75" s="2542"/>
      <c r="H75" s="2542"/>
      <c r="O75" s="1436"/>
      <c r="P75" s="1436"/>
    </row>
    <row r="76" s="1727" customFormat="1" spans="1:16">
      <c r="A76" s="2656"/>
      <c r="D76" s="2542"/>
      <c r="E76" s="2542"/>
      <c r="F76" s="2542"/>
      <c r="G76" s="2542"/>
      <c r="H76" s="2542"/>
      <c r="O76" s="1436"/>
      <c r="P76" s="1436"/>
    </row>
    <row r="77" s="1727" customFormat="1" spans="1:16">
      <c r="A77" s="2656"/>
      <c r="D77" s="2542"/>
      <c r="E77" s="2542"/>
      <c r="F77" s="2542"/>
      <c r="G77" s="2542"/>
      <c r="H77" s="2542"/>
      <c r="O77" s="1436"/>
      <c r="P77" s="1436"/>
    </row>
    <row r="78" s="1727" customFormat="1" spans="1:16">
      <c r="A78" s="2656"/>
      <c r="D78" s="2542"/>
      <c r="E78" s="2542"/>
      <c r="F78" s="2542"/>
      <c r="G78" s="2542"/>
      <c r="H78" s="2542"/>
      <c r="O78" s="1436"/>
      <c r="P78" s="1436"/>
    </row>
    <row r="79" s="1727" customFormat="1" spans="1:16">
      <c r="A79" s="2656"/>
      <c r="D79" s="2542"/>
      <c r="E79" s="2542"/>
      <c r="F79" s="2542"/>
      <c r="G79" s="2542"/>
      <c r="H79" s="2542"/>
      <c r="O79" s="1436"/>
      <c r="P79" s="1436"/>
    </row>
    <row r="80" s="1727" customFormat="1" spans="1:16">
      <c r="A80" s="2656"/>
      <c r="D80" s="2542"/>
      <c r="E80" s="2542"/>
      <c r="F80" s="2542"/>
      <c r="G80" s="2542"/>
      <c r="H80" s="2542"/>
      <c r="O80" s="1436"/>
      <c r="P80" s="1436"/>
    </row>
    <row r="81" s="1727" customFormat="1" spans="1:16">
      <c r="A81" s="2656"/>
      <c r="D81" s="2542"/>
      <c r="E81" s="2542"/>
      <c r="F81" s="2542"/>
      <c r="G81" s="2542"/>
      <c r="H81" s="2542"/>
      <c r="O81" s="1436"/>
      <c r="P81" s="1436"/>
    </row>
    <row r="82" s="1727" customFormat="1" spans="1:16">
      <c r="A82" s="2656"/>
      <c r="D82" s="2542"/>
      <c r="E82" s="2542"/>
      <c r="F82" s="2542"/>
      <c r="G82" s="2542"/>
      <c r="H82" s="2542"/>
      <c r="O82" s="1436"/>
      <c r="P82" s="1436"/>
    </row>
    <row r="83" s="1727" customFormat="1" spans="1:16">
      <c r="A83" s="2656"/>
      <c r="D83" s="2542"/>
      <c r="E83" s="2542"/>
      <c r="F83" s="2542"/>
      <c r="G83" s="2542"/>
      <c r="H83" s="2542"/>
      <c r="O83" s="1436"/>
      <c r="P83" s="1436"/>
    </row>
    <row r="84" s="1727" customFormat="1" spans="1:16">
      <c r="A84" s="2656"/>
      <c r="D84" s="2542"/>
      <c r="E84" s="2542"/>
      <c r="F84" s="2542"/>
      <c r="G84" s="2542"/>
      <c r="H84" s="2542"/>
      <c r="O84" s="1436"/>
      <c r="P84" s="1436"/>
    </row>
    <row r="85" s="1727" customFormat="1" spans="1:16">
      <c r="A85" s="2656"/>
      <c r="D85" s="2542"/>
      <c r="E85" s="2542"/>
      <c r="F85" s="2542"/>
      <c r="G85" s="2542"/>
      <c r="H85" s="2542"/>
      <c r="O85" s="1436"/>
      <c r="P85" s="1436"/>
    </row>
    <row r="86" s="1727" customFormat="1" spans="1:16">
      <c r="A86" s="2656"/>
      <c r="D86" s="2542"/>
      <c r="E86" s="2542"/>
      <c r="F86" s="2542"/>
      <c r="G86" s="2542"/>
      <c r="H86" s="2542"/>
      <c r="O86" s="1436"/>
      <c r="P86" s="1436"/>
    </row>
    <row r="87" s="1727" customFormat="1" spans="1:16">
      <c r="A87" s="2656"/>
      <c r="D87" s="2542"/>
      <c r="E87" s="2542"/>
      <c r="F87" s="2542"/>
      <c r="G87" s="2542"/>
      <c r="H87" s="2542"/>
      <c r="O87" s="1436"/>
      <c r="P87" s="1436"/>
    </row>
    <row r="88" s="1727" customFormat="1" spans="1:16">
      <c r="A88" s="2656"/>
      <c r="D88" s="2542"/>
      <c r="E88" s="2542"/>
      <c r="F88" s="2542"/>
      <c r="G88" s="2542"/>
      <c r="H88" s="2542"/>
      <c r="O88" s="1436"/>
      <c r="P88" s="1436"/>
    </row>
    <row r="89" s="1727" customFormat="1" spans="1:16">
      <c r="A89" s="2656"/>
      <c r="D89" s="2542"/>
      <c r="E89" s="2542"/>
      <c r="F89" s="2542"/>
      <c r="G89" s="2542"/>
      <c r="H89" s="2542"/>
      <c r="O89" s="1436"/>
      <c r="P89" s="1436"/>
    </row>
    <row r="90" s="1727" customFormat="1" spans="1:16">
      <c r="A90" s="2656"/>
      <c r="D90" s="2542"/>
      <c r="E90" s="2542"/>
      <c r="F90" s="2542"/>
      <c r="G90" s="2542"/>
      <c r="H90" s="2542"/>
      <c r="O90" s="1436"/>
      <c r="P90" s="1436"/>
    </row>
    <row r="91" s="1727" customFormat="1" spans="1:16">
      <c r="A91" s="2656"/>
      <c r="D91" s="2542"/>
      <c r="E91" s="2542"/>
      <c r="F91" s="2542"/>
      <c r="G91" s="2542"/>
      <c r="H91" s="2542"/>
      <c r="O91" s="1436"/>
      <c r="P91" s="1436"/>
    </row>
    <row r="92" s="1727" customFormat="1" spans="1:16">
      <c r="A92" s="2656"/>
      <c r="D92" s="2542"/>
      <c r="E92" s="2542"/>
      <c r="F92" s="2542"/>
      <c r="G92" s="2542"/>
      <c r="H92" s="2542"/>
      <c r="O92" s="1436"/>
      <c r="P92" s="1436"/>
    </row>
    <row r="93" s="1727" customFormat="1" spans="1:16">
      <c r="A93" s="2656"/>
      <c r="D93" s="2542"/>
      <c r="E93" s="2542"/>
      <c r="F93" s="2542"/>
      <c r="G93" s="2542"/>
      <c r="H93" s="2542"/>
      <c r="O93" s="1436"/>
      <c r="P93" s="1436"/>
    </row>
    <row r="94" s="1727" customFormat="1" spans="1:16">
      <c r="A94" s="2656"/>
      <c r="D94" s="2542"/>
      <c r="E94" s="2542"/>
      <c r="F94" s="2542"/>
      <c r="G94" s="2542"/>
      <c r="H94" s="2542"/>
      <c r="O94" s="1436"/>
      <c r="P94" s="1436"/>
    </row>
    <row r="95" s="1727" customFormat="1" spans="1:16">
      <c r="A95" s="2656"/>
      <c r="D95" s="2542"/>
      <c r="E95" s="2542"/>
      <c r="F95" s="2542"/>
      <c r="G95" s="2542"/>
      <c r="H95" s="2542"/>
      <c r="O95" s="1436"/>
      <c r="P95" s="1436"/>
    </row>
    <row r="96" s="1727" customFormat="1" spans="1:16">
      <c r="A96" s="2656"/>
      <c r="D96" s="2542"/>
      <c r="E96" s="2542"/>
      <c r="F96" s="2542"/>
      <c r="G96" s="2542"/>
      <c r="H96" s="2542"/>
      <c r="O96" s="1436"/>
      <c r="P96" s="1436"/>
    </row>
    <row r="97" s="1727" customFormat="1" spans="1:16">
      <c r="A97" s="2656"/>
      <c r="D97" s="2542"/>
      <c r="E97" s="2542"/>
      <c r="F97" s="2542"/>
      <c r="G97" s="2542"/>
      <c r="H97" s="2542"/>
      <c r="O97" s="1436"/>
      <c r="P97" s="1436"/>
    </row>
    <row r="98" s="1727" customFormat="1" spans="1:16">
      <c r="A98" s="2656"/>
      <c r="D98" s="2542"/>
      <c r="E98" s="2542"/>
      <c r="F98" s="2542"/>
      <c r="G98" s="2542"/>
      <c r="H98" s="2542"/>
      <c r="O98" s="1436"/>
      <c r="P98" s="1436"/>
    </row>
    <row r="99" s="1727" customFormat="1" spans="1:16">
      <c r="A99" s="2656"/>
      <c r="D99" s="2542"/>
      <c r="E99" s="2542"/>
      <c r="F99" s="2542"/>
      <c r="G99" s="2542"/>
      <c r="H99" s="2542"/>
      <c r="O99" s="1436"/>
      <c r="P99" s="1436"/>
    </row>
    <row r="100" s="1727" customFormat="1" spans="1:16">
      <c r="A100" s="2656"/>
      <c r="D100" s="2542"/>
      <c r="E100" s="2542"/>
      <c r="F100" s="2542"/>
      <c r="G100" s="2542"/>
      <c r="H100" s="2542"/>
      <c r="O100" s="1436"/>
      <c r="P100" s="1436"/>
    </row>
    <row r="101" s="1727" customFormat="1" spans="1:16">
      <c r="A101" s="2656"/>
      <c r="D101" s="2542"/>
      <c r="E101" s="2542"/>
      <c r="F101" s="2542"/>
      <c r="G101" s="2542"/>
      <c r="H101" s="2542"/>
      <c r="O101" s="1436"/>
      <c r="P101" s="1436"/>
    </row>
    <row r="102" s="1727" customFormat="1" spans="1:16">
      <c r="A102" s="2656"/>
      <c r="D102" s="2542"/>
      <c r="E102" s="2542"/>
      <c r="F102" s="2542"/>
      <c r="G102" s="2542"/>
      <c r="H102" s="2542"/>
      <c r="O102" s="1436"/>
      <c r="P102" s="1436"/>
    </row>
    <row r="103" s="1727" customFormat="1" spans="1:16">
      <c r="A103" s="2656"/>
      <c r="D103" s="2542"/>
      <c r="E103" s="2542"/>
      <c r="F103" s="2542"/>
      <c r="G103" s="2542"/>
      <c r="H103" s="2542"/>
      <c r="O103" s="1436"/>
      <c r="P103" s="1436"/>
    </row>
    <row r="104" s="1727" customFormat="1" spans="1:16">
      <c r="A104" s="2656"/>
      <c r="D104" s="2542"/>
      <c r="E104" s="2542"/>
      <c r="F104" s="2542"/>
      <c r="G104" s="2542"/>
      <c r="H104" s="2542"/>
      <c r="O104" s="1436"/>
      <c r="P104" s="1436"/>
    </row>
    <row r="105" s="1727" customFormat="1" spans="1:16">
      <c r="A105" s="2656"/>
      <c r="D105" s="2542"/>
      <c r="E105" s="2542"/>
      <c r="F105" s="2542"/>
      <c r="G105" s="2542"/>
      <c r="H105" s="2542"/>
      <c r="O105" s="1436"/>
      <c r="P105" s="1436"/>
    </row>
    <row r="106" s="1727" customFormat="1" spans="1:16">
      <c r="A106" s="2656"/>
      <c r="D106" s="2542"/>
      <c r="E106" s="2542"/>
      <c r="F106" s="2542"/>
      <c r="G106" s="2542"/>
      <c r="H106" s="2542"/>
      <c r="O106" s="1436"/>
      <c r="P106" s="1436"/>
    </row>
    <row r="107" s="1727" customFormat="1" spans="1:16">
      <c r="A107" s="2656"/>
      <c r="D107" s="2542"/>
      <c r="E107" s="2542"/>
      <c r="F107" s="2542"/>
      <c r="G107" s="2542"/>
      <c r="H107" s="2542"/>
      <c r="O107" s="1436"/>
      <c r="P107" s="1436"/>
    </row>
    <row r="108" s="1727" customFormat="1" spans="1:16">
      <c r="A108" s="2656"/>
      <c r="D108" s="2542"/>
      <c r="E108" s="2542"/>
      <c r="F108" s="2542"/>
      <c r="G108" s="2542"/>
      <c r="H108" s="2542"/>
      <c r="O108" s="1436"/>
      <c r="P108" s="1436"/>
    </row>
    <row r="109" s="1727" customFormat="1" spans="1:16">
      <c r="A109" s="2656"/>
      <c r="D109" s="2542"/>
      <c r="E109" s="2542"/>
      <c r="F109" s="2542"/>
      <c r="G109" s="2542"/>
      <c r="H109" s="2542"/>
      <c r="O109" s="1436"/>
      <c r="P109" s="1436"/>
    </row>
    <row r="110" s="1727" customFormat="1" spans="1:16">
      <c r="A110" s="2656"/>
      <c r="D110" s="2542"/>
      <c r="E110" s="2542"/>
      <c r="F110" s="2542"/>
      <c r="G110" s="2542"/>
      <c r="H110" s="2542"/>
      <c r="O110" s="1436"/>
      <c r="P110" s="1436"/>
    </row>
    <row r="111" s="1727" customFormat="1" spans="1:16">
      <c r="A111" s="2656"/>
      <c r="D111" s="2542"/>
      <c r="E111" s="2542"/>
      <c r="F111" s="2542"/>
      <c r="G111" s="2542"/>
      <c r="H111" s="2542"/>
      <c r="O111" s="1436"/>
      <c r="P111" s="1436"/>
    </row>
    <row r="112" s="1727" customFormat="1" spans="1:16">
      <c r="A112" s="2656"/>
      <c r="D112" s="2542"/>
      <c r="E112" s="2542"/>
      <c r="F112" s="2542"/>
      <c r="G112" s="2542"/>
      <c r="H112" s="2542"/>
      <c r="O112" s="1436"/>
      <c r="P112" s="1436"/>
    </row>
    <row r="113" s="1727" customFormat="1" spans="1:16">
      <c r="A113" s="2656"/>
      <c r="D113" s="2542"/>
      <c r="E113" s="2542"/>
      <c r="F113" s="2542"/>
      <c r="G113" s="2542"/>
      <c r="H113" s="2542"/>
      <c r="O113" s="1436"/>
      <c r="P113" s="1436"/>
    </row>
    <row r="114" s="1727" customFormat="1" spans="1:16">
      <c r="A114" s="2656"/>
      <c r="D114" s="2542"/>
      <c r="E114" s="2542"/>
      <c r="F114" s="2542"/>
      <c r="G114" s="2542"/>
      <c r="H114" s="2542"/>
      <c r="O114" s="1436"/>
      <c r="P114" s="1436"/>
    </row>
    <row r="115" s="1727" customFormat="1" spans="1:16">
      <c r="A115" s="2656"/>
      <c r="D115" s="2542"/>
      <c r="E115" s="2542"/>
      <c r="F115" s="2542"/>
      <c r="G115" s="2542"/>
      <c r="H115" s="2542"/>
      <c r="O115" s="1436"/>
      <c r="P115" s="1436"/>
    </row>
    <row r="116" s="1727" customFormat="1" spans="1:16">
      <c r="A116" s="2656"/>
      <c r="D116" s="2542"/>
      <c r="E116" s="2542"/>
      <c r="F116" s="2542"/>
      <c r="G116" s="2542"/>
      <c r="H116" s="2542"/>
      <c r="O116" s="1436"/>
      <c r="P116" s="1436"/>
    </row>
    <row r="117" s="1727" customFormat="1" spans="1:16">
      <c r="A117" s="2656"/>
      <c r="D117" s="2542"/>
      <c r="E117" s="2542"/>
      <c r="F117" s="2542"/>
      <c r="G117" s="2542"/>
      <c r="H117" s="2542"/>
      <c r="O117" s="1436"/>
      <c r="P117" s="1436"/>
    </row>
    <row r="118" s="1727" customFormat="1" spans="1:16">
      <c r="A118" s="2656"/>
      <c r="D118" s="2542"/>
      <c r="E118" s="2542"/>
      <c r="F118" s="2542"/>
      <c r="G118" s="2542"/>
      <c r="H118" s="2542"/>
      <c r="O118" s="1436"/>
      <c r="P118" s="1436"/>
    </row>
    <row r="119" s="1727" customFormat="1" spans="1:16">
      <c r="A119" s="2656"/>
      <c r="D119" s="2542"/>
      <c r="E119" s="2542"/>
      <c r="F119" s="2542"/>
      <c r="G119" s="2542"/>
      <c r="H119" s="2542"/>
      <c r="O119" s="1436"/>
      <c r="P119" s="1436"/>
    </row>
    <row r="120" s="1727" customFormat="1" spans="1:16">
      <c r="A120" s="2656"/>
      <c r="D120" s="2542"/>
      <c r="E120" s="2542"/>
      <c r="F120" s="2542"/>
      <c r="G120" s="2542"/>
      <c r="H120" s="2542"/>
      <c r="O120" s="1436"/>
      <c r="P120" s="1436"/>
    </row>
    <row r="121" s="1727" customFormat="1" spans="1:16">
      <c r="A121" s="2656"/>
      <c r="D121" s="2542"/>
      <c r="E121" s="2542"/>
      <c r="F121" s="2542"/>
      <c r="G121" s="2542"/>
      <c r="H121" s="2542"/>
      <c r="O121" s="1436"/>
      <c r="P121" s="1436"/>
    </row>
    <row r="122" s="1727" customFormat="1" spans="1:16">
      <c r="A122" s="2656"/>
      <c r="D122" s="2542"/>
      <c r="E122" s="2542"/>
      <c r="F122" s="2542"/>
      <c r="G122" s="2542"/>
      <c r="H122" s="2542"/>
      <c r="O122" s="1436"/>
      <c r="P122" s="1436"/>
    </row>
    <row r="123" s="1727" customFormat="1" spans="1:16">
      <c r="A123" s="2656"/>
      <c r="D123" s="2542"/>
      <c r="E123" s="2542"/>
      <c r="F123" s="2542"/>
      <c r="G123" s="2542"/>
      <c r="H123" s="2542"/>
      <c r="O123" s="1436"/>
      <c r="P123" s="1436"/>
    </row>
    <row r="124" s="1727" customFormat="1" spans="1:16">
      <c r="A124" s="2656"/>
      <c r="D124" s="2542"/>
      <c r="E124" s="2542"/>
      <c r="F124" s="2542"/>
      <c r="G124" s="2542"/>
      <c r="H124" s="2542"/>
      <c r="O124" s="1436"/>
      <c r="P124" s="1436"/>
    </row>
    <row r="125" s="1727" customFormat="1" spans="1:16">
      <c r="A125" s="2656"/>
      <c r="D125" s="2542"/>
      <c r="E125" s="2542"/>
      <c r="F125" s="2542"/>
      <c r="G125" s="2542"/>
      <c r="H125" s="2542"/>
      <c r="O125" s="1436"/>
      <c r="P125" s="1436"/>
    </row>
    <row r="126" s="1727" customFormat="1" spans="1:16">
      <c r="A126" s="2656"/>
      <c r="D126" s="2542"/>
      <c r="E126" s="2542"/>
      <c r="F126" s="2542"/>
      <c r="G126" s="2542"/>
      <c r="H126" s="2542"/>
      <c r="O126" s="1436"/>
      <c r="P126" s="1436"/>
    </row>
    <row r="127" s="1727" customFormat="1" spans="1:16">
      <c r="A127" s="2656"/>
      <c r="D127" s="2542"/>
      <c r="E127" s="2542"/>
      <c r="F127" s="2542"/>
      <c r="G127" s="2542"/>
      <c r="H127" s="2542"/>
      <c r="O127" s="1436"/>
      <c r="P127" s="1436"/>
    </row>
    <row r="128" s="1727" customFormat="1" spans="1:16">
      <c r="A128" s="2656"/>
      <c r="D128" s="2542"/>
      <c r="E128" s="2542"/>
      <c r="F128" s="2542"/>
      <c r="G128" s="2542"/>
      <c r="H128" s="2542"/>
      <c r="O128" s="1436"/>
      <c r="P128" s="1436"/>
    </row>
    <row r="129" s="1727" customFormat="1" spans="1:16">
      <c r="A129" s="2656"/>
      <c r="D129" s="2542"/>
      <c r="E129" s="2542"/>
      <c r="F129" s="2542"/>
      <c r="G129" s="2542"/>
      <c r="H129" s="2542"/>
      <c r="O129" s="1436"/>
      <c r="P129" s="1436"/>
    </row>
    <row r="130" s="1727" customFormat="1" spans="1:16">
      <c r="A130" s="2656"/>
      <c r="D130" s="2542"/>
      <c r="E130" s="2542"/>
      <c r="F130" s="2542"/>
      <c r="G130" s="2542"/>
      <c r="H130" s="2542"/>
      <c r="O130" s="1436"/>
      <c r="P130" s="1436"/>
    </row>
    <row r="131" s="1727" customFormat="1" spans="1:16">
      <c r="A131" s="2656"/>
      <c r="D131" s="2542"/>
      <c r="E131" s="2542"/>
      <c r="F131" s="2542"/>
      <c r="G131" s="2542"/>
      <c r="H131" s="2542"/>
      <c r="O131" s="1436"/>
      <c r="P131" s="1436"/>
    </row>
    <row r="132" s="1727" customFormat="1" spans="1:16">
      <c r="A132" s="2656"/>
      <c r="D132" s="2542"/>
      <c r="E132" s="2542"/>
      <c r="F132" s="2542"/>
      <c r="G132" s="2542"/>
      <c r="H132" s="2542"/>
      <c r="O132" s="1436"/>
      <c r="P132" s="1436"/>
    </row>
    <row r="133" s="1727" customFormat="1" spans="1:16">
      <c r="A133" s="2656"/>
      <c r="D133" s="2542"/>
      <c r="E133" s="2542"/>
      <c r="F133" s="2542"/>
      <c r="G133" s="2542"/>
      <c r="H133" s="2542"/>
      <c r="O133" s="1436"/>
      <c r="P133" s="1436"/>
    </row>
    <row r="134" s="1727" customFormat="1" spans="1:16">
      <c r="A134" s="2656"/>
      <c r="D134" s="2542"/>
      <c r="E134" s="2542"/>
      <c r="F134" s="2542"/>
      <c r="G134" s="2542"/>
      <c r="H134" s="2542"/>
      <c r="O134" s="1436"/>
      <c r="P134" s="1436"/>
    </row>
    <row r="135" s="1727" customFormat="1" spans="1:16">
      <c r="A135" s="2656"/>
      <c r="D135" s="2542"/>
      <c r="E135" s="2542"/>
      <c r="F135" s="2542"/>
      <c r="G135" s="2542"/>
      <c r="H135" s="2542"/>
      <c r="O135" s="1436"/>
      <c r="P135" s="1436"/>
    </row>
    <row r="136" s="1727" customFormat="1" spans="1:16">
      <c r="A136" s="2656"/>
      <c r="D136" s="2542"/>
      <c r="E136" s="2542"/>
      <c r="F136" s="2542"/>
      <c r="G136" s="2542"/>
      <c r="H136" s="2542"/>
      <c r="O136" s="1436"/>
      <c r="P136" s="1436"/>
    </row>
    <row r="137" s="1727" customFormat="1" spans="1:16">
      <c r="A137" s="2656"/>
      <c r="D137" s="2542"/>
      <c r="E137" s="2542"/>
      <c r="F137" s="2542"/>
      <c r="G137" s="2542"/>
      <c r="H137" s="2542"/>
      <c r="O137" s="1436"/>
      <c r="P137" s="1436"/>
    </row>
    <row r="138" s="1727" customFormat="1" spans="1:16">
      <c r="A138" s="2656"/>
      <c r="D138" s="2542"/>
      <c r="E138" s="2542"/>
      <c r="F138" s="2542"/>
      <c r="G138" s="2542"/>
      <c r="H138" s="2542"/>
      <c r="O138" s="1436"/>
      <c r="P138" s="1436"/>
    </row>
    <row r="139" s="1727" customFormat="1" spans="1:16">
      <c r="A139" s="2656"/>
      <c r="D139" s="2542"/>
      <c r="E139" s="2542"/>
      <c r="F139" s="2542"/>
      <c r="G139" s="2542"/>
      <c r="H139" s="2542"/>
      <c r="O139" s="1436"/>
      <c r="P139" s="1436"/>
    </row>
    <row r="140" s="1727" customFormat="1" spans="1:16">
      <c r="A140" s="2656"/>
      <c r="D140" s="2542"/>
      <c r="E140" s="2542"/>
      <c r="F140" s="2542"/>
      <c r="G140" s="2542"/>
      <c r="H140" s="2542"/>
      <c r="O140" s="1436"/>
      <c r="P140" s="1436"/>
    </row>
    <row r="141" s="1727" customFormat="1" spans="1:16">
      <c r="A141" s="2656"/>
      <c r="D141" s="2542"/>
      <c r="E141" s="2542"/>
      <c r="F141" s="2542"/>
      <c r="G141" s="2542"/>
      <c r="H141" s="2542"/>
      <c r="O141" s="1436"/>
      <c r="P141" s="1436"/>
    </row>
    <row r="142" s="1727" customFormat="1" spans="1:16">
      <c r="A142" s="2656"/>
      <c r="D142" s="2542"/>
      <c r="E142" s="2542"/>
      <c r="F142" s="2542"/>
      <c r="G142" s="2542"/>
      <c r="H142" s="2542"/>
      <c r="O142" s="1436"/>
      <c r="P142" s="1436"/>
    </row>
    <row r="143" s="1727" customFormat="1" spans="1:16">
      <c r="A143" s="2656"/>
      <c r="D143" s="2542"/>
      <c r="E143" s="2542"/>
      <c r="F143" s="2542"/>
      <c r="G143" s="2542"/>
      <c r="H143" s="2542"/>
      <c r="O143" s="1436"/>
      <c r="P143" s="1436"/>
    </row>
    <row r="144" s="1727" customFormat="1" spans="1:16">
      <c r="A144" s="2656"/>
      <c r="D144" s="2542"/>
      <c r="E144" s="2542"/>
      <c r="F144" s="2542"/>
      <c r="G144" s="2542"/>
      <c r="H144" s="2542"/>
      <c r="O144" s="1436"/>
      <c r="P144" s="1436"/>
    </row>
    <row r="145" s="1727" customFormat="1" spans="1:16">
      <c r="A145" s="2656"/>
      <c r="D145" s="2542"/>
      <c r="E145" s="2542"/>
      <c r="F145" s="2542"/>
      <c r="G145" s="2542"/>
      <c r="H145" s="2542"/>
      <c r="O145" s="1436"/>
      <c r="P145" s="1436"/>
    </row>
    <row r="146" s="1727" customFormat="1" spans="1:16">
      <c r="A146" s="2656"/>
      <c r="D146" s="2542"/>
      <c r="E146" s="2542"/>
      <c r="F146" s="2542"/>
      <c r="G146" s="2542"/>
      <c r="H146" s="2542"/>
      <c r="O146" s="1436"/>
      <c r="P146" s="1436"/>
    </row>
    <row r="147" s="1727" customFormat="1" spans="1:16">
      <c r="A147" s="2656"/>
      <c r="D147" s="2542"/>
      <c r="E147" s="2542"/>
      <c r="F147" s="2542"/>
      <c r="G147" s="2542"/>
      <c r="H147" s="2542"/>
      <c r="O147" s="1436"/>
      <c r="P147" s="1436"/>
    </row>
    <row r="148" s="1727" customFormat="1" spans="1:16">
      <c r="A148" s="2656"/>
      <c r="D148" s="2542"/>
      <c r="E148" s="2542"/>
      <c r="F148" s="2542"/>
      <c r="G148" s="2542"/>
      <c r="H148" s="2542"/>
      <c r="O148" s="1436"/>
      <c r="P148" s="1436"/>
    </row>
    <row r="149" s="1727" customFormat="1" spans="1:16">
      <c r="A149" s="2656"/>
      <c r="D149" s="2542"/>
      <c r="E149" s="2542"/>
      <c r="F149" s="2542"/>
      <c r="G149" s="2542"/>
      <c r="H149" s="2542"/>
      <c r="O149" s="1436"/>
      <c r="P149" s="1436"/>
    </row>
    <row r="150" s="1727" customFormat="1" spans="1:16">
      <c r="A150" s="2656"/>
      <c r="D150" s="2542"/>
      <c r="E150" s="2542"/>
      <c r="F150" s="2542"/>
      <c r="G150" s="2542"/>
      <c r="H150" s="2542"/>
      <c r="O150" s="1436"/>
      <c r="P150" s="1436"/>
    </row>
    <row r="151" s="1727" customFormat="1" spans="1:16">
      <c r="A151" s="2656"/>
      <c r="D151" s="2542"/>
      <c r="E151" s="2542"/>
      <c r="F151" s="2542"/>
      <c r="G151" s="2542"/>
      <c r="H151" s="2542"/>
      <c r="O151" s="1436"/>
      <c r="P151" s="1436"/>
    </row>
    <row r="152" s="1727" customFormat="1" spans="1:16">
      <c r="A152" s="2656"/>
      <c r="D152" s="2542"/>
      <c r="E152" s="2542"/>
      <c r="F152" s="2542"/>
      <c r="G152" s="2542"/>
      <c r="H152" s="2542"/>
      <c r="O152" s="1436"/>
      <c r="P152" s="1436"/>
    </row>
    <row r="153" s="1727" customFormat="1" spans="1:16">
      <c r="A153" s="2539"/>
      <c r="B153" s="2540"/>
      <c r="D153" s="2542"/>
      <c r="E153" s="2542"/>
      <c r="F153" s="2542"/>
      <c r="G153" s="2542"/>
      <c r="H153" s="2542"/>
      <c r="O153" s="1436"/>
      <c r="P153" s="1436"/>
    </row>
    <row r="154" s="1727" customFormat="1" spans="1:16">
      <c r="A154" s="2539"/>
      <c r="B154" s="2540"/>
      <c r="D154" s="2542"/>
      <c r="E154" s="2542"/>
      <c r="F154" s="2542"/>
      <c r="G154" s="2542"/>
      <c r="H154" s="2542"/>
      <c r="O154" s="1436"/>
      <c r="P154" s="1436"/>
    </row>
    <row r="155" spans="4:5">
      <c r="D155" s="2542"/>
      <c r="E155" s="254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7638888888889" right="0.707638888888889" top="0.747916666666667" bottom="0.747916666666667" header="0.313888888888889" footer="0.313888888888889"/>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5" activePane="bottomRight" state="frozen"/>
      <selection/>
      <selection pane="topRight"/>
      <selection pane="bottomLeft"/>
      <selection pane="bottomRight" activeCell="G7" sqref="G7"/>
    </sheetView>
  </sheetViews>
  <sheetFormatPr defaultColWidth="9" defaultRowHeight="14.25"/>
  <cols>
    <col min="1" max="1" width="9.5" style="2473" customWidth="1"/>
    <col min="2" max="2" width="24.5" style="2474" customWidth="1"/>
    <col min="3" max="3" width="24.5" style="2475" customWidth="1"/>
    <col min="4" max="4" width="2.63333333333333" style="2475" customWidth="1"/>
    <col min="5" max="5" width="5.88333333333333" style="2475" customWidth="1"/>
    <col min="6" max="6" width="27" style="2474" customWidth="1"/>
    <col min="7" max="7" width="27" style="2476" customWidth="1"/>
    <col min="8" max="8" width="11.8833333333333" style="2477" customWidth="1"/>
    <col min="9" max="9" width="16.75" style="2478" customWidth="1"/>
    <col min="10" max="10" width="2.63333333333333" style="2477" customWidth="1"/>
    <col min="11" max="11" width="11.8833333333333" style="2477" customWidth="1"/>
    <col min="12" max="12" width="16.75" style="2478" customWidth="1"/>
    <col min="13" max="13" width="2.63333333333333" style="2477" customWidth="1"/>
    <col min="14" max="14" width="11.8833333333333" style="2477" customWidth="1"/>
    <col min="15" max="15" width="16.75" style="2478" customWidth="1"/>
    <col min="16" max="16" width="2.63333333333333" style="2477" customWidth="1"/>
    <col min="17" max="17" width="11.8833333333333" style="2477" customWidth="1"/>
    <col min="18" max="18" width="16.75" style="2479" customWidth="1"/>
    <col min="19" max="29" width="9" style="2472"/>
    <col min="30" max="16384" width="9" style="2473"/>
  </cols>
  <sheetData>
    <row r="1" s="2471" customFormat="1" ht="19.5" spans="1:29">
      <c r="A1" s="2480" t="s">
        <v>552</v>
      </c>
      <c r="B1" s="2481"/>
      <c r="C1" s="2481"/>
      <c r="D1" s="2481"/>
      <c r="E1" s="2481"/>
      <c r="F1" s="2481"/>
      <c r="G1" s="2481"/>
      <c r="H1" s="2482"/>
      <c r="I1" s="2526"/>
      <c r="J1" s="2482"/>
      <c r="K1" s="2482"/>
      <c r="L1" s="2526"/>
      <c r="M1" s="2482"/>
      <c r="N1" s="2482"/>
      <c r="O1" s="2526"/>
      <c r="P1" s="2482"/>
      <c r="Q1" s="2533"/>
      <c r="R1" s="2534"/>
      <c r="S1" s="2535"/>
      <c r="T1" s="2535"/>
      <c r="U1" s="2535"/>
      <c r="V1" s="2535"/>
      <c r="W1" s="2535"/>
      <c r="X1" s="2535"/>
      <c r="Y1" s="2535"/>
      <c r="Z1" s="2535"/>
      <c r="AA1" s="2535"/>
      <c r="AB1" s="2535"/>
      <c r="AC1" s="2535"/>
    </row>
    <row r="2" ht="15.75" spans="1:18">
      <c r="A2" s="2483"/>
      <c r="B2" s="2484"/>
      <c r="C2" s="2485" t="s">
        <v>553</v>
      </c>
      <c r="D2" s="2486"/>
      <c r="E2" s="2487"/>
      <c r="F2" s="2488"/>
      <c r="G2" s="2485" t="s">
        <v>554</v>
      </c>
      <c r="H2" s="2472"/>
      <c r="I2" s="2472"/>
      <c r="J2" s="2472"/>
      <c r="K2" s="2472"/>
      <c r="L2" s="2472"/>
      <c r="M2" s="2472"/>
      <c r="N2" s="2472"/>
      <c r="O2" s="2472"/>
      <c r="P2" s="2472"/>
      <c r="Q2" s="2472"/>
      <c r="R2" s="2472"/>
    </row>
    <row r="3" ht="42.75" hidden="1" spans="1:18">
      <c r="A3" s="767" t="s">
        <v>555</v>
      </c>
      <c r="B3" s="2489" t="s">
        <v>207</v>
      </c>
      <c r="C3" s="2490" t="s">
        <v>556</v>
      </c>
      <c r="D3" s="2491"/>
      <c r="E3" s="778" t="s">
        <v>555</v>
      </c>
      <c r="F3" s="2492" t="s">
        <v>210</v>
      </c>
      <c r="G3" s="2493" t="s">
        <v>557</v>
      </c>
      <c r="H3" s="2472"/>
      <c r="I3" s="2472"/>
      <c r="J3" s="2472"/>
      <c r="K3" s="2472"/>
      <c r="L3" s="2472"/>
      <c r="M3" s="2472"/>
      <c r="N3" s="2472"/>
      <c r="O3" s="2472"/>
      <c r="P3" s="2472"/>
      <c r="Q3" s="2472"/>
      <c r="R3" s="2472"/>
    </row>
    <row r="4" ht="54" hidden="1" spans="1:18">
      <c r="A4" s="778"/>
      <c r="B4" s="952" t="s">
        <v>208</v>
      </c>
      <c r="C4" s="2494" t="s">
        <v>558</v>
      </c>
      <c r="D4" s="2491"/>
      <c r="E4" s="2495"/>
      <c r="F4" s="2380" t="s">
        <v>211</v>
      </c>
      <c r="G4" s="2496" t="s">
        <v>559</v>
      </c>
      <c r="H4" s="2472"/>
      <c r="I4" s="2472"/>
      <c r="J4" s="2472"/>
      <c r="K4" s="2472"/>
      <c r="L4" s="2472"/>
      <c r="M4" s="2472"/>
      <c r="N4" s="2472"/>
      <c r="O4" s="2472"/>
      <c r="P4" s="2472"/>
      <c r="Q4" s="2472"/>
      <c r="R4" s="2472"/>
    </row>
    <row r="5" ht="59.1" customHeight="1" spans="1:18">
      <c r="A5" s="778"/>
      <c r="B5" s="952" t="s">
        <v>209</v>
      </c>
      <c r="C5" s="2494" t="s">
        <v>556</v>
      </c>
      <c r="D5" s="2491"/>
      <c r="E5" s="2495"/>
      <c r="F5" s="952" t="s">
        <v>213</v>
      </c>
      <c r="G5" s="2496" t="s">
        <v>560</v>
      </c>
      <c r="H5" s="2472"/>
      <c r="I5" s="2472"/>
      <c r="J5" s="2472"/>
      <c r="K5" s="2472"/>
      <c r="L5" s="2472"/>
      <c r="M5" s="2472"/>
      <c r="N5" s="2472"/>
      <c r="O5" s="2472"/>
      <c r="P5" s="2472"/>
      <c r="Q5" s="2472"/>
      <c r="R5" s="2472"/>
    </row>
    <row r="6" ht="54" spans="1:18">
      <c r="A6" s="778"/>
      <c r="B6" s="952" t="s">
        <v>211</v>
      </c>
      <c r="C6" s="2497" t="s">
        <v>558</v>
      </c>
      <c r="D6" s="2491"/>
      <c r="E6" s="2495"/>
      <c r="F6" s="952" t="s">
        <v>214</v>
      </c>
      <c r="G6" s="2496" t="s">
        <v>561</v>
      </c>
      <c r="H6" s="2472"/>
      <c r="I6" s="2472"/>
      <c r="J6" s="2472"/>
      <c r="K6" s="2472"/>
      <c r="L6" s="2472"/>
      <c r="M6" s="2472"/>
      <c r="N6" s="2472"/>
      <c r="O6" s="2472"/>
      <c r="P6" s="2472"/>
      <c r="Q6" s="2472"/>
      <c r="R6" s="2472"/>
    </row>
    <row r="7" ht="41.25" spans="1:18">
      <c r="A7" s="778"/>
      <c r="B7" s="952" t="s">
        <v>213</v>
      </c>
      <c r="C7" s="2497" t="s">
        <v>562</v>
      </c>
      <c r="D7" s="2498"/>
      <c r="E7" s="2499"/>
      <c r="F7" s="2500" t="s">
        <v>563</v>
      </c>
      <c r="G7" s="2501" t="s">
        <v>564</v>
      </c>
      <c r="H7" s="2472"/>
      <c r="I7" s="2472"/>
      <c r="J7" s="2472"/>
      <c r="K7" s="2472"/>
      <c r="L7" s="2472"/>
      <c r="M7" s="2472"/>
      <c r="N7" s="2472"/>
      <c r="O7" s="2472"/>
      <c r="P7" s="2472"/>
      <c r="Q7" s="2472"/>
      <c r="R7" s="2472"/>
    </row>
    <row r="8" ht="27" spans="1:18">
      <c r="A8" s="778"/>
      <c r="B8" s="952" t="s">
        <v>214</v>
      </c>
      <c r="C8" s="2497" t="s">
        <v>565</v>
      </c>
      <c r="D8" s="2498"/>
      <c r="E8" s="2498"/>
      <c r="F8" s="898"/>
      <c r="G8" s="898"/>
      <c r="H8" s="2472"/>
      <c r="I8" s="2472"/>
      <c r="J8" s="2472"/>
      <c r="K8" s="2472"/>
      <c r="L8" s="2472"/>
      <c r="M8" s="2472"/>
      <c r="N8" s="2472"/>
      <c r="O8" s="2472"/>
      <c r="P8" s="2472"/>
      <c r="Q8" s="2472"/>
      <c r="R8" s="2472"/>
    </row>
    <row r="9" ht="67.5" spans="1:18">
      <c r="A9" s="778"/>
      <c r="B9" s="952" t="s">
        <v>566</v>
      </c>
      <c r="C9" s="2494" t="s">
        <v>567</v>
      </c>
      <c r="D9" s="2491"/>
      <c r="E9" s="2498"/>
      <c r="F9" s="898"/>
      <c r="G9" s="898"/>
      <c r="H9" s="2472"/>
      <c r="I9" s="2472"/>
      <c r="J9" s="2472"/>
      <c r="K9" s="2472"/>
      <c r="L9" s="2472"/>
      <c r="M9" s="2472"/>
      <c r="N9" s="2472"/>
      <c r="O9" s="2472"/>
      <c r="P9" s="2472"/>
      <c r="Q9" s="2472"/>
      <c r="R9" s="2472"/>
    </row>
    <row r="10" s="722" customFormat="1" ht="30" customHeight="1" spans="1:29">
      <c r="A10" s="2502"/>
      <c r="B10" s="2408" t="s">
        <v>568</v>
      </c>
      <c r="C10" s="2503" t="s">
        <v>569</v>
      </c>
      <c r="D10" s="2491"/>
      <c r="E10" s="2491"/>
      <c r="F10" s="898"/>
      <c r="G10" s="898"/>
      <c r="H10" s="2504"/>
      <c r="I10" s="2527"/>
      <c r="J10" s="2528"/>
      <c r="K10" s="2504"/>
      <c r="L10" s="2527"/>
      <c r="M10" s="2528"/>
      <c r="N10" s="2504"/>
      <c r="O10" s="2527"/>
      <c r="P10" s="2528"/>
      <c r="Q10" s="2504"/>
      <c r="R10" s="2527"/>
      <c r="S10" s="2472"/>
      <c r="T10" s="2472"/>
      <c r="U10" s="2472"/>
      <c r="V10" s="2472"/>
      <c r="W10" s="2472"/>
      <c r="X10" s="2472"/>
      <c r="Y10" s="2472"/>
      <c r="Z10" s="2472"/>
      <c r="AA10" s="2472"/>
      <c r="AB10" s="2472"/>
      <c r="AC10" s="2472"/>
    </row>
    <row r="11" s="722" customFormat="1" ht="15" spans="1:29">
      <c r="A11" s="2505"/>
      <c r="B11" s="2498"/>
      <c r="C11" s="2491"/>
      <c r="D11" s="2491"/>
      <c r="E11" s="2491"/>
      <c r="F11" s="2498"/>
      <c r="G11" s="1034"/>
      <c r="H11" s="2504"/>
      <c r="I11" s="2527"/>
      <c r="J11" s="2528"/>
      <c r="K11" s="2504"/>
      <c r="L11" s="2527"/>
      <c r="M11" s="2528"/>
      <c r="N11" s="2504"/>
      <c r="O11" s="2527"/>
      <c r="P11" s="2528"/>
      <c r="Q11" s="2504"/>
      <c r="R11" s="2527"/>
      <c r="S11" s="2472"/>
      <c r="T11" s="2472"/>
      <c r="U11" s="2472"/>
      <c r="V11" s="2472"/>
      <c r="W11" s="2472"/>
      <c r="X11" s="2472"/>
      <c r="Y11" s="2472"/>
      <c r="Z11" s="2472"/>
      <c r="AA11" s="2472"/>
      <c r="AB11" s="2472"/>
      <c r="AC11" s="2472"/>
    </row>
    <row r="12" s="2471" customFormat="1" ht="18" spans="1:29">
      <c r="A12" s="2505"/>
      <c r="B12" s="2498"/>
      <c r="C12" s="2491"/>
      <c r="D12" s="2506"/>
      <c r="E12" s="2491"/>
      <c r="F12" s="2498"/>
      <c r="G12" s="1034"/>
      <c r="H12" s="2507"/>
      <c r="I12" s="2529"/>
      <c r="J12" s="2507"/>
      <c r="K12" s="2507"/>
      <c r="L12" s="2530"/>
      <c r="M12" s="2507"/>
      <c r="N12" s="2531"/>
      <c r="O12" s="2532"/>
      <c r="P12" s="2531"/>
      <c r="Q12" s="2531"/>
      <c r="R12" s="2534"/>
      <c r="S12" s="2535"/>
      <c r="T12" s="2535"/>
      <c r="U12" s="2535"/>
      <c r="V12" s="2535"/>
      <c r="W12" s="2535"/>
      <c r="X12" s="2535"/>
      <c r="Y12" s="2535"/>
      <c r="Z12" s="2535"/>
      <c r="AA12" s="2535"/>
      <c r="AB12" s="2535"/>
      <c r="AC12" s="2535"/>
    </row>
    <row r="13" ht="19.5" spans="1:7">
      <c r="A13" s="2508" t="s">
        <v>570</v>
      </c>
      <c r="B13" s="2506"/>
      <c r="C13" s="2506"/>
      <c r="D13" s="2486"/>
      <c r="E13" s="2506"/>
      <c r="F13" s="2506"/>
      <c r="G13" s="2506"/>
    </row>
    <row r="14" ht="15.75" spans="1:7">
      <c r="A14" s="2509"/>
      <c r="B14" s="2510"/>
      <c r="C14" s="2511" t="s">
        <v>553</v>
      </c>
      <c r="D14" s="2491"/>
      <c r="E14" s="2512"/>
      <c r="F14" s="2512"/>
      <c r="G14" s="2485" t="s">
        <v>554</v>
      </c>
    </row>
    <row r="15" ht="42.75" spans="1:7">
      <c r="A15" s="1216" t="s">
        <v>555</v>
      </c>
      <c r="B15" s="2513" t="s">
        <v>207</v>
      </c>
      <c r="C15" s="2514" t="str">
        <f>C3</f>
        <v>估价对象位于CBD商圈，周边办公楼项目成熟度好，办公集聚程度好</v>
      </c>
      <c r="D15" s="2491"/>
      <c r="E15" s="2515" t="s">
        <v>555</v>
      </c>
      <c r="F15" s="2513" t="s">
        <v>210</v>
      </c>
      <c r="G15" s="770" t="str">
        <f>G3</f>
        <v>估价对象位于XX开发区，园区建设成熟度XX，产业集聚程度XX</v>
      </c>
    </row>
    <row r="16" ht="54" spans="1:7">
      <c r="A16" s="1223"/>
      <c r="B16" s="1104" t="s">
        <v>208</v>
      </c>
      <c r="C16" s="2516" t="str">
        <f>C4</f>
        <v>估价对象周边道路状况、公共交通通达情况、停车便捷程度，综合评价交通便捷度好</v>
      </c>
      <c r="D16" s="2491"/>
      <c r="E16" s="2517"/>
      <c r="F16" s="2368" t="s">
        <v>211</v>
      </c>
      <c r="G16" s="774" t="str">
        <f>G4</f>
        <v>估价对象周边道路状况、公共交通通达情况、停车便捷程度，综合评价交通便捷度较好</v>
      </c>
    </row>
    <row r="17" ht="41.25" spans="1:7">
      <c r="A17" s="1223"/>
      <c r="B17" s="1104" t="s">
        <v>209</v>
      </c>
      <c r="C17" s="2516" t="str">
        <f>C5</f>
        <v>估价对象位于CBD商圈，周边办公楼项目成熟度好，办公集聚程度好</v>
      </c>
      <c r="D17" s="2498"/>
      <c r="E17" s="2517"/>
      <c r="F17" s="2368" t="s">
        <v>212</v>
      </c>
      <c r="G17" s="2518"/>
    </row>
    <row r="18" ht="54" spans="1:7">
      <c r="A18" s="1223"/>
      <c r="B18" s="2368" t="s">
        <v>211</v>
      </c>
      <c r="C18" s="774" t="str">
        <f>C6</f>
        <v>估价对象周边道路状况、公共交通通达情况、停车便捷程度，综合评价交通便捷度好</v>
      </c>
      <c r="D18" s="2498"/>
      <c r="E18" s="2517"/>
      <c r="F18" s="2368" t="s">
        <v>563</v>
      </c>
      <c r="G18" s="774" t="str">
        <f>G7</f>
        <v>该园区内是否有污染型企业，绿化情况，卫生条件，整体环境状况判断</v>
      </c>
    </row>
    <row r="19" ht="27" spans="1:7">
      <c r="A19" s="1223"/>
      <c r="B19" s="2368" t="s">
        <v>212</v>
      </c>
      <c r="C19" s="2518"/>
      <c r="D19" s="2491"/>
      <c r="E19" s="2517"/>
      <c r="F19" s="952" t="s">
        <v>213</v>
      </c>
      <c r="G19" s="774" t="str">
        <f>G5</f>
        <v>估价对象所在区域公共配套设施齐备情况</v>
      </c>
    </row>
    <row r="20" ht="81.75" spans="1:7">
      <c r="A20" s="1223"/>
      <c r="B20" s="2368" t="s">
        <v>571</v>
      </c>
      <c r="C20" s="2516" t="str">
        <f>C9</f>
        <v>区域自然环境：CBD历史文化公园、呼家楼社区公园、联馨园；人文环境韩国文化院、考文垂大学、北京今日美术馆：综合评价环境状况好</v>
      </c>
      <c r="D20" s="2498"/>
      <c r="E20" s="2517"/>
      <c r="F20" s="952" t="s">
        <v>214</v>
      </c>
      <c r="G20" s="774" t="str">
        <f>G6</f>
        <v>估价对象所在区域基础设施水平</v>
      </c>
    </row>
    <row r="21" ht="27" spans="1:7">
      <c r="A21" s="1223"/>
      <c r="B21" s="952" t="s">
        <v>213</v>
      </c>
      <c r="C21" s="774" t="str">
        <f>C7</f>
        <v>估价对象所在区域公共配套设施完备程度好</v>
      </c>
      <c r="D21" s="2491"/>
      <c r="E21" s="2517"/>
      <c r="F21" s="2368" t="s">
        <v>216</v>
      </c>
      <c r="G21" s="2519"/>
    </row>
    <row r="22" ht="27" spans="1:7">
      <c r="A22" s="1223"/>
      <c r="B22" s="952" t="s">
        <v>214</v>
      </c>
      <c r="C22" s="774" t="str">
        <f>C8</f>
        <v>估价对象所在区域红线外基础设施水平六通一平</v>
      </c>
      <c r="D22" s="2491"/>
      <c r="E22" s="2517"/>
      <c r="F22" s="2368" t="s">
        <v>568</v>
      </c>
      <c r="G22" s="2520"/>
    </row>
    <row r="23" s="2472" customFormat="1" ht="15.75" spans="1:18">
      <c r="A23" s="1223"/>
      <c r="B23" s="2368" t="s">
        <v>216</v>
      </c>
      <c r="C23" s="2519"/>
      <c r="D23" s="2477"/>
      <c r="E23" s="2521"/>
      <c r="F23" s="2407" t="s">
        <v>572</v>
      </c>
      <c r="G23" s="2522"/>
      <c r="H23" s="2477"/>
      <c r="I23" s="2478"/>
      <c r="J23" s="2477"/>
      <c r="K23" s="2477"/>
      <c r="L23" s="2478"/>
      <c r="M23" s="2477"/>
      <c r="N23" s="2477"/>
      <c r="O23" s="2478"/>
      <c r="P23" s="2477"/>
      <c r="Q23" s="2477"/>
      <c r="R23" s="2479"/>
    </row>
    <row r="24" s="2472" customFormat="1" ht="15.75" spans="1:18">
      <c r="A24" s="2523"/>
      <c r="B24" s="2407" t="s">
        <v>568</v>
      </c>
      <c r="C24" s="821" t="str">
        <f>C10</f>
        <v>城市主干道——东三环中路</v>
      </c>
      <c r="D24" s="2477"/>
      <c r="E24" s="2524"/>
      <c r="F24" s="2524"/>
      <c r="G24" s="2525"/>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333333333333" defaultRowHeight="13.5"/>
  <cols>
    <col min="1" max="1" width="24.3833333333333" customWidth="1"/>
  </cols>
  <sheetData>
    <row r="1" ht="16.5" spans="1:7">
      <c r="A1" s="2460" t="s">
        <v>573</v>
      </c>
      <c r="B1" s="2460">
        <f>SUM(B14:B23)</f>
        <v>223.88</v>
      </c>
      <c r="C1" s="2461"/>
      <c r="D1" s="2461"/>
      <c r="E1" s="2461"/>
      <c r="F1" s="2461"/>
      <c r="G1" s="2462"/>
    </row>
    <row r="2" ht="16.5" spans="1:7">
      <c r="A2" s="2460" t="s">
        <v>574</v>
      </c>
      <c r="B2" s="2460">
        <f>SUM(C14:C23)</f>
        <v>0</v>
      </c>
      <c r="C2" s="2461"/>
      <c r="D2" s="2461"/>
      <c r="E2" s="2461"/>
      <c r="F2" s="2461"/>
      <c r="G2" s="2462"/>
    </row>
    <row r="3" ht="16.5" spans="1:7">
      <c r="A3" s="2460" t="s">
        <v>575</v>
      </c>
      <c r="B3" s="2463">
        <f>项目基本情况!D2</f>
        <v>43426</v>
      </c>
      <c r="C3" s="2461"/>
      <c r="D3" s="2461"/>
      <c r="E3" s="2461"/>
      <c r="F3" s="2461"/>
      <c r="G3" s="2462"/>
    </row>
    <row r="4" ht="33" spans="1:7">
      <c r="A4" s="2460" t="s">
        <v>576</v>
      </c>
      <c r="B4" s="2460" t="s">
        <v>577</v>
      </c>
      <c r="C4" s="2460" t="s">
        <v>578</v>
      </c>
      <c r="D4" s="2460" t="s">
        <v>579</v>
      </c>
      <c r="E4" s="2461"/>
      <c r="F4" s="2462"/>
      <c r="G4" s="2462"/>
    </row>
    <row r="5" ht="16.5" spans="1:7">
      <c r="A5" s="2460" t="s">
        <v>580</v>
      </c>
      <c r="B5" s="2460">
        <f ca="1">SUM(D14:D23)</f>
        <v>0</v>
      </c>
      <c r="C5" s="2460">
        <f ca="1">ROUND(B5*10000/$B$1,0)</f>
        <v>0</v>
      </c>
      <c r="D5" s="2460" t="e">
        <f ca="1">ROUND(B5*10000/$B$2,0)</f>
        <v>#DIV/0!</v>
      </c>
      <c r="E5" s="2461"/>
      <c r="F5" s="2462"/>
      <c r="G5" s="2462"/>
    </row>
    <row r="6" ht="16.5" spans="1:7">
      <c r="A6" s="2460" t="s">
        <v>581</v>
      </c>
      <c r="B6" s="2460">
        <f ca="1">SUM(G14:G23)</f>
        <v>0</v>
      </c>
      <c r="C6" s="2460">
        <f ca="1" t="shared" ref="C6:C8" si="0">ROUND(B6*10000/$B$1,0)</f>
        <v>0</v>
      </c>
      <c r="D6" s="2460" t="e">
        <f ca="1" t="shared" ref="D6:D8" si="1">ROUND(B6*10000/$B$2,0)</f>
        <v>#DIV/0!</v>
      </c>
      <c r="E6" s="2461"/>
      <c r="F6" s="2462"/>
      <c r="G6" s="2462"/>
    </row>
    <row r="7" ht="16.5" spans="1:7">
      <c r="A7" s="2460" t="s">
        <v>582</v>
      </c>
      <c r="B7" s="2460" t="e">
        <f ca="1">SUM(H14:H23)</f>
        <v>#VALUE!</v>
      </c>
      <c r="C7" s="2460" t="e">
        <f ca="1">ROUND(B7*10000/$B$1,0)</f>
        <v>#VALUE!</v>
      </c>
      <c r="D7" s="2460" t="e">
        <f ca="1" t="shared" si="1"/>
        <v>#VALUE!</v>
      </c>
      <c r="E7" s="2461"/>
      <c r="F7" s="2462"/>
      <c r="G7" s="2462"/>
    </row>
    <row r="8" ht="16.5" spans="1:7">
      <c r="A8" s="2460" t="s">
        <v>583</v>
      </c>
      <c r="B8" s="2460" t="e">
        <f ca="1">SUM(I14:I23)</f>
        <v>#VALUE!</v>
      </c>
      <c r="C8" s="2460" t="e">
        <f ca="1" t="shared" si="0"/>
        <v>#VALUE!</v>
      </c>
      <c r="D8" s="2460" t="e">
        <f ca="1" t="shared" si="1"/>
        <v>#VALUE!</v>
      </c>
      <c r="E8" s="2461"/>
      <c r="F8" s="2462"/>
      <c r="G8" s="2462"/>
    </row>
    <row r="9" ht="16.5" spans="1:7">
      <c r="A9" s="2460" t="s">
        <v>584</v>
      </c>
      <c r="B9" s="2464"/>
      <c r="C9" s="2461"/>
      <c r="D9" s="2461"/>
      <c r="E9" s="2461"/>
      <c r="F9" s="2462"/>
      <c r="G9" s="2462"/>
    </row>
    <row r="10" ht="16.5" spans="1:7">
      <c r="A10" s="2460" t="s">
        <v>585</v>
      </c>
      <c r="B10" s="2464"/>
      <c r="C10" s="2461"/>
      <c r="D10" s="2461"/>
      <c r="E10" s="2461"/>
      <c r="F10" s="2462"/>
      <c r="G10" s="2462"/>
    </row>
    <row r="11" ht="16.5" spans="1:7">
      <c r="A11" s="2460" t="s">
        <v>586</v>
      </c>
      <c r="B11" s="2464"/>
      <c r="C11" s="2461"/>
      <c r="D11" s="2461"/>
      <c r="E11" s="2461"/>
      <c r="F11" s="2462"/>
      <c r="G11" s="2462"/>
    </row>
    <row r="12" ht="16.5" spans="1:7">
      <c r="A12" s="2461"/>
      <c r="B12" s="2461"/>
      <c r="C12" s="2461"/>
      <c r="D12" s="2461"/>
      <c r="E12" s="2461"/>
      <c r="F12" s="2462"/>
      <c r="G12" s="2462"/>
    </row>
    <row r="13" ht="33" spans="1:9">
      <c r="A13" s="2465" t="s">
        <v>587</v>
      </c>
      <c r="B13" s="2466" t="s">
        <v>573</v>
      </c>
      <c r="C13" s="2466" t="s">
        <v>574</v>
      </c>
      <c r="D13" s="2466" t="s">
        <v>588</v>
      </c>
      <c r="E13" s="2460" t="s">
        <v>578</v>
      </c>
      <c r="F13" s="2460" t="s">
        <v>579</v>
      </c>
      <c r="G13" s="2466" t="s">
        <v>589</v>
      </c>
      <c r="H13" s="2466" t="s">
        <v>590</v>
      </c>
      <c r="I13" s="2466" t="s">
        <v>591</v>
      </c>
    </row>
    <row r="14" ht="16.5" spans="1:9">
      <c r="A14" s="2467" t="s">
        <v>592</v>
      </c>
      <c r="B14" s="2466">
        <f>项目基本情况!C12</f>
        <v>223.88</v>
      </c>
      <c r="C14" s="2466">
        <f>项目基本情况!C13</f>
        <v>0</v>
      </c>
      <c r="D14" s="2466">
        <f ca="1">IF('数据-取费表'!B3="万元",IF(A14="估价对象1（结果表）",结果表!H121,'结果表 (1修多)'!H124),IF(A14="估价对象1（结果表）",结果表!H121,'结果表 (1修多)'!H124)/10000)</f>
        <v>0</v>
      </c>
      <c r="E14" s="2466">
        <f ca="1">ROUND(D14*10000/B14,0)</f>
        <v>0</v>
      </c>
      <c r="F14" s="2466" t="e">
        <f ca="1">ROUND(D14*10000/C14,0)</f>
        <v>#DIV/0!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6.5" spans="1:9">
      <c r="A15" s="2468" t="s">
        <v>593</v>
      </c>
      <c r="B15" s="2469"/>
      <c r="C15" s="2469"/>
      <c r="D15" s="2469"/>
      <c r="E15" s="2466" t="e">
        <f t="shared" ref="E15:E23" si="2">ROUND(D15*10000/B15,0)</f>
        <v>#DIV/0!</v>
      </c>
      <c r="F15" s="2466" t="e">
        <f t="shared" ref="F15:F23" si="3">ROUND(D15*10000/C15,0)</f>
        <v>#DIV/0!</v>
      </c>
      <c r="G15" s="2470"/>
      <c r="H15" s="2470"/>
      <c r="I15" s="2469"/>
    </row>
    <row r="16" ht="16.5" spans="1:9">
      <c r="A16" s="2468" t="s">
        <v>594</v>
      </c>
      <c r="B16" s="2469"/>
      <c r="C16" s="2469"/>
      <c r="D16" s="2469"/>
      <c r="E16" s="2466" t="e">
        <f t="shared" si="2"/>
        <v>#DIV/0!</v>
      </c>
      <c r="F16" s="2466" t="e">
        <f t="shared" si="3"/>
        <v>#DIV/0!</v>
      </c>
      <c r="G16" s="2470"/>
      <c r="H16" s="2470"/>
      <c r="I16" s="2469"/>
    </row>
    <row r="17" ht="16.5" spans="1:9">
      <c r="A17" s="2468" t="s">
        <v>595</v>
      </c>
      <c r="B17" s="2469"/>
      <c r="C17" s="2469"/>
      <c r="D17" s="2469"/>
      <c r="E17" s="2466" t="e">
        <f t="shared" si="2"/>
        <v>#DIV/0!</v>
      </c>
      <c r="F17" s="2466" t="e">
        <f t="shared" si="3"/>
        <v>#DIV/0!</v>
      </c>
      <c r="G17" s="2470"/>
      <c r="H17" s="2470"/>
      <c r="I17" s="2469"/>
    </row>
    <row r="18" ht="16.5" spans="1:9">
      <c r="A18" s="2468" t="s">
        <v>596</v>
      </c>
      <c r="B18" s="2469"/>
      <c r="C18" s="2469"/>
      <c r="D18" s="2469"/>
      <c r="E18" s="2466" t="e">
        <f t="shared" si="2"/>
        <v>#DIV/0!</v>
      </c>
      <c r="F18" s="2466" t="e">
        <f t="shared" si="3"/>
        <v>#DIV/0!</v>
      </c>
      <c r="G18" s="2469"/>
      <c r="H18" s="2469"/>
      <c r="I18" s="2469"/>
    </row>
    <row r="19" ht="16.5" spans="1:9">
      <c r="A19" s="2468" t="s">
        <v>597</v>
      </c>
      <c r="B19" s="2469"/>
      <c r="C19" s="2469"/>
      <c r="D19" s="2469"/>
      <c r="E19" s="2466" t="e">
        <f t="shared" si="2"/>
        <v>#DIV/0!</v>
      </c>
      <c r="F19" s="2466" t="e">
        <f t="shared" si="3"/>
        <v>#DIV/0!</v>
      </c>
      <c r="G19" s="2469"/>
      <c r="H19" s="2469"/>
      <c r="I19" s="2469"/>
    </row>
    <row r="20" ht="16.5" spans="1:9">
      <c r="A20" s="2468" t="s">
        <v>598</v>
      </c>
      <c r="B20" s="2469"/>
      <c r="C20" s="2469"/>
      <c r="D20" s="2469"/>
      <c r="E20" s="2466" t="e">
        <f t="shared" si="2"/>
        <v>#DIV/0!</v>
      </c>
      <c r="F20" s="2466" t="e">
        <f t="shared" si="3"/>
        <v>#DIV/0!</v>
      </c>
      <c r="G20" s="2469"/>
      <c r="H20" s="2469"/>
      <c r="I20" s="2469"/>
    </row>
    <row r="21" ht="16.5" spans="1:9">
      <c r="A21" s="2468" t="s">
        <v>599</v>
      </c>
      <c r="B21" s="2469"/>
      <c r="C21" s="2469"/>
      <c r="D21" s="2469"/>
      <c r="E21" s="2466" t="e">
        <f t="shared" si="2"/>
        <v>#DIV/0!</v>
      </c>
      <c r="F21" s="2466" t="e">
        <f t="shared" si="3"/>
        <v>#DIV/0!</v>
      </c>
      <c r="G21" s="2469"/>
      <c r="H21" s="2469"/>
      <c r="I21" s="2469"/>
    </row>
    <row r="22" ht="16.5" spans="1:9">
      <c r="A22" s="2468" t="s">
        <v>600</v>
      </c>
      <c r="B22" s="2469"/>
      <c r="C22" s="2469"/>
      <c r="D22" s="2469"/>
      <c r="E22" s="2466" t="e">
        <f t="shared" si="2"/>
        <v>#DIV/0!</v>
      </c>
      <c r="F22" s="2466" t="e">
        <f t="shared" si="3"/>
        <v>#DIV/0!</v>
      </c>
      <c r="G22" s="2469"/>
      <c r="H22" s="2469"/>
      <c r="I22" s="2469"/>
    </row>
    <row r="23" ht="16.5" spans="1:9">
      <c r="A23" s="2468" t="s">
        <v>601</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L25" sqref="L25"/>
    </sheetView>
  </sheetViews>
  <sheetFormatPr defaultColWidth="12.6333333333333" defaultRowHeight="21.75" customHeight="1"/>
  <cols>
    <col min="1" max="2" width="12.6333333333333" style="2050"/>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3.5" spans="1:9">
      <c r="A3" s="2054" t="s">
        <v>603</v>
      </c>
      <c r="B3" s="1704"/>
      <c r="C3" s="1704"/>
      <c r="D3" s="1704"/>
      <c r="E3" s="1704"/>
      <c r="F3" s="1704"/>
      <c r="G3" s="1704"/>
      <c r="H3" s="1704"/>
      <c r="I3" s="1704"/>
    </row>
    <row r="4" ht="14.25" spans="1:12">
      <c r="A4" s="2055" t="s">
        <v>604</v>
      </c>
      <c r="B4" s="2056" t="s">
        <v>605</v>
      </c>
      <c r="C4" s="2057" t="s">
        <v>606</v>
      </c>
      <c r="D4" s="2057" t="s">
        <v>607</v>
      </c>
      <c r="E4" s="2058" t="s">
        <v>608</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ht="13.5" spans="1:9">
      <c r="A5" s="2059" t="s">
        <v>609</v>
      </c>
      <c r="B5" s="952">
        <v>25</v>
      </c>
      <c r="C5" s="2060">
        <v>3</v>
      </c>
      <c r="D5" s="2061">
        <f>10-C5</f>
        <v>7</v>
      </c>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3</v>
      </c>
      <c r="D17" s="2067">
        <f>SUM(D5:D16)</f>
        <v>7</v>
      </c>
      <c r="E17" s="2052"/>
      <c r="F17" s="2052"/>
      <c r="G17" s="2052"/>
      <c r="H17" s="2052"/>
      <c r="I17" s="2052"/>
    </row>
    <row r="18" ht="15" spans="1:9">
      <c r="A18" s="2068" t="s">
        <v>627</v>
      </c>
      <c r="B18" s="2069"/>
      <c r="C18" s="2070">
        <f>ROUND(C17/SUM(C17:D17),2)</f>
        <v>0.3</v>
      </c>
      <c r="D18" s="2070">
        <f>1-C18</f>
        <v>0.7</v>
      </c>
      <c r="E18" s="2052"/>
      <c r="F18" s="2052"/>
      <c r="G18" s="2052"/>
      <c r="H18" s="2052"/>
      <c r="I18" s="2052"/>
    </row>
    <row r="19" ht="14.25" spans="1:9">
      <c r="A19" s="2071" t="s">
        <v>628</v>
      </c>
      <c r="B19" s="2072" t="s">
        <v>629</v>
      </c>
      <c r="C19" s="2073">
        <f ca="1">SUMIF(INDIRECT("'"&amp;C4&amp;"'"&amp;"!A:A"),结果表!B19,INDIRECT("'"&amp;C4&amp;"'"&amp;"!B:B"))</f>
        <v>13968218</v>
      </c>
      <c r="D19" s="2074">
        <f ca="1">SUMIF(INDIRECT("'"&amp;D4&amp;"'"&amp;"!A:A"),结果表!B19,INDIRECT("'"&amp;D4&amp;"'"&amp;"!B:B"))</f>
        <v>10044006</v>
      </c>
      <c r="E19" s="2071" t="s">
        <v>630</v>
      </c>
      <c r="F19" s="2072" t="s">
        <v>629</v>
      </c>
      <c r="G19" s="2075">
        <f ca="1">ROUND(C19*$C$18+D19*$D$18,0)</f>
        <v>11221270</v>
      </c>
      <c r="H19" s="2076" t="str">
        <f>'数据-取费表'!B3</f>
        <v>元</v>
      </c>
      <c r="I19" s="2052"/>
    </row>
    <row r="20" ht="15" spans="1:9">
      <c r="A20" s="2077"/>
      <c r="B20" s="2078" t="s">
        <v>631</v>
      </c>
      <c r="C20" s="1113">
        <f ca="1">SUMIF(INDIRECT("'"&amp;C4&amp;"'"&amp;"!A:A"),结果表!B20,INDIRECT("'"&amp;C4&amp;"'"&amp;"!B:B"))</f>
        <v>62392</v>
      </c>
      <c r="D20" s="1392">
        <f ca="1">SUMIF(INDIRECT("'"&amp;D4&amp;"'"&amp;"!A:A"),结果表!B20,INDIRECT("'"&amp;D4&amp;"'"&amp;"!B:B"))</f>
        <v>44863</v>
      </c>
      <c r="E20" s="2077"/>
      <c r="F20" s="2078" t="s">
        <v>631</v>
      </c>
      <c r="G20" s="2079">
        <f ca="1">ROUND(C20*$C$18+D20*$D$18,0)</f>
        <v>50122</v>
      </c>
      <c r="H20" s="2080" t="s">
        <v>632</v>
      </c>
      <c r="I20" s="2052"/>
    </row>
    <row r="21" ht="15" customHeight="1" spans="1:11">
      <c r="A21" s="2081"/>
      <c r="B21" s="2082"/>
      <c r="C21" s="2083"/>
      <c r="D21" s="2084"/>
      <c r="E21" s="2081"/>
      <c r="F21" s="2082"/>
      <c r="G21" s="2085"/>
      <c r="H21" s="2086"/>
      <c r="I21" s="2052"/>
      <c r="K21" s="1433">
        <f>50122*223.88</f>
        <v>11221313.36</v>
      </c>
    </row>
    <row r="22" ht="15" spans="1:9">
      <c r="A22" s="2087" t="s">
        <v>633</v>
      </c>
      <c r="B22" s="2088"/>
      <c r="C22" s="2089"/>
      <c r="D22" s="2090">
        <f ca="1">IF(C19&lt;D19,D19/C19-1,C19/D19-1)</f>
        <v>0.390701877318671</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c r="B27" s="2097">
        <v>0</v>
      </c>
      <c r="C27" s="2097">
        <v>0</v>
      </c>
      <c r="D27" s="2098">
        <f>ROUND(C27*B27/10000,0)</f>
        <v>0</v>
      </c>
      <c r="E27" s="2052"/>
      <c r="F27" s="2052"/>
      <c r="G27" s="2052"/>
      <c r="H27" s="2052"/>
      <c r="I27" s="2052"/>
    </row>
    <row r="28" ht="14.25" spans="1:9">
      <c r="A28" s="2096"/>
      <c r="B28" s="2097"/>
      <c r="C28" s="2097"/>
      <c r="D28" s="2098">
        <f t="shared" ref="D28:D29" si="0">ROUND(C28*B28/10000,0)</f>
        <v>0</v>
      </c>
      <c r="E28" s="2052"/>
      <c r="F28" s="2052"/>
      <c r="G28" s="2052"/>
      <c r="H28" s="2052"/>
      <c r="I28" s="2052"/>
    </row>
    <row r="29" ht="14.25" spans="1:9">
      <c r="A29" s="2096"/>
      <c r="B29" s="2097"/>
      <c r="C29" s="2097"/>
      <c r="D29" s="2098">
        <f t="shared" si="0"/>
        <v>0</v>
      </c>
      <c r="E29" s="2052"/>
      <c r="F29" s="2052"/>
      <c r="G29" s="2052"/>
      <c r="H29" s="2052"/>
      <c r="I29" s="2052"/>
    </row>
    <row r="30" ht="14.25" spans="1:9">
      <c r="A30" s="2097" t="s">
        <v>639</v>
      </c>
      <c r="B30" s="2097"/>
      <c r="C30" s="2097"/>
      <c r="D30" s="2097"/>
      <c r="E30" s="2102" t="s">
        <v>640</v>
      </c>
      <c r="F30" s="2052"/>
      <c r="G30" s="2052"/>
      <c r="H30" s="2052"/>
      <c r="I30" s="2052"/>
    </row>
    <row r="31" s="2047" customFormat="1" ht="1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75" spans="1:9">
      <c r="A32" s="2436" t="s">
        <v>641</v>
      </c>
      <c r="B32" s="2437" t="str">
        <f>'数据-取费表'!B4</f>
        <v>楼面单价</v>
      </c>
      <c r="C32" s="2438">
        <f ca="1">IF(B32="总价",G19-C24,G20-C25)</f>
        <v>50122</v>
      </c>
      <c r="D32" s="2052" t="str">
        <f>IF(B32="楼面单价","元/平方米",H19)</f>
        <v>元/平方米</v>
      </c>
      <c r="E32" s="2052"/>
      <c r="F32" s="2052"/>
      <c r="G32" s="2052"/>
      <c r="H32" s="2052"/>
      <c r="I32" s="2052"/>
    </row>
    <row r="33" ht="15" spans="1:9">
      <c r="A33" s="2439" t="s">
        <v>642</v>
      </c>
      <c r="B33" s="2440"/>
      <c r="C33" s="2441"/>
      <c r="D33" s="2442"/>
      <c r="E33" s="2443" t="s">
        <v>643</v>
      </c>
      <c r="F33" s="2444" t="str">
        <f>IF(B32="楼面单价","取值（单价）","取值（总价）")</f>
        <v>取值（单价）</v>
      </c>
      <c r="G33" s="2052"/>
      <c r="H33" s="2052"/>
      <c r="I33" s="2052"/>
    </row>
    <row r="34" ht="15" spans="1:9">
      <c r="A34" s="2445"/>
      <c r="B34" s="2446" t="s">
        <v>644</v>
      </c>
      <c r="C34" s="2447">
        <f ca="1">IF(D33="自定义",F34,C32-C35)</f>
        <v>45411</v>
      </c>
      <c r="D34" s="2448">
        <f ca="1">IF(D33="自定义",ROUND(C34/C32,3),1-D35)</f>
        <v>0.906</v>
      </c>
      <c r="E34" s="2449" t="s">
        <v>645</v>
      </c>
      <c r="F34" s="2450">
        <v>2000</v>
      </c>
      <c r="G34" s="2052"/>
      <c r="H34" s="2052"/>
      <c r="I34" s="2052"/>
    </row>
    <row r="35" ht="15.75" spans="1:9">
      <c r="A35" s="2116"/>
      <c r="B35" s="2451" t="s">
        <v>646</v>
      </c>
      <c r="C35" s="2452">
        <f ca="1">IF(D33="自定义",F35,ROUND(C32*D35,0))</f>
        <v>4711</v>
      </c>
      <c r="D35" s="2453">
        <f ca="1">IF(D33="自定义",ROUND(C35/C32,3),IF(D33="成本法成本比率",成本法!C56,IF(D33="收益法收益比率",收益法!J38,收益法!J41)))</f>
        <v>0.094</v>
      </c>
      <c r="E35" s="2454" t="s">
        <v>647</v>
      </c>
      <c r="F35" s="2140">
        <v>4460</v>
      </c>
      <c r="G35" s="2052"/>
      <c r="H35" s="2052"/>
      <c r="I35" s="2052"/>
    </row>
    <row r="36" ht="15.75" spans="1:9">
      <c r="A36" s="2119" t="s">
        <v>648</v>
      </c>
      <c r="B36" s="2120" t="s">
        <v>649</v>
      </c>
      <c r="C36" s="2121">
        <v>0</v>
      </c>
      <c r="D36" s="2122"/>
      <c r="E36" s="2123"/>
      <c r="F36" s="2123"/>
      <c r="G36" s="2052"/>
      <c r="H36" s="2052"/>
      <c r="I36" s="2052"/>
    </row>
    <row r="37" ht="15.75" spans="1:9">
      <c r="A37" s="2124"/>
      <c r="B37" s="2125" t="s">
        <v>650</v>
      </c>
      <c r="C37" s="2126">
        <v>0</v>
      </c>
      <c r="D37" s="2069"/>
      <c r="E37" s="2069"/>
      <c r="F37" s="2123"/>
      <c r="G37" s="2069"/>
      <c r="H37" s="2069"/>
      <c r="I37" s="2069"/>
    </row>
    <row r="38" ht="15.75" spans="1:9">
      <c r="A38" s="2127"/>
      <c r="B38" s="2128" t="s">
        <v>651</v>
      </c>
      <c r="C38" s="2129">
        <v>0</v>
      </c>
      <c r="D38" s="2130" t="s">
        <v>652</v>
      </c>
      <c r="E38" s="2069"/>
      <c r="F38" s="2123"/>
      <c r="G38" s="2069"/>
      <c r="H38" s="2069"/>
      <c r="I38" s="2069"/>
    </row>
    <row r="39" ht="14.25" spans="1:9">
      <c r="A39" s="2077" t="s">
        <v>653</v>
      </c>
      <c r="B39" s="2131" t="s">
        <v>636</v>
      </c>
      <c r="C39" s="2132" t="s">
        <v>637</v>
      </c>
      <c r="D39" s="2132" t="s">
        <v>654</v>
      </c>
      <c r="E39" s="2133" t="s">
        <v>638</v>
      </c>
      <c r="F39" s="2123"/>
      <c r="G39" s="2069"/>
      <c r="H39" s="2069"/>
      <c r="I39" s="2069"/>
    </row>
    <row r="40" ht="14.25" spans="1:9">
      <c r="A40" s="2134" t="s">
        <v>655</v>
      </c>
      <c r="B40" s="2135"/>
      <c r="C40" s="1491"/>
      <c r="D40" s="1491"/>
      <c r="E40" s="2136"/>
      <c r="F40" s="2123"/>
      <c r="G40" s="2069"/>
      <c r="H40" s="2069"/>
      <c r="I40" s="2069"/>
    </row>
    <row r="41" ht="14.25" spans="1:9">
      <c r="A41" s="2134" t="s">
        <v>656</v>
      </c>
      <c r="B41" s="2135"/>
      <c r="C41" s="1491"/>
      <c r="D41" s="1491"/>
      <c r="E41" s="2136"/>
      <c r="F41" s="2123"/>
      <c r="G41" s="2069"/>
      <c r="H41" s="2069"/>
      <c r="I41" s="2069"/>
    </row>
    <row r="42" ht="15" spans="1:9">
      <c r="A42" s="2137"/>
      <c r="B42" s="2138"/>
      <c r="C42" s="2139"/>
      <c r="D42" s="2139"/>
      <c r="E42" s="2140"/>
      <c r="F42" s="2123"/>
      <c r="G42" s="2069"/>
      <c r="H42" s="2069"/>
      <c r="I42" s="2069"/>
    </row>
    <row r="43" ht="13.5" spans="1:9">
      <c r="A43" s="2141"/>
      <c r="B43" s="2141"/>
      <c r="C43" s="2141"/>
      <c r="D43" s="2141"/>
      <c r="E43" s="2141"/>
      <c r="F43" s="2142"/>
      <c r="G43" s="2142"/>
      <c r="H43" s="2142"/>
      <c r="I43" s="2204"/>
    </row>
    <row r="44" ht="18.75" spans="1:16">
      <c r="A44" s="2143" t="s">
        <v>657</v>
      </c>
      <c r="B44" s="2144"/>
      <c r="C44" s="2144"/>
      <c r="D44" s="2145"/>
      <c r="E44" s="2145"/>
      <c r="F44" s="2146"/>
      <c r="G44" s="2146"/>
      <c r="H44" s="2146"/>
      <c r="I44" s="2146"/>
      <c r="J44" s="2205" t="s">
        <v>658</v>
      </c>
      <c r="K44" s="2206"/>
      <c r="L44" s="2206"/>
      <c r="M44" s="2206"/>
      <c r="N44" s="2206"/>
      <c r="O44" s="2206"/>
      <c r="P44" s="2049"/>
    </row>
    <row r="45" ht="14.25" customHeight="1" spans="1:16">
      <c r="A45" s="2147" t="s">
        <v>659</v>
      </c>
      <c r="B45" s="2148"/>
      <c r="C45" s="2149"/>
      <c r="D45" s="1652">
        <f ca="1">ROUND(I102*F45,0)</f>
        <v>11221313</v>
      </c>
      <c r="E45" s="2150" t="s">
        <v>660</v>
      </c>
      <c r="F45" s="2151">
        <v>1</v>
      </c>
      <c r="G45" s="2152" t="s">
        <v>661</v>
      </c>
      <c r="H45" s="2052"/>
      <c r="I45" s="2052"/>
      <c r="J45" s="2207" t="s">
        <v>662</v>
      </c>
      <c r="K45" s="2207"/>
      <c r="L45" s="2207"/>
      <c r="M45" s="2207"/>
      <c r="N45" s="2207"/>
      <c r="O45" s="2207"/>
      <c r="P45" s="2049"/>
    </row>
    <row r="46" ht="14.25" customHeight="1" spans="1:16">
      <c r="A46" s="2153" t="s">
        <v>663</v>
      </c>
      <c r="B46" s="2154"/>
      <c r="C46" s="2154"/>
      <c r="D46" s="2154"/>
      <c r="E46" s="2154"/>
      <c r="F46" s="2154"/>
      <c r="G46" s="2155"/>
      <c r="H46" s="2156"/>
      <c r="I46" s="1435"/>
      <c r="J46" s="1558">
        <v>1</v>
      </c>
      <c r="K46" s="2207" t="s">
        <v>664</v>
      </c>
      <c r="L46" s="2207"/>
      <c r="M46" s="2210" t="str">
        <f>项目基本情况!B1</f>
        <v>北京市房地产市场价值预评估</v>
      </c>
      <c r="N46" s="2210"/>
      <c r="O46" s="2210"/>
      <c r="P46" s="2049"/>
    </row>
    <row r="47" ht="12" customHeight="1" spans="1:16">
      <c r="A47" s="2157" t="s">
        <v>665</v>
      </c>
      <c r="B47" s="2158"/>
      <c r="C47" s="2159"/>
      <c r="D47" s="2160" t="s">
        <v>666</v>
      </c>
      <c r="E47" s="1484" t="s">
        <v>667</v>
      </c>
      <c r="F47" s="1868" t="s">
        <v>668</v>
      </c>
      <c r="G47" s="2161" t="s">
        <v>669</v>
      </c>
      <c r="H47" s="2156"/>
      <c r="I47" s="1435"/>
      <c r="J47" s="1558">
        <v>2</v>
      </c>
      <c r="K47" s="2207" t="s">
        <v>670</v>
      </c>
      <c r="L47" s="2207"/>
      <c r="M47" s="2209">
        <f>'数据-取费表'!B2</f>
        <v>43426</v>
      </c>
      <c r="N47" s="2209"/>
      <c r="O47" s="2209"/>
      <c r="P47" s="2049"/>
    </row>
    <row r="48" ht="24.75" spans="1:16">
      <c r="A48" s="2162" t="s">
        <v>671</v>
      </c>
      <c r="B48" s="1707"/>
      <c r="C48" s="1707"/>
      <c r="D48" s="1694">
        <f ca="1">IF(H48="情况1",0,IF(H48="情况2",D52,IF(H48="情况3",D53,IF(H48="情况4",D54))))</f>
        <v>598470</v>
      </c>
      <c r="E48" s="1707" t="str">
        <f>IF(H48="情况4","(销售额-原购置价)×税（费）率","销售额×税（费）率")</f>
        <v>销售额×税（费）率</v>
      </c>
      <c r="F48" s="2163">
        <f>IF(H48="情况1","免征",'数据-取费表'!E29)</f>
        <v>0.056</v>
      </c>
      <c r="G48" s="2164" t="s">
        <v>672</v>
      </c>
      <c r="H48" s="2165" t="s">
        <v>673</v>
      </c>
      <c r="I48" s="2156"/>
      <c r="J48" s="1558">
        <v>3</v>
      </c>
      <c r="K48" s="2207" t="s">
        <v>674</v>
      </c>
      <c r="L48" s="2207"/>
      <c r="M48" s="2210">
        <f ca="1">I102</f>
        <v>11221313</v>
      </c>
      <c r="N48" s="2210"/>
      <c r="O48" s="2210"/>
      <c r="P48" s="2049"/>
    </row>
    <row r="49" ht="25.5" customHeight="1" spans="1:16">
      <c r="A49" s="2166" t="s">
        <v>675</v>
      </c>
      <c r="B49" s="1687" t="s">
        <v>676</v>
      </c>
      <c r="C49" s="1687"/>
      <c r="D49" s="1748">
        <v>0</v>
      </c>
      <c r="E49" s="2167" t="s">
        <v>677</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678</v>
      </c>
      <c r="C50" s="1687"/>
      <c r="D50" s="1774"/>
      <c r="E50" s="2171"/>
      <c r="F50" s="2172"/>
      <c r="G50" s="2173"/>
      <c r="H50" s="2052"/>
      <c r="I50" s="2211"/>
      <c r="J50" s="2207" t="s">
        <v>679</v>
      </c>
      <c r="K50" s="2207"/>
      <c r="L50" s="2207"/>
      <c r="M50" s="2207"/>
      <c r="N50" s="2207"/>
      <c r="O50" s="2207"/>
      <c r="P50" s="2049"/>
    </row>
    <row r="51" ht="12" customHeight="1" spans="1:16">
      <c r="A51" s="2174"/>
      <c r="B51" s="1687" t="s">
        <v>680</v>
      </c>
      <c r="C51" s="1687"/>
      <c r="D51" s="2175"/>
      <c r="E51" s="459"/>
      <c r="F51" s="2172"/>
      <c r="G51" s="2176"/>
      <c r="H51" s="2052"/>
      <c r="I51" s="2211"/>
      <c r="J51" s="2207" t="s">
        <v>681</v>
      </c>
      <c r="K51" s="2207" t="s">
        <v>682</v>
      </c>
      <c r="L51" s="2207"/>
      <c r="M51" s="2207" t="s">
        <v>683</v>
      </c>
      <c r="N51" s="2207" t="s">
        <v>684</v>
      </c>
      <c r="O51" s="2207" t="s">
        <v>685</v>
      </c>
      <c r="P51" s="2049"/>
    </row>
    <row r="52" ht="24" customHeight="1" spans="1:16">
      <c r="A52" s="2177" t="s">
        <v>686</v>
      </c>
      <c r="B52" s="1687" t="s">
        <v>687</v>
      </c>
      <c r="C52" s="1687"/>
      <c r="D52" s="2175">
        <f ca="1">ROUND(D45*'数据-取费表'!E29/(1+'数据-取费表'!F30),0)</f>
        <v>598470</v>
      </c>
      <c r="E52" s="1487" t="s">
        <v>688</v>
      </c>
      <c r="F52" s="2178">
        <f>'数据-取费表'!E29</f>
        <v>0.056</v>
      </c>
      <c r="G52" s="2179"/>
      <c r="H52" s="2052"/>
      <c r="I52" s="2211"/>
      <c r="J52" s="1558">
        <v>1</v>
      </c>
      <c r="K52" s="1558" t="s">
        <v>689</v>
      </c>
      <c r="L52" s="1558"/>
      <c r="M52" s="2212">
        <f ca="1">D48</f>
        <v>598470</v>
      </c>
      <c r="N52" s="1558" t="str">
        <f>E48</f>
        <v>销售额×税（费）率</v>
      </c>
      <c r="O52" s="2213">
        <f>F48</f>
        <v>0.056</v>
      </c>
      <c r="P52" s="2049"/>
    </row>
    <row r="53" ht="12" customHeight="1" spans="1:16">
      <c r="A53" s="2177" t="s">
        <v>690</v>
      </c>
      <c r="B53" s="1686" t="s">
        <v>691</v>
      </c>
      <c r="C53" s="2180"/>
      <c r="D53" s="2175">
        <f ca="1">ROUND(D45*'数据-取费表'!E29/(1+'数据-取费表'!F30),0)</f>
        <v>598470</v>
      </c>
      <c r="E53" s="1487" t="s">
        <v>688</v>
      </c>
      <c r="F53" s="2178">
        <f>'数据-取费表'!E29</f>
        <v>0.056</v>
      </c>
      <c r="G53" s="2179"/>
      <c r="H53" s="2052"/>
      <c r="I53" s="2211"/>
      <c r="J53" s="1558">
        <v>2</v>
      </c>
      <c r="K53" s="1558" t="s">
        <v>692</v>
      </c>
      <c r="L53" s="1558"/>
      <c r="M53" s="2212">
        <f ca="1" t="shared" ref="M53:O54" si="1">D55</f>
        <v>5611</v>
      </c>
      <c r="N53" s="1558" t="str">
        <f ca="1" t="shared" si="1"/>
        <v>销售额×税（费）率</v>
      </c>
      <c r="O53" s="2213">
        <f ca="1" t="shared" si="1"/>
        <v>0.0005</v>
      </c>
      <c r="P53" s="2049"/>
    </row>
    <row r="54" ht="12" customHeight="1" spans="1:16">
      <c r="A54" s="2177" t="s">
        <v>693</v>
      </c>
      <c r="B54" s="1686" t="s">
        <v>694</v>
      </c>
      <c r="C54" s="2180"/>
      <c r="D54" s="2175">
        <f ca="1">C68</f>
        <v>598470</v>
      </c>
      <c r="E54" s="459" t="s">
        <v>695</v>
      </c>
      <c r="F54" s="2178">
        <f>'数据-取费表'!E29</f>
        <v>0.056</v>
      </c>
      <c r="G54" s="2179"/>
      <c r="H54" s="2181"/>
      <c r="I54" s="2211"/>
      <c r="J54" s="1558">
        <v>3</v>
      </c>
      <c r="K54" s="1558" t="s">
        <v>696</v>
      </c>
      <c r="L54" s="1558"/>
      <c r="M54" s="2212">
        <f ca="1" t="shared" si="1"/>
        <v>6351263</v>
      </c>
      <c r="N54" s="1558" t="str">
        <f ca="1" t="shared" si="1"/>
        <v>增值额×税（费）率</v>
      </c>
      <c r="O54" s="2214" t="str">
        <f ca="1" t="shared" si="1"/>
        <v>——</v>
      </c>
      <c r="P54" s="2049"/>
    </row>
    <row r="55" ht="24" customHeight="1" spans="1:16">
      <c r="A55" s="2182" t="s">
        <v>697</v>
      </c>
      <c r="B55" s="1707"/>
      <c r="C55" s="1707"/>
      <c r="D55" s="1746">
        <f ca="1">IF(H55="个人住宅",0,ROUND(D45*I55,0))</f>
        <v>5611</v>
      </c>
      <c r="E55" s="1487" t="s">
        <v>698</v>
      </c>
      <c r="F55" s="2178">
        <f>IF(H55="正常",I55,"免征")</f>
        <v>0.0005</v>
      </c>
      <c r="G55" s="2179"/>
      <c r="H55" s="2165" t="s">
        <v>699</v>
      </c>
      <c r="I55" s="2215">
        <f>'数据-取费表'!E37</f>
        <v>0.0005</v>
      </c>
      <c r="J55" s="1558">
        <f>IF(H59="非个人房产","",4)</f>
        <v>4</v>
      </c>
      <c r="K55" s="1558" t="str">
        <f>IF(H59="非个人房产","——","个人所得税")</f>
        <v>个人所得税</v>
      </c>
      <c r="L55" s="1558"/>
      <c r="M55" s="2216">
        <f ca="1">D59</f>
        <v>112213</v>
      </c>
      <c r="N55" s="2217" t="str">
        <f>E59</f>
        <v>销售额×税（费）率</v>
      </c>
      <c r="O55" s="2218">
        <f>F59</f>
        <v>0.01</v>
      </c>
      <c r="P55" s="2049"/>
    </row>
    <row r="56" ht="24.75" spans="1:16">
      <c r="A56" s="2182" t="s">
        <v>700</v>
      </c>
      <c r="B56" s="1707"/>
      <c r="C56" s="1707"/>
      <c r="D56" s="1746">
        <f ca="1">IF(H56="个人住宅",D57,D58)</f>
        <v>6351263</v>
      </c>
      <c r="E56" s="1487" t="s">
        <v>701</v>
      </c>
      <c r="F56" s="2178" t="str">
        <f>IF(H56="正常",F58,"免征")</f>
        <v>——</v>
      </c>
      <c r="G56" s="2183" t="s">
        <v>702</v>
      </c>
      <c r="H56" s="2184" t="s">
        <v>699</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3.5" spans="1:16">
      <c r="A57" s="2177" t="s">
        <v>675</v>
      </c>
      <c r="B57" s="2058" t="s">
        <v>703</v>
      </c>
      <c r="C57" s="2185"/>
      <c r="D57" s="2186">
        <v>0</v>
      </c>
      <c r="E57" s="2167" t="s">
        <v>677</v>
      </c>
      <c r="F57" s="1439"/>
      <c r="G57" s="2179"/>
      <c r="H57" s="2187"/>
      <c r="I57" s="2187"/>
      <c r="J57" s="1558">
        <f>IF(AND(J55="",J56=""),4,IF(项目基本情况!I6="上海银行",J56+1,J55+1))</f>
        <v>5</v>
      </c>
      <c r="K57" s="1558" t="s">
        <v>704</v>
      </c>
      <c r="L57" s="2223" t="s">
        <v>705</v>
      </c>
      <c r="M57" s="2224"/>
      <c r="N57" s="2225">
        <f ca="1">SUMIF(M52:M56,"&lt;9e307")</f>
        <v>7067557</v>
      </c>
      <c r="O57" s="2226"/>
      <c r="P57" s="2227" t="e">
        <f ca="1">N57/M49</f>
        <v>#VALUE!</v>
      </c>
    </row>
    <row r="58" ht="24.75" spans="1:16">
      <c r="A58" s="2177" t="s">
        <v>686</v>
      </c>
      <c r="B58" s="2058" t="s">
        <v>706</v>
      </c>
      <c r="C58" s="1869"/>
      <c r="D58" s="1746">
        <f ca="1">IF(H58="转让取得",C81,C97)</f>
        <v>6351263</v>
      </c>
      <c r="E58" s="1487" t="s">
        <v>701</v>
      </c>
      <c r="F58" s="1484" t="s">
        <v>121</v>
      </c>
      <c r="G58" s="2179"/>
      <c r="H58" s="2184" t="s">
        <v>707</v>
      </c>
      <c r="I58" s="2187"/>
      <c r="J58" s="1558"/>
      <c r="K58" s="1558"/>
      <c r="L58" s="2223" t="s">
        <v>708</v>
      </c>
      <c r="M58" s="2228"/>
      <c r="N58" s="2229" t="str">
        <f ca="1">IF(H19="元",NUMBERSTRING(INT(N57),2)&amp;"元整",NUMBERSTRING(INT(N57*10000),2)&amp;"元整")</f>
        <v>柒佰零陆万柒仟伍佰伍拾柒元整</v>
      </c>
      <c r="O58" s="2230"/>
      <c r="P58" s="2049"/>
    </row>
    <row r="59" ht="25.5" spans="1:16">
      <c r="A59" s="2188" t="s">
        <v>709</v>
      </c>
      <c r="B59" s="2189"/>
      <c r="C59" s="2189"/>
      <c r="D59" s="2190">
        <f ca="1">IF(H59="非个人房产","——",IF(H59="个人住宅",0,ROUND(D45*I59,0)))</f>
        <v>112213</v>
      </c>
      <c r="E59" s="2191" t="str">
        <f>IF(H59="非个人房产","——","销售额×税（费）率")</f>
        <v>销售额×税（费）率</v>
      </c>
      <c r="F59" s="2192">
        <f>IF(H59="非个人房产","——",IF(H59="个人住宅","免征",I59))</f>
        <v>0.01</v>
      </c>
      <c r="G59" s="2193" t="s">
        <v>702</v>
      </c>
      <c r="H59" s="2184" t="s">
        <v>710</v>
      </c>
      <c r="I59" s="2231">
        <v>0.01</v>
      </c>
      <c r="J59" s="2217">
        <f>J57+1</f>
        <v>6</v>
      </c>
      <c r="K59" s="1558" t="s">
        <v>711</v>
      </c>
      <c r="L59" s="1558" t="s">
        <v>705</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708</v>
      </c>
      <c r="M60" s="2228"/>
      <c r="N60" s="2229" t="e">
        <f ca="1">IF(H19="元",NUMBERSTRING(INT(N59),2)&amp;"元整",NUMBERSTRING(INT(N59*10000),2)&amp;"元整")</f>
        <v>#VALUE!</v>
      </c>
      <c r="O60" s="2230"/>
      <c r="P60" s="2049"/>
    </row>
    <row r="61" ht="14.25" spans="1:16">
      <c r="A61" s="2195" t="s">
        <v>712</v>
      </c>
      <c r="B61" s="2195"/>
      <c r="C61" s="2195"/>
      <c r="D61" s="2195"/>
      <c r="E61" s="2195"/>
      <c r="F61" s="2187"/>
      <c r="G61" s="2187"/>
      <c r="H61" s="2141"/>
      <c r="I61" s="2052"/>
      <c r="J61" s="1558">
        <f>J59+1</f>
        <v>7</v>
      </c>
      <c r="K61" s="1558" t="s">
        <v>713</v>
      </c>
      <c r="L61" s="1558"/>
      <c r="M61" s="2236"/>
      <c r="N61" s="2237" t="e">
        <f ca="1">IF(H19="元",ROUND(N59/项目基本情况!C12,0),ROUND(N59*10000/项目基本情况!C12,0))</f>
        <v>#VALUE!</v>
      </c>
      <c r="O61" s="2238"/>
      <c r="P61" s="2049"/>
    </row>
    <row r="62" ht="13.5" spans="1:16">
      <c r="A62" s="2196" t="s">
        <v>714</v>
      </c>
      <c r="B62" s="471"/>
      <c r="C62" s="471"/>
      <c r="D62" s="471" t="s">
        <v>715</v>
      </c>
      <c r="E62" s="2197" t="s">
        <v>669</v>
      </c>
      <c r="F62" s="2187"/>
      <c r="G62" s="2187"/>
      <c r="H62" s="2141"/>
      <c r="I62" s="2052"/>
      <c r="J62" s="2049"/>
      <c r="K62" s="2049"/>
      <c r="L62" s="2049"/>
      <c r="M62" s="2049"/>
      <c r="N62" s="2049"/>
      <c r="O62" s="2049"/>
      <c r="P62" s="2049"/>
    </row>
    <row r="63" ht="13.5" spans="1:16">
      <c r="A63" s="2198">
        <v>1</v>
      </c>
      <c r="B63" s="2199" t="s">
        <v>716</v>
      </c>
      <c r="C63" s="2200">
        <f ca="1">ROUND((C64+C65)/(1+'数据-取费表'!F30),0)</f>
        <v>10686965</v>
      </c>
      <c r="D63" s="2201"/>
      <c r="E63" s="2202"/>
      <c r="F63" s="2187"/>
      <c r="G63" s="2187"/>
      <c r="H63" s="2141"/>
      <c r="I63" s="2052"/>
      <c r="J63" s="2239" t="s">
        <v>717</v>
      </c>
      <c r="K63" s="2239" t="s">
        <v>718</v>
      </c>
      <c r="L63" s="2240" t="e">
        <f ca="1">IF(M49&gt;10000,M49*0.5%,IF(AND(M49&gt;1000,M49&lt;=10000),M49*1%,IF(AND(M49&gt;100,M49&lt;=1000),M49*3%,IF(AND(M49&gt;10,M49&lt;=100),M49*5%,M49*8%))))</f>
        <v>#VALUE!</v>
      </c>
      <c r="M63" s="1484" t="e">
        <f ca="1">ROUND(L63,1)</f>
        <v>#VALUE!</v>
      </c>
      <c r="N63" s="2049"/>
      <c r="O63" s="2049"/>
      <c r="P63" s="2049"/>
    </row>
    <row r="64" ht="13.5" spans="1:16">
      <c r="A64" s="2241" t="s">
        <v>719</v>
      </c>
      <c r="B64" s="416" t="s">
        <v>720</v>
      </c>
      <c r="C64" s="2242">
        <f ca="1">D45</f>
        <v>11221313</v>
      </c>
      <c r="D64" s="446" t="s">
        <v>121</v>
      </c>
      <c r="E64" s="2243"/>
      <c r="F64" s="2187"/>
      <c r="G64" s="2187"/>
      <c r="H64" s="2141"/>
      <c r="I64" s="2052"/>
      <c r="J64" s="2239"/>
      <c r="K64" s="2239" t="s">
        <v>721</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722</v>
      </c>
      <c r="O64" s="2049"/>
      <c r="P64" s="2049"/>
    </row>
    <row r="65" ht="13.5" spans="1:16">
      <c r="A65" s="2241" t="s">
        <v>723</v>
      </c>
      <c r="B65" s="416" t="s">
        <v>724</v>
      </c>
      <c r="C65" s="2244"/>
      <c r="D65" s="446"/>
      <c r="E65" s="2243"/>
      <c r="F65" s="2187"/>
      <c r="G65" s="2187"/>
      <c r="H65" s="2141"/>
      <c r="I65" s="2052"/>
      <c r="J65" s="2239"/>
      <c r="K65" s="2239" t="s">
        <v>725</v>
      </c>
      <c r="L65" s="2240" t="e">
        <f ca="1">IF(M49&gt;1000,M49*0.1%,IF(AND(M49&gt;500,M49&lt;=1000),M49*0.5%,IF(AND(M49&gt;50,M49&lt;=500),M49*1%,IF(AND(M49&gt;1,M49&lt;=50),M49*1.5%))))</f>
        <v>#VALUE!</v>
      </c>
      <c r="M65" s="1484" t="e">
        <f ca="1" t="shared" si="2"/>
        <v>#VALUE!</v>
      </c>
      <c r="N65" s="2049" t="s">
        <v>722</v>
      </c>
      <c r="O65" s="2049"/>
      <c r="P65" s="2049"/>
    </row>
    <row r="66" ht="13.5" spans="1:16">
      <c r="A66" s="2245" t="s">
        <v>726</v>
      </c>
      <c r="B66" s="2246" t="s">
        <v>727</v>
      </c>
      <c r="C66" s="2247"/>
      <c r="D66" s="517" t="s">
        <v>121</v>
      </c>
      <c r="E66" s="2248" t="s">
        <v>728</v>
      </c>
      <c r="F66" s="2187"/>
      <c r="G66" s="2187"/>
      <c r="H66" s="2141"/>
      <c r="I66" s="2052"/>
      <c r="J66" s="2239"/>
      <c r="K66" s="2239" t="s">
        <v>729</v>
      </c>
      <c r="L66" s="2240" t="e">
        <f ca="1">M49*0.5%</f>
        <v>#VALUE!</v>
      </c>
      <c r="M66" s="1484" t="e">
        <f ca="1">IF(L66&gt;0.5,0.5,ROUND(L66,0))</f>
        <v>#VALUE!</v>
      </c>
      <c r="N66" s="2049" t="s">
        <v>730</v>
      </c>
      <c r="O66" s="2049"/>
      <c r="P66" s="2049"/>
    </row>
    <row r="67" ht="13.5" spans="1:16">
      <c r="A67" s="2245" t="s">
        <v>731</v>
      </c>
      <c r="B67" s="2246" t="s">
        <v>732</v>
      </c>
      <c r="C67" s="2249">
        <f ca="1">C63-C66</f>
        <v>10686965</v>
      </c>
      <c r="D67" s="446" t="s">
        <v>121</v>
      </c>
      <c r="E67" s="2243"/>
      <c r="F67" s="2187"/>
      <c r="G67" s="2187"/>
      <c r="H67" s="2141"/>
      <c r="I67" s="2052"/>
      <c r="J67" s="2239"/>
      <c r="K67" s="2239" t="s">
        <v>733</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4.25" spans="1:16">
      <c r="A68" s="2250" t="s">
        <v>734</v>
      </c>
      <c r="B68" s="2251" t="s">
        <v>735</v>
      </c>
      <c r="C68" s="2252">
        <f ca="1">IF(C67&lt;=0,0,ROUND(C67*D68,0))</f>
        <v>598470</v>
      </c>
      <c r="D68" s="612">
        <f>'数据-取费表'!E29</f>
        <v>0.056</v>
      </c>
      <c r="E68" s="2253"/>
      <c r="F68" s="2187"/>
      <c r="G68" s="2187"/>
      <c r="H68" s="2141"/>
      <c r="I68" s="2052"/>
      <c r="J68" s="2239"/>
      <c r="K68" s="2239" t="s">
        <v>736</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737</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5" spans="1:35">
      <c r="A70" s="2258" t="s">
        <v>738</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4.25" spans="1:35">
      <c r="A71" s="2196" t="s">
        <v>714</v>
      </c>
      <c r="B71" s="471"/>
      <c r="C71" s="471"/>
      <c r="D71" s="471" t="s">
        <v>715</v>
      </c>
      <c r="E71" s="2260" t="s">
        <v>669</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263">
        <v>1</v>
      </c>
      <c r="B72" s="2246" t="s">
        <v>739</v>
      </c>
      <c r="C72" s="2249">
        <f ca="1">ROUND(D45/(1+'数据-取费表'!F30),0)</f>
        <v>10686965</v>
      </c>
      <c r="D72" s="446" t="s">
        <v>121</v>
      </c>
      <c r="E72" s="1767" t="s">
        <v>740</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5">
        <v>2</v>
      </c>
      <c r="B73" s="1868" t="s">
        <v>741</v>
      </c>
      <c r="C73" s="2249">
        <f ca="1">C74+C78</f>
        <v>64122</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742</v>
      </c>
      <c r="B74" s="416" t="s">
        <v>743</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744</v>
      </c>
      <c r="B75" s="416" t="s">
        <v>745</v>
      </c>
      <c r="C75" s="555"/>
      <c r="D75" s="446" t="s">
        <v>121</v>
      </c>
      <c r="E75" s="2267" t="s">
        <v>746</v>
      </c>
      <c r="F75" s="2268" t="s">
        <v>747</v>
      </c>
      <c r="G75" s="2267" t="s">
        <v>748</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749</v>
      </c>
      <c r="B76" s="2270" t="s">
        <v>750</v>
      </c>
      <c r="C76" s="446">
        <f>IF(F75="购房发票",ROUND(C75*H75*D76,0),0)</f>
        <v>0</v>
      </c>
      <c r="D76" s="2271">
        <v>0.05</v>
      </c>
      <c r="E76" s="1686" t="s">
        <v>751</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752</v>
      </c>
      <c r="B77" s="416" t="s">
        <v>753</v>
      </c>
      <c r="C77" s="446">
        <f>ROUND(IF(G77="个人住宅",0,IF(G77="2016年5月1日前购买",C75*D77,C75*D77/(1+'数据-取费表'!F30))),0)</f>
        <v>0</v>
      </c>
      <c r="D77" s="2273">
        <f>'数据-取费表'!E36+'数据-取费表'!E37</f>
        <v>0.0305</v>
      </c>
      <c r="E77" s="1767" t="s">
        <v>754</v>
      </c>
      <c r="F77" s="2274"/>
      <c r="G77" s="2275" t="s">
        <v>755</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756</v>
      </c>
      <c r="B78" s="416" t="s">
        <v>757</v>
      </c>
      <c r="C78" s="2276">
        <f ca="1">ROUND(D45*D78/(1+'数据-取费表'!F30),0)</f>
        <v>64122</v>
      </c>
      <c r="D78" s="2277">
        <f>'数据-取费表'!E31</f>
        <v>0.006</v>
      </c>
      <c r="E78" s="2278" t="s">
        <v>758</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4.25" spans="1:35">
      <c r="A79" s="2281" t="s">
        <v>731</v>
      </c>
      <c r="B79" s="2246" t="s">
        <v>759</v>
      </c>
      <c r="C79" s="2249">
        <f ca="1">C72-C73</f>
        <v>10622843</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734</v>
      </c>
      <c r="B80" s="2246" t="s">
        <v>760</v>
      </c>
      <c r="C80" s="2282">
        <f ca="1">IF(C79&lt;=0,0,C79/C73)</f>
        <v>165.666120832164</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761</v>
      </c>
      <c r="B81" s="2251" t="s">
        <v>762</v>
      </c>
      <c r="C81" s="2284">
        <f ca="1">ROUND(IF(C79&lt;=0,0,IF(C80&gt;=200%,C79*60%-C73*35%,IF(C80&gt;=100%,C79*50%-C73*15%,IF(C80&gt;=50%,C79*40%-C73*5%,IF(C80&lt;50%,C79*30%,0))))),0)</f>
        <v>6351263</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5" spans="1:35">
      <c r="A83" s="2258" t="s">
        <v>763</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25" spans="1:35">
      <c r="A84" s="2196" t="s">
        <v>714</v>
      </c>
      <c r="B84" s="471"/>
      <c r="C84" s="471"/>
      <c r="D84" s="471" t="s">
        <v>715</v>
      </c>
      <c r="E84" s="2260" t="s">
        <v>669</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739</v>
      </c>
      <c r="C85" s="2249">
        <f ca="1">ROUND(D45/(1+'数据-取费表'!F30),0)</f>
        <v>10686965</v>
      </c>
      <c r="D85" s="446" t="s">
        <v>121</v>
      </c>
      <c r="E85" s="1686" t="s">
        <v>740</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5">
        <v>2</v>
      </c>
      <c r="B86" s="1868" t="s">
        <v>741</v>
      </c>
      <c r="C86" s="2249">
        <f ca="1">IF(H88="仅含出让金",C87+C90+C91+C92+C93+C94,C87+C91+C92+C93+C94)</f>
        <v>64122</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6" t="s">
        <v>742</v>
      </c>
      <c r="B87" s="416" t="s">
        <v>764</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744</v>
      </c>
      <c r="B88" s="416" t="s">
        <v>765</v>
      </c>
      <c r="C88" s="2294"/>
      <c r="D88" s="2277"/>
      <c r="E88" s="2295" t="s">
        <v>766</v>
      </c>
      <c r="F88" s="2279"/>
      <c r="G88" s="2296" t="s">
        <v>767</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749</v>
      </c>
      <c r="B89" s="416" t="s">
        <v>753</v>
      </c>
      <c r="C89" s="2276">
        <f>ROUND(C88*D89,0)</f>
        <v>0</v>
      </c>
      <c r="D89" s="2277">
        <f>'数据-取费表'!E36+'数据-取费表'!E37</f>
        <v>0.0305</v>
      </c>
      <c r="E89" s="2295" t="s">
        <v>768</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756</v>
      </c>
      <c r="B90" s="416" t="s">
        <v>769</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770</v>
      </c>
      <c r="B91" s="416" t="s">
        <v>771</v>
      </c>
      <c r="C91" s="2276">
        <f>IF(H91="——",成本法!C33,I91)</f>
        <v>0</v>
      </c>
      <c r="D91" s="2277"/>
      <c r="E91" s="2278" t="s">
        <v>772</v>
      </c>
      <c r="F91" s="2279"/>
      <c r="G91" s="2279"/>
      <c r="H91" s="2298" t="s">
        <v>773</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774</v>
      </c>
      <c r="B92" s="416" t="s">
        <v>775</v>
      </c>
      <c r="C92" s="2276">
        <f>ROUND((C87+C90+C91)*D92,0)</f>
        <v>0</v>
      </c>
      <c r="D92" s="2277">
        <v>0.1</v>
      </c>
      <c r="E92" s="2278" t="s">
        <v>776</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777</v>
      </c>
      <c r="B93" s="416" t="s">
        <v>757</v>
      </c>
      <c r="C93" s="2276">
        <f ca="1">ROUND(D45*D93/(1+'数据-取费表'!F30),0)</f>
        <v>64122</v>
      </c>
      <c r="D93" s="2277">
        <f>'数据-取费表'!E31</f>
        <v>0.006</v>
      </c>
      <c r="E93" s="2278" t="s">
        <v>758</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778</v>
      </c>
      <c r="B94" s="416" t="s">
        <v>779</v>
      </c>
      <c r="C94" s="2276">
        <f>ROUND((C87+C90+C91)*D94,0)</f>
        <v>0</v>
      </c>
      <c r="D94" s="2277">
        <v>0.2</v>
      </c>
      <c r="E94" s="2278" t="s">
        <v>780</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4.25" spans="1:35">
      <c r="A95" s="2281" t="s">
        <v>731</v>
      </c>
      <c r="B95" s="2246" t="s">
        <v>759</v>
      </c>
      <c r="C95" s="2249">
        <f ca="1">ROUND(C85-C86,0)</f>
        <v>10622843</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734</v>
      </c>
      <c r="B96" s="2246" t="s">
        <v>760</v>
      </c>
      <c r="C96" s="2282">
        <f ca="1">IF(C95&lt;=0,0,C95/C86)</f>
        <v>165.666120832164</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761</v>
      </c>
      <c r="B97" s="2251" t="s">
        <v>762</v>
      </c>
      <c r="C97" s="2284">
        <f ca="1">ROUND(IF(C95&lt;=0,0,IF(C96&gt;=200%,C95*60%-C86*35%,IF(C96&gt;=100%,C95*50%-C86*15%,IF(C96&gt;=50%,C95*40%-C86*5%,IF(C96&lt;50%,C95*30%,0))))),0)</f>
        <v>6351263</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781</v>
      </c>
      <c r="B98" s="2052"/>
      <c r="C98" s="2052"/>
      <c r="D98" s="2052"/>
      <c r="E98" s="2187"/>
      <c r="F98" s="2187"/>
      <c r="G98" s="2187"/>
      <c r="H98" s="2141"/>
      <c r="I98" s="2052"/>
    </row>
    <row r="99" ht="15.75" spans="1:9">
      <c r="A99" s="2300" t="s">
        <v>782</v>
      </c>
      <c r="B99" s="2301"/>
      <c r="C99" s="2301"/>
      <c r="D99" s="2302"/>
      <c r="E99" s="2052"/>
      <c r="F99" s="2303" t="s">
        <v>783</v>
      </c>
      <c r="G99" s="2304"/>
      <c r="H99" s="2304"/>
      <c r="I99" s="2390"/>
    </row>
    <row r="100" ht="15.75" spans="1:9">
      <c r="A100" s="2305" t="s">
        <v>784</v>
      </c>
      <c r="B100" s="2306"/>
      <c r="C100" s="2307" t="str">
        <f>C4</f>
        <v>成本法</v>
      </c>
      <c r="D100" s="2308" t="str">
        <f>D4</f>
        <v>收益法</v>
      </c>
      <c r="E100" s="2052"/>
      <c r="F100" s="2309" t="s">
        <v>785</v>
      </c>
      <c r="G100" s="2310"/>
      <c r="H100" s="2309" t="s">
        <v>786</v>
      </c>
      <c r="I100" s="2391"/>
    </row>
    <row r="101" ht="15.75" spans="1:9">
      <c r="A101" s="2455" t="s">
        <v>787</v>
      </c>
      <c r="B101" s="2313" t="str">
        <f>IF(H19="元","总价（元）","总价（万元）")</f>
        <v>总价（元）</v>
      </c>
      <c r="C101" s="2307">
        <f ca="1">C19</f>
        <v>13968218</v>
      </c>
      <c r="D101" s="2308">
        <f ca="1">D19</f>
        <v>10044006</v>
      </c>
      <c r="E101" s="2052"/>
      <c r="F101" s="2309" t="str">
        <f>项目基本情况!I1</f>
        <v>北京市房地产</v>
      </c>
      <c r="G101" s="2310"/>
      <c r="H101" s="2316">
        <f>项目基本情况!C12</f>
        <v>223.88</v>
      </c>
      <c r="I101" s="2391"/>
    </row>
    <row r="102" ht="15.75" spans="1:9">
      <c r="A102" s="2455"/>
      <c r="B102" s="2313" t="s">
        <v>788</v>
      </c>
      <c r="C102" s="2317">
        <f ca="1">C20</f>
        <v>62392</v>
      </c>
      <c r="D102" s="2318">
        <f ca="1">D20</f>
        <v>44863</v>
      </c>
      <c r="E102" s="2052"/>
      <c r="F102" s="2319" t="s">
        <v>789</v>
      </c>
      <c r="G102" s="2320"/>
      <c r="H102" s="2321" t="str">
        <f>C106</f>
        <v>总价（元）</v>
      </c>
      <c r="I102" s="2392">
        <f ca="1">H121</f>
        <v>11221313</v>
      </c>
    </row>
    <row r="103" ht="15" spans="1:9">
      <c r="A103" s="2455" t="s">
        <v>790</v>
      </c>
      <c r="B103" s="2322" t="str">
        <f>B101</f>
        <v>总价（元）</v>
      </c>
      <c r="C103" s="2331">
        <f ca="1">H121</f>
        <v>11221313</v>
      </c>
      <c r="D103" s="2324"/>
      <c r="E103" s="2052"/>
      <c r="F103" s="2319"/>
      <c r="G103" s="2320"/>
      <c r="H103" s="2321" t="s">
        <v>788</v>
      </c>
      <c r="I103" s="2393">
        <f ca="1">I121</f>
        <v>50122</v>
      </c>
    </row>
    <row r="104" ht="16.5" spans="1:9">
      <c r="A104" s="2336"/>
      <c r="B104" s="2337" t="s">
        <v>788</v>
      </c>
      <c r="C104" s="2338">
        <f ca="1">I121</f>
        <v>50122</v>
      </c>
      <c r="D104" s="2339"/>
      <c r="E104" s="2052"/>
      <c r="F104" s="2326"/>
      <c r="G104" s="2327"/>
      <c r="H104" s="2328"/>
      <c r="I104" s="2394"/>
    </row>
    <row r="105" ht="15.75" spans="1:9">
      <c r="A105" s="2300" t="s">
        <v>791</v>
      </c>
      <c r="B105" s="2301"/>
      <c r="C105" s="2301"/>
      <c r="D105" s="2302"/>
      <c r="E105" s="2052"/>
      <c r="F105" s="2333" t="s">
        <v>792</v>
      </c>
      <c r="G105" s="2334"/>
      <c r="H105" s="2335" t="str">
        <f>C108</f>
        <v>总额（元）</v>
      </c>
      <c r="I105" s="2392">
        <f>SUMIF(I106:I108,"&lt;9E307")</f>
        <v>0</v>
      </c>
    </row>
    <row r="106" ht="15" spans="1:11">
      <c r="A106" s="2345" t="s">
        <v>793</v>
      </c>
      <c r="B106" s="2346"/>
      <c r="C106" s="2321" t="str">
        <f>B101</f>
        <v>总价（元）</v>
      </c>
      <c r="D106" s="2347">
        <f ca="1">H121</f>
        <v>11221313</v>
      </c>
      <c r="E106" s="2052"/>
      <c r="F106" s="2340" t="s">
        <v>794</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 spans="1:11">
      <c r="A107" s="2345"/>
      <c r="B107" s="2346"/>
      <c r="C107" s="2321" t="s">
        <v>788</v>
      </c>
      <c r="D107" s="2348">
        <f ca="1">I121</f>
        <v>50122</v>
      </c>
      <c r="E107" s="2052"/>
      <c r="F107" s="2340" t="s">
        <v>795</v>
      </c>
      <c r="G107" s="2341"/>
      <c r="H107" s="2335" t="str">
        <f>C110</f>
        <v>总额（元）</v>
      </c>
      <c r="I107" s="2393">
        <f>C37</f>
        <v>0</v>
      </c>
      <c r="K107" s="2395"/>
    </row>
    <row r="108" ht="15" spans="1:9">
      <c r="A108" s="2350" t="s">
        <v>796</v>
      </c>
      <c r="B108" s="2351"/>
      <c r="C108" s="2335" t="str">
        <f>IF(H19="元","总额（元）","总额（万元）")</f>
        <v>总额（元）</v>
      </c>
      <c r="D108" s="2347">
        <f>IF(D36="正常操作",I106+I107+I108,I107+I108)</f>
        <v>0</v>
      </c>
      <c r="E108" s="2052"/>
      <c r="F108" s="2340" t="s">
        <v>797</v>
      </c>
      <c r="G108" s="2341"/>
      <c r="H108" s="2335" t="str">
        <f>C111</f>
        <v>总额（元）</v>
      </c>
      <c r="I108" s="2393">
        <f>C38</f>
        <v>0</v>
      </c>
    </row>
    <row r="109" ht="15.75" spans="1:9">
      <c r="A109" s="2340" t="s">
        <v>794</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795</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11221313</v>
      </c>
    </row>
    <row r="111" ht="15" spans="1:9">
      <c r="A111" s="2340" t="s">
        <v>797</v>
      </c>
      <c r="B111" s="2341"/>
      <c r="C111" s="2335" t="str">
        <f>C108</f>
        <v>总额（元）</v>
      </c>
      <c r="D111" s="812">
        <f>C38</f>
        <v>0</v>
      </c>
      <c r="E111" s="2052"/>
      <c r="F111" s="2355"/>
      <c r="G111" s="2356"/>
      <c r="H111" s="2321" t="s">
        <v>788</v>
      </c>
      <c r="I111" s="2397">
        <f ca="1">D113</f>
        <v>50122</v>
      </c>
    </row>
    <row r="112" ht="26.25" customHeight="1" spans="1:9">
      <c r="A112" s="2345" t="str">
        <f>IF(项目基本情况!F5="已注销","——","3.房地产抵押价值")</f>
        <v>3.房地产抵押价值</v>
      </c>
      <c r="B112" s="2346"/>
      <c r="C112" s="2321" t="str">
        <f>B101</f>
        <v>总价（元）</v>
      </c>
      <c r="D112" s="2347">
        <f ca="1">IF(A112="——","——",D106-D108)</f>
        <v>11221313</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 spans="1:9">
      <c r="A113" s="2345"/>
      <c r="B113" s="2346"/>
      <c r="C113" s="2321" t="s">
        <v>788</v>
      </c>
      <c r="D113" s="2348">
        <f ca="1">ROUND(IF(D112=D106,D107,IF(H19="元",D112/项目基本情况!C12,D112*10000/项目基本情况!C12)),0)</f>
        <v>50122</v>
      </c>
      <c r="E113" s="2052"/>
      <c r="F113" s="2355"/>
      <c r="G113" s="2356"/>
      <c r="H113" s="2321" t="s">
        <v>788</v>
      </c>
      <c r="I113" s="2459" t="str">
        <f ca="1">D115</f>
        <v>——</v>
      </c>
    </row>
    <row r="114" ht="15.75"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5.75" spans="1:9">
      <c r="A115" s="2345"/>
      <c r="B115" s="2346"/>
      <c r="C115" s="2321" t="s">
        <v>788</v>
      </c>
      <c r="D115" s="2348" t="str">
        <f ca="1">IF(A114="——","——",ROUND(IF(D114=D106,D107,IF(H19="元",D114/项目基本情况!C12,D114*10000/项目基本情况!C12)),0))</f>
        <v>——</v>
      </c>
      <c r="E115" s="2052"/>
      <c r="F115" s="2357"/>
      <c r="G115" s="2358"/>
      <c r="H115" s="2359" t="s">
        <v>788</v>
      </c>
      <c r="I115" s="2398" t="str">
        <f ca="1">D117</f>
        <v>——</v>
      </c>
    </row>
    <row r="116" ht="15.75"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5.75" spans="1:15">
      <c r="A117" s="2363"/>
      <c r="B117" s="2364"/>
      <c r="C117" s="2359" t="s">
        <v>788</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5" spans="1:9">
      <c r="A118" s="2366" t="s">
        <v>798</v>
      </c>
      <c r="B118" s="2367"/>
      <c r="C118" s="2367"/>
      <c r="D118" s="2367"/>
      <c r="E118" s="2367"/>
      <c r="F118" s="2367"/>
      <c r="G118" s="2367"/>
      <c r="H118" s="2367"/>
      <c r="I118" s="2367"/>
    </row>
    <row r="119" ht="14.25" spans="1:9">
      <c r="A119" s="2368" t="s">
        <v>799</v>
      </c>
      <c r="B119" s="2056" t="s">
        <v>800</v>
      </c>
      <c r="C119" s="2056" t="s">
        <v>801</v>
      </c>
      <c r="D119" s="2369" t="s">
        <v>802</v>
      </c>
      <c r="E119" s="2370"/>
      <c r="F119" s="952" t="s">
        <v>646</v>
      </c>
      <c r="G119" s="952"/>
      <c r="H119" s="952" t="s">
        <v>803</v>
      </c>
      <c r="I119" s="812"/>
    </row>
    <row r="120" ht="14.25" spans="1:9">
      <c r="A120" s="2368"/>
      <c r="B120" s="2371"/>
      <c r="C120" s="2371"/>
      <c r="D120" s="952" t="s">
        <v>804</v>
      </c>
      <c r="E120" s="952" t="s">
        <v>631</v>
      </c>
      <c r="F120" s="952" t="s">
        <v>804</v>
      </c>
      <c r="G120" s="952" t="s">
        <v>631</v>
      </c>
      <c r="H120" s="952" t="s">
        <v>804</v>
      </c>
      <c r="I120" s="812" t="s">
        <v>631</v>
      </c>
    </row>
    <row r="121" ht="14.25" spans="1:9">
      <c r="A121" s="2368" t="str">
        <f>项目基本情况!I1</f>
        <v>北京市房地产</v>
      </c>
      <c r="B121" s="952">
        <f>项目基本情况!C12</f>
        <v>223.88</v>
      </c>
      <c r="C121" s="952">
        <f>项目基本情况!C13</f>
        <v>0</v>
      </c>
      <c r="D121" s="952">
        <f ca="1">ROUND(IF(B32="总价",C34,IF('数据-取费表'!B3="万元",E121*B121/10000,E121*B121)),0)</f>
        <v>10166615</v>
      </c>
      <c r="E121" s="952">
        <f ca="1">ROUND(IF(B32="楼面单价",C34,IF(H19="元",D121/B121,D121*10000/B121)),0)</f>
        <v>45411</v>
      </c>
      <c r="F121" s="952">
        <f ca="1">ROUND(IF(B32="总价",C35,IF('数据-取费表'!B3="万元",G121*B121/10000,G121*B121)),0)</f>
        <v>1054699</v>
      </c>
      <c r="G121" s="952">
        <f ca="1">ROUND(IF(B32="楼面单价",C35,IF(H19="元",F121/B121,F121*10000/B121)),0)</f>
        <v>4711</v>
      </c>
      <c r="H121" s="952">
        <f ca="1">ROUND(IF(B32="总价",C32,IF('数据-取费表'!B3="万元",I121*B121/10000,I121*B121)),0)</f>
        <v>11221313</v>
      </c>
      <c r="I121" s="812">
        <f ca="1">ROUND(IF(B32="楼面单价",C32,IF(H19="元",H121/B121,H121*10000/B121)),0)</f>
        <v>50122</v>
      </c>
    </row>
    <row r="122" ht="14.25" spans="1:9">
      <c r="A122" s="2368" t="s">
        <v>805</v>
      </c>
      <c r="B122" s="952"/>
      <c r="C122" s="952"/>
      <c r="D122" s="2373" t="str">
        <f ca="1">IF(H19="元",NUMBERSTRING(INT(D121),2)&amp;"元整",NUMBERSTRING(INT(D121*10000),2)&amp;"元整")</f>
        <v>壹仟零壹拾陆万陆仟陆佰壹拾伍元整</v>
      </c>
      <c r="E122" s="2374"/>
      <c r="F122" s="2373" t="str">
        <f ca="1">IF(H19="元",NUMBERSTRING(INT(F121),2)&amp;"元整",NUMBERSTRING(INT(F121*10000),2)&amp;"元整")</f>
        <v>壹佰零伍万肆仟陆佰玖拾玖元整</v>
      </c>
      <c r="G122" s="2374"/>
      <c r="H122" s="2373" t="str">
        <f ca="1">IF(H19="元",NUMBERSTRING(INT(H121),2)&amp;"元整",NUMBERSTRING(INT(H121*10000),2)&amp;"元整")</f>
        <v>壹仟壹佰贰拾贰万壹仟叁佰壹拾叁元整</v>
      </c>
      <c r="I122" s="2399"/>
    </row>
    <row r="123" ht="15" spans="1:9">
      <c r="A123" s="2375" t="str">
        <f>IF(项目基本情况!D5="房地产市场价值","——",MID(A108,3,LEN(A108)-2))</f>
        <v>——</v>
      </c>
      <c r="B123" s="2376"/>
      <c r="C123" s="2377"/>
      <c r="D123" s="2378">
        <f>I105</f>
        <v>0</v>
      </c>
      <c r="E123" s="2376"/>
      <c r="F123" s="2376"/>
      <c r="G123" s="2376"/>
      <c r="H123" s="2376"/>
      <c r="I123" s="2400"/>
    </row>
    <row r="124" ht="14.25" spans="1:9">
      <c r="A124" s="2379" t="s">
        <v>805</v>
      </c>
      <c r="B124" s="1220"/>
      <c r="C124" s="2380"/>
      <c r="D124" s="2381">
        <f>H109</f>
        <v>0</v>
      </c>
      <c r="E124" s="2382"/>
      <c r="F124" s="2382"/>
      <c r="G124" s="2382"/>
      <c r="H124" s="2382"/>
      <c r="I124" s="2401"/>
    </row>
    <row r="125" ht="15" spans="1:9">
      <c r="A125" s="2383" t="str">
        <f>IF(项目基本情况!D5="房地产市场价值","——",MID(A112,3,LEN(A112)-2))</f>
        <v>——</v>
      </c>
      <c r="B125" s="2384"/>
      <c r="C125" s="2384"/>
      <c r="D125" s="2378">
        <f ca="1">I110</f>
        <v>11221313</v>
      </c>
      <c r="E125" s="2376"/>
      <c r="F125" s="2376"/>
      <c r="G125" s="2376"/>
      <c r="H125" s="2376"/>
      <c r="I125" s="2400"/>
    </row>
    <row r="126" ht="14.25" spans="1:9">
      <c r="A126" s="2368" t="s">
        <v>805</v>
      </c>
      <c r="B126" s="952"/>
      <c r="C126" s="952"/>
      <c r="D126" s="2381">
        <f ca="1">I111</f>
        <v>50122</v>
      </c>
      <c r="E126" s="2382"/>
      <c r="F126" s="2382"/>
      <c r="G126" s="2382"/>
      <c r="H126" s="2382"/>
      <c r="I126" s="2401"/>
    </row>
    <row r="127" ht="15.75" spans="1:9">
      <c r="A127" s="2383" t="str">
        <f>IF(项目基本情况!D5="房地产市场价值","——",MID(A114,3,LEN(A114)-2))</f>
        <v>——</v>
      </c>
      <c r="B127" s="2384"/>
      <c r="C127" s="2384"/>
      <c r="D127" s="2403" t="str">
        <f ca="1">I112</f>
        <v>——</v>
      </c>
      <c r="E127" s="2404"/>
      <c r="F127" s="2404"/>
      <c r="G127" s="2404"/>
      <c r="H127" s="2404"/>
      <c r="I127" s="2429"/>
    </row>
    <row r="128" ht="15.75" spans="1:9">
      <c r="A128" s="2368" t="s">
        <v>805</v>
      </c>
      <c r="B128" s="952"/>
      <c r="C128" s="772"/>
      <c r="D128" s="2405" t="str">
        <f ca="1">I113</f>
        <v>——</v>
      </c>
      <c r="E128" s="2405"/>
      <c r="F128" s="2405"/>
      <c r="G128" s="2405"/>
      <c r="H128" s="2405"/>
      <c r="I128" s="2405"/>
    </row>
    <row r="129" ht="16.5" spans="1:9">
      <c r="A129" s="2383" t="str">
        <f>IF(项目基本情况!D5="房地产市场价值","——",MID(F114,3,LEN(F114)-2))</f>
        <v>——</v>
      </c>
      <c r="B129" s="2384"/>
      <c r="C129" s="2378"/>
      <c r="D129" s="2406" t="str">
        <f ca="1">I114</f>
        <v>——</v>
      </c>
      <c r="E129" s="2406"/>
      <c r="F129" s="2406"/>
      <c r="G129" s="2406"/>
      <c r="H129" s="2406"/>
      <c r="I129" s="2406"/>
    </row>
    <row r="130" ht="15.75" spans="1:9">
      <c r="A130" s="2407" t="s">
        <v>805</v>
      </c>
      <c r="B130" s="2408"/>
      <c r="C130" s="2408"/>
      <c r="D130" s="2409">
        <f>H116</f>
        <v>0</v>
      </c>
      <c r="E130" s="2410"/>
      <c r="F130" s="2410"/>
      <c r="G130" s="2410"/>
      <c r="H130" s="2410"/>
      <c r="I130" s="2430"/>
    </row>
    <row r="131" ht="13.5"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4.2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806</v>
      </c>
      <c r="B133" s="2413"/>
      <c r="C133" s="2414" t="s">
        <v>807</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808</v>
      </c>
      <c r="G139" s="2424"/>
      <c r="H139" s="2424"/>
      <c r="I139" s="2433" t="s">
        <v>809</v>
      </c>
    </row>
    <row r="140" customHeight="1" spans="1:9">
      <c r="A140" s="1433"/>
      <c r="B140" s="2425" t="s">
        <v>810</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811</v>
      </c>
    </row>
    <row r="143" customHeight="1" spans="1:9">
      <c r="A143" s="1433"/>
      <c r="B143" s="2425" t="s">
        <v>812</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811</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333333333333" defaultRowHeight="21.75" customHeight="1"/>
  <cols>
    <col min="1" max="1" width="12.6333333333333" style="2050"/>
    <col min="2" max="2" width="17.6333333333333" style="2050" customWidth="1"/>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053" t="s">
        <v>813</v>
      </c>
      <c r="B2" s="2053"/>
      <c r="C2" s="2053"/>
      <c r="D2" s="2053"/>
      <c r="E2" s="2053"/>
      <c r="F2" s="2053"/>
      <c r="G2" s="2053"/>
      <c r="H2" s="2053"/>
      <c r="I2" s="2053"/>
    </row>
    <row r="3" ht="13.5" spans="1:9">
      <c r="A3" s="2054" t="s">
        <v>603</v>
      </c>
      <c r="B3" s="1704"/>
      <c r="C3" s="1704"/>
      <c r="D3" s="1704"/>
      <c r="E3" s="1704"/>
      <c r="F3" s="1704"/>
      <c r="G3" s="1704"/>
      <c r="H3" s="1704"/>
      <c r="I3" s="1704"/>
    </row>
    <row r="4" ht="14.25" spans="1:12">
      <c r="A4" s="2055" t="s">
        <v>604</v>
      </c>
      <c r="B4" s="2056" t="s">
        <v>605</v>
      </c>
      <c r="C4" s="2057"/>
      <c r="D4" s="2057"/>
      <c r="E4" s="2058" t="s">
        <v>608</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59" t="s">
        <v>609</v>
      </c>
      <c r="B5" s="952">
        <v>25</v>
      </c>
      <c r="C5" s="2060"/>
      <c r="D5" s="2061"/>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0</v>
      </c>
      <c r="D17" s="2067">
        <f>SUM(D5:D16)</f>
        <v>0</v>
      </c>
      <c r="E17" s="2052"/>
      <c r="F17" s="2052"/>
      <c r="G17" s="2052"/>
      <c r="H17" s="2052"/>
      <c r="I17" s="2052"/>
    </row>
    <row r="18" ht="15" spans="1:9">
      <c r="A18" s="2068" t="s">
        <v>627</v>
      </c>
      <c r="B18" s="2069"/>
      <c r="C18" s="2070" t="e">
        <f>ROUND(C17/SUM(C17:D17),2)</f>
        <v>#DIV/0!</v>
      </c>
      <c r="D18" s="2070" t="e">
        <f>1-C18</f>
        <v>#DIV/0!</v>
      </c>
      <c r="E18" s="2052"/>
      <c r="F18" s="2052"/>
      <c r="G18" s="2052"/>
      <c r="H18" s="2052"/>
      <c r="I18" s="2052"/>
    </row>
    <row r="19" ht="14.25" spans="1:9">
      <c r="A19" s="2071" t="s">
        <v>628</v>
      </c>
      <c r="B19" s="2072" t="s">
        <v>629</v>
      </c>
      <c r="C19" s="2073" t="e">
        <f ca="1">SUMIF(INDIRECT("'"&amp;C4&amp;"'"&amp;"!A:A"),'结果表 (1修多)'!B19,INDIRECT("'"&amp;C4&amp;"'"&amp;"!B:B"))</f>
        <v>#REF!</v>
      </c>
      <c r="D19" s="2074" t="e">
        <f ca="1">SUMIF(INDIRECT("'"&amp;D4&amp;"'"&amp;"!A:A"),'结果表 (1修多)'!B19,INDIRECT("'"&amp;D4&amp;"'"&amp;"!B:B"))</f>
        <v>#REF!</v>
      </c>
      <c r="E19" s="2071" t="s">
        <v>630</v>
      </c>
      <c r="F19" s="2072" t="s">
        <v>629</v>
      </c>
      <c r="G19" s="2075" t="e">
        <f ca="1">ROUND(C19*$C$18+D19*$D$18,0)</f>
        <v>#REF!</v>
      </c>
      <c r="H19" s="2076" t="str">
        <f>'数据-取费表'!B3</f>
        <v>元</v>
      </c>
      <c r="I19" s="2052"/>
    </row>
    <row r="20" ht="15" spans="1:9">
      <c r="A20" s="2077"/>
      <c r="B20" s="2078" t="s">
        <v>631</v>
      </c>
      <c r="C20" s="1113" t="e">
        <f ca="1">SUMIF(INDIRECT("'"&amp;C4&amp;"'"&amp;"!A:A"),'结果表 (1修多)'!B20,INDIRECT("'"&amp;C4&amp;"'"&amp;"!B:B"))</f>
        <v>#REF!</v>
      </c>
      <c r="D20" s="1392" t="e">
        <f ca="1">SUMIF(INDIRECT("'"&amp;D4&amp;"'"&amp;"!A:A"),'结果表 (1修多)'!B20,INDIRECT("'"&amp;D4&amp;"'"&amp;"!B:B"))</f>
        <v>#REF!</v>
      </c>
      <c r="E20" s="2077"/>
      <c r="F20" s="2078" t="s">
        <v>631</v>
      </c>
      <c r="G20" s="2079" t="e">
        <f ca="1">ROUND(C20*$C$18+D20*$D$18,0)</f>
        <v>#REF!</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t="e">
        <f ca="1">IF(C19&lt;D19,D19/C19-1,C19/D19-1)</f>
        <v>#REF!</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t="s">
        <v>814</v>
      </c>
      <c r="B27" s="2097">
        <v>0</v>
      </c>
      <c r="C27" s="2097">
        <v>0</v>
      </c>
      <c r="D27" s="2098">
        <f>ROUND(C27*B27/10000,0)</f>
        <v>0</v>
      </c>
      <c r="E27" s="2052"/>
      <c r="F27" s="2052"/>
      <c r="G27" s="2052"/>
      <c r="H27" s="2052"/>
      <c r="I27" s="2052"/>
    </row>
    <row r="28" ht="14.25" spans="1:9">
      <c r="A28" s="2096"/>
      <c r="B28" s="2097"/>
      <c r="C28" s="2097"/>
      <c r="D28" s="2098">
        <f>ROUND(C28*B28/10000,0)</f>
        <v>0</v>
      </c>
      <c r="E28" s="2052"/>
      <c r="F28" s="2052"/>
      <c r="G28" s="2052"/>
      <c r="H28" s="2052"/>
      <c r="I28" s="2052"/>
    </row>
    <row r="29" ht="14.25" spans="1:9">
      <c r="A29" s="2096"/>
      <c r="B29" s="2097"/>
      <c r="C29" s="2097"/>
      <c r="D29" s="2098">
        <f t="shared" ref="D29" si="0">ROUND(C29*B29/10000,0)</f>
        <v>0</v>
      </c>
      <c r="E29" s="2052"/>
      <c r="F29" s="2052"/>
      <c r="G29" s="2052"/>
      <c r="H29" s="2052"/>
      <c r="I29" s="2052"/>
    </row>
    <row r="30" ht="15" spans="1:9">
      <c r="A30" s="2100" t="s">
        <v>639</v>
      </c>
      <c r="B30" s="2101"/>
      <c r="C30" s="2101"/>
      <c r="D30" s="2101"/>
      <c r="E30" s="2102" t="s">
        <v>815</v>
      </c>
      <c r="F30" s="2052"/>
      <c r="G30" s="2052"/>
      <c r="H30" s="2052"/>
      <c r="I30" s="2052"/>
    </row>
    <row r="31" s="2047" customFormat="1" ht="14.25" spans="1:35">
      <c r="A31" s="2103" t="s">
        <v>816</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 spans="1:9">
      <c r="A32" s="2104"/>
      <c r="B32" s="2105" t="s">
        <v>817</v>
      </c>
      <c r="C32" s="2106">
        <f>典型户型修正!R27</f>
        <v>0</v>
      </c>
      <c r="D32" s="2052" t="s">
        <v>632</v>
      </c>
      <c r="E32" s="2052"/>
      <c r="F32" s="2052"/>
      <c r="G32" s="2052"/>
      <c r="H32" s="2052"/>
      <c r="I32" s="2052"/>
    </row>
    <row r="33" ht="14.25" spans="1:9">
      <c r="A33" s="2107" t="s">
        <v>818</v>
      </c>
      <c r="B33" s="2108" t="s">
        <v>819</v>
      </c>
      <c r="C33" s="2109">
        <f ca="1">典型户型修正!B2</f>
        <v>0</v>
      </c>
      <c r="D33" s="2110" t="str">
        <f>IF('数据-取费表'!B3="万元","万元","元")</f>
        <v>元</v>
      </c>
      <c r="E33" s="2052"/>
      <c r="F33" s="2052"/>
      <c r="G33" s="2052"/>
      <c r="H33" s="2052"/>
      <c r="I33" s="2052"/>
    </row>
    <row r="34" ht="15.75" spans="1:9">
      <c r="A34" s="2111"/>
      <c r="B34" s="2112" t="s">
        <v>820</v>
      </c>
      <c r="C34" s="2084" t="e">
        <f>典型户型修正!B3</f>
        <v>#DIV/0!</v>
      </c>
      <c r="D34" s="2052" t="s">
        <v>632</v>
      </c>
      <c r="E34" s="2052"/>
      <c r="F34" s="2052"/>
      <c r="G34" s="2052"/>
      <c r="H34" s="2052"/>
      <c r="I34" s="2052"/>
    </row>
    <row r="35" ht="15" spans="1:9">
      <c r="A35" s="2113"/>
      <c r="B35" s="2114" t="s">
        <v>644</v>
      </c>
      <c r="C35" s="2115">
        <f>IF('数据-取费表'!B3="万元",典型户型修正!V25,典型户型修正!U25)</f>
        <v>0</v>
      </c>
      <c r="D35" s="2052" t="str">
        <f>D33</f>
        <v>元</v>
      </c>
      <c r="E35" s="2052"/>
      <c r="F35" s="2052"/>
      <c r="G35" s="2052"/>
      <c r="H35" s="2052"/>
      <c r="I35" s="2052"/>
    </row>
    <row r="36" ht="15.75" spans="1:9">
      <c r="A36" s="2116"/>
      <c r="B36" s="2117" t="s">
        <v>646</v>
      </c>
      <c r="C36" s="2118">
        <f>IF('数据-取费表'!B3="万元",典型户型修正!Y25,典型户型修正!X25)</f>
        <v>0</v>
      </c>
      <c r="D36" s="2052" t="str">
        <f>D33</f>
        <v>元</v>
      </c>
      <c r="E36" s="2052"/>
      <c r="F36" s="2052"/>
      <c r="G36" s="2052"/>
      <c r="H36" s="2052"/>
      <c r="I36" s="2052"/>
    </row>
    <row r="37" ht="15.75" spans="1:9">
      <c r="A37" s="2119" t="s">
        <v>648</v>
      </c>
      <c r="B37" s="2120" t="s">
        <v>649</v>
      </c>
      <c r="C37" s="2121"/>
      <c r="D37" s="2122"/>
      <c r="E37" s="2123"/>
      <c r="F37" s="2123"/>
      <c r="G37" s="2052"/>
      <c r="H37" s="2052"/>
      <c r="I37" s="2052"/>
    </row>
    <row r="38" ht="15.75" spans="1:9">
      <c r="A38" s="2124"/>
      <c r="B38" s="2125" t="s">
        <v>650</v>
      </c>
      <c r="C38" s="2126"/>
      <c r="D38" s="2069"/>
      <c r="E38" s="2069"/>
      <c r="F38" s="2123"/>
      <c r="G38" s="2069"/>
      <c r="H38" s="2069"/>
      <c r="I38" s="2069"/>
    </row>
    <row r="39" ht="15.75" spans="1:9">
      <c r="A39" s="2127"/>
      <c r="B39" s="2128" t="s">
        <v>651</v>
      </c>
      <c r="C39" s="2129"/>
      <c r="D39" s="2130" t="s">
        <v>652</v>
      </c>
      <c r="E39" s="2069"/>
      <c r="F39" s="2123"/>
      <c r="G39" s="2069"/>
      <c r="H39" s="2069"/>
      <c r="I39" s="2069"/>
    </row>
    <row r="40" ht="14.25" spans="1:9">
      <c r="A40" s="2077" t="s">
        <v>653</v>
      </c>
      <c r="B40" s="2131" t="s">
        <v>636</v>
      </c>
      <c r="C40" s="2132" t="s">
        <v>637</v>
      </c>
      <c r="D40" s="2132" t="s">
        <v>654</v>
      </c>
      <c r="E40" s="2133" t="s">
        <v>638</v>
      </c>
      <c r="F40" s="2123"/>
      <c r="G40" s="2069"/>
      <c r="H40" s="2069"/>
      <c r="I40" s="2069"/>
    </row>
    <row r="41" ht="14.25" spans="1:9">
      <c r="A41" s="2134" t="s">
        <v>655</v>
      </c>
      <c r="B41" s="2135"/>
      <c r="C41" s="1491"/>
      <c r="D41" s="1491"/>
      <c r="E41" s="2136"/>
      <c r="F41" s="2123"/>
      <c r="G41" s="2069"/>
      <c r="H41" s="2069"/>
      <c r="I41" s="2069"/>
    </row>
    <row r="42" ht="14.25" spans="1:9">
      <c r="A42" s="2134" t="s">
        <v>656</v>
      </c>
      <c r="B42" s="2135"/>
      <c r="C42" s="1491"/>
      <c r="D42" s="1491"/>
      <c r="E42" s="2136"/>
      <c r="F42" s="2123"/>
      <c r="G42" s="2069"/>
      <c r="H42" s="2069"/>
      <c r="I42" s="2069"/>
    </row>
    <row r="43" ht="15" spans="1:9">
      <c r="A43" s="2137"/>
      <c r="B43" s="2138"/>
      <c r="C43" s="2139"/>
      <c r="D43" s="2139"/>
      <c r="E43" s="2140"/>
      <c r="F43" s="2123"/>
      <c r="G43" s="2069"/>
      <c r="H43" s="2069"/>
      <c r="I43" s="2069"/>
    </row>
    <row r="44" ht="13.5" spans="1:9">
      <c r="A44" s="2141"/>
      <c r="B44" s="2141"/>
      <c r="C44" s="2141"/>
      <c r="D44" s="2141"/>
      <c r="E44" s="2141"/>
      <c r="F44" s="2142"/>
      <c r="G44" s="2142"/>
      <c r="H44" s="2142"/>
      <c r="I44" s="2204"/>
    </row>
    <row r="45" ht="18.75" spans="1:16">
      <c r="A45" s="2143" t="s">
        <v>657</v>
      </c>
      <c r="B45" s="2144"/>
      <c r="C45" s="2144"/>
      <c r="D45" s="2145"/>
      <c r="E45" s="2145"/>
      <c r="F45" s="2146"/>
      <c r="G45" s="2146"/>
      <c r="H45" s="2146"/>
      <c r="I45" s="2146"/>
      <c r="J45" s="2205" t="s">
        <v>658</v>
      </c>
      <c r="K45" s="2206"/>
      <c r="L45" s="2206"/>
      <c r="M45" s="2206"/>
      <c r="N45" s="2206"/>
      <c r="O45" s="2206"/>
      <c r="P45" s="2049"/>
    </row>
    <row r="46" ht="14.25" customHeight="1" spans="1:16">
      <c r="A46" s="2147" t="s">
        <v>659</v>
      </c>
      <c r="B46" s="2148"/>
      <c r="C46" s="2149"/>
      <c r="D46" s="1652">
        <f ca="1">ROUND(I103*F46,0)</f>
        <v>0</v>
      </c>
      <c r="E46" s="2150" t="s">
        <v>660</v>
      </c>
      <c r="F46" s="2151">
        <v>1</v>
      </c>
      <c r="G46" s="2152" t="s">
        <v>661</v>
      </c>
      <c r="H46" s="2052"/>
      <c r="I46" s="2052"/>
      <c r="J46" s="2207" t="s">
        <v>662</v>
      </c>
      <c r="K46" s="2207"/>
      <c r="L46" s="2207"/>
      <c r="M46" s="2207"/>
      <c r="N46" s="2207"/>
      <c r="O46" s="2207"/>
      <c r="P46" s="2049"/>
    </row>
    <row r="47" ht="14.25" customHeight="1" spans="1:16">
      <c r="A47" s="2153" t="s">
        <v>663</v>
      </c>
      <c r="B47" s="2154"/>
      <c r="C47" s="2154"/>
      <c r="D47" s="2154"/>
      <c r="E47" s="2154"/>
      <c r="F47" s="2154"/>
      <c r="G47" s="2155"/>
      <c r="H47" s="2156"/>
      <c r="I47" s="1435"/>
      <c r="J47" s="1558">
        <v>1</v>
      </c>
      <c r="K47" s="2207" t="s">
        <v>664</v>
      </c>
      <c r="L47" s="2207"/>
      <c r="M47" s="2208"/>
      <c r="N47" s="2208"/>
      <c r="O47" s="2208"/>
      <c r="P47" s="2049"/>
    </row>
    <row r="48" ht="12" customHeight="1" spans="1:16">
      <c r="A48" s="2157" t="s">
        <v>665</v>
      </c>
      <c r="B48" s="2158"/>
      <c r="C48" s="2159"/>
      <c r="D48" s="2160" t="s">
        <v>666</v>
      </c>
      <c r="E48" s="1484" t="s">
        <v>667</v>
      </c>
      <c r="F48" s="1868" t="s">
        <v>668</v>
      </c>
      <c r="G48" s="2161" t="s">
        <v>669</v>
      </c>
      <c r="H48" s="2156"/>
      <c r="I48" s="1435"/>
      <c r="J48" s="1558">
        <v>2</v>
      </c>
      <c r="K48" s="2207" t="s">
        <v>670</v>
      </c>
      <c r="L48" s="2207"/>
      <c r="M48" s="2209">
        <f>'数据-取费表'!B2</f>
        <v>43426</v>
      </c>
      <c r="N48" s="2209"/>
      <c r="O48" s="2209"/>
      <c r="P48" s="2049"/>
    </row>
    <row r="49" ht="24.75" spans="1:16">
      <c r="A49" s="2162" t="s">
        <v>671</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672</v>
      </c>
      <c r="H49" s="2165" t="s">
        <v>673</v>
      </c>
      <c r="I49" s="2156"/>
      <c r="J49" s="1558">
        <v>3</v>
      </c>
      <c r="K49" s="2207" t="s">
        <v>674</v>
      </c>
      <c r="L49" s="2207"/>
      <c r="M49" s="2210">
        <f ca="1">I103</f>
        <v>0</v>
      </c>
      <c r="N49" s="2210"/>
      <c r="O49" s="2210"/>
      <c r="P49" s="2049"/>
    </row>
    <row r="50" ht="25.5" customHeight="1" spans="1:16">
      <c r="A50" s="2166" t="s">
        <v>675</v>
      </c>
      <c r="B50" s="1687" t="s">
        <v>676</v>
      </c>
      <c r="C50" s="1687"/>
      <c r="D50" s="1748">
        <v>0</v>
      </c>
      <c r="E50" s="2167" t="s">
        <v>677</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678</v>
      </c>
      <c r="C51" s="1687"/>
      <c r="D51" s="1774"/>
      <c r="E51" s="2171"/>
      <c r="F51" s="2172"/>
      <c r="G51" s="2173"/>
      <c r="H51" s="2052"/>
      <c r="I51" s="2211"/>
      <c r="J51" s="2207" t="s">
        <v>679</v>
      </c>
      <c r="K51" s="2207"/>
      <c r="L51" s="2207"/>
      <c r="M51" s="2207"/>
      <c r="N51" s="2207"/>
      <c r="O51" s="2207"/>
      <c r="P51" s="2049"/>
    </row>
    <row r="52" ht="12" customHeight="1" spans="1:16">
      <c r="A52" s="2174"/>
      <c r="B52" s="1687" t="s">
        <v>680</v>
      </c>
      <c r="C52" s="1687"/>
      <c r="D52" s="2175"/>
      <c r="E52" s="459"/>
      <c r="F52" s="2172"/>
      <c r="G52" s="2176"/>
      <c r="H52" s="2052"/>
      <c r="I52" s="2211"/>
      <c r="J52" s="2207" t="s">
        <v>681</v>
      </c>
      <c r="K52" s="2207" t="s">
        <v>682</v>
      </c>
      <c r="L52" s="2207"/>
      <c r="M52" s="2207" t="s">
        <v>683</v>
      </c>
      <c r="N52" s="2207" t="s">
        <v>684</v>
      </c>
      <c r="O52" s="2207" t="s">
        <v>685</v>
      </c>
      <c r="P52" s="2049"/>
    </row>
    <row r="53" ht="24" customHeight="1" spans="1:16">
      <c r="A53" s="2177" t="s">
        <v>686</v>
      </c>
      <c r="B53" s="1687" t="s">
        <v>687</v>
      </c>
      <c r="C53" s="1687"/>
      <c r="D53" s="2175">
        <f ca="1">ROUND(D46*'数据-取费表'!E29/(1+'数据-取费表'!F30),0)</f>
        <v>0</v>
      </c>
      <c r="E53" s="1487" t="s">
        <v>688</v>
      </c>
      <c r="F53" s="2178">
        <f>'数据-取费表'!E29</f>
        <v>0.056</v>
      </c>
      <c r="G53" s="2179"/>
      <c r="H53" s="2052"/>
      <c r="I53" s="2211"/>
      <c r="J53" s="1558">
        <v>1</v>
      </c>
      <c r="K53" s="1558" t="s">
        <v>689</v>
      </c>
      <c r="L53" s="1558"/>
      <c r="M53" s="2212">
        <f ca="1">D49</f>
        <v>0</v>
      </c>
      <c r="N53" s="1558" t="str">
        <f>E49</f>
        <v>销售额×税（费）率</v>
      </c>
      <c r="O53" s="2213">
        <f>F49</f>
        <v>0.056</v>
      </c>
      <c r="P53" s="2049"/>
    </row>
    <row r="54" ht="12" customHeight="1" spans="1:16">
      <c r="A54" s="2177" t="s">
        <v>690</v>
      </c>
      <c r="B54" s="1686" t="s">
        <v>691</v>
      </c>
      <c r="C54" s="2180"/>
      <c r="D54" s="2175">
        <f ca="1">ROUND(D46*'数据-取费表'!E29/(1+'数据-取费表'!F30),0)</f>
        <v>0</v>
      </c>
      <c r="E54" s="1487" t="s">
        <v>688</v>
      </c>
      <c r="F54" s="2178">
        <f>'数据-取费表'!E29</f>
        <v>0.056</v>
      </c>
      <c r="G54" s="2179"/>
      <c r="H54" s="2052"/>
      <c r="I54" s="2211"/>
      <c r="J54" s="1558">
        <v>2</v>
      </c>
      <c r="K54" s="1558" t="s">
        <v>692</v>
      </c>
      <c r="L54" s="1558"/>
      <c r="M54" s="2212">
        <f ca="1" t="shared" ref="M54:O55" si="1">D56</f>
        <v>0</v>
      </c>
      <c r="N54" s="1558" t="str">
        <f ca="1" t="shared" si="1"/>
        <v>销售额×税（费）率</v>
      </c>
      <c r="O54" s="2213">
        <f ca="1" t="shared" si="1"/>
        <v>0.0005</v>
      </c>
      <c r="P54" s="2049"/>
    </row>
    <row r="55" ht="12" customHeight="1" spans="1:16">
      <c r="A55" s="2177" t="s">
        <v>693</v>
      </c>
      <c r="B55" s="1686" t="s">
        <v>694</v>
      </c>
      <c r="C55" s="2180"/>
      <c r="D55" s="2175">
        <f ca="1">C69</f>
        <v>0</v>
      </c>
      <c r="E55" s="459" t="s">
        <v>695</v>
      </c>
      <c r="F55" s="2178">
        <f>'数据-取费表'!E29</f>
        <v>0.056</v>
      </c>
      <c r="G55" s="2179"/>
      <c r="H55" s="2181"/>
      <c r="I55" s="2211"/>
      <c r="J55" s="1558">
        <v>3</v>
      </c>
      <c r="K55" s="1558" t="s">
        <v>696</v>
      </c>
      <c r="L55" s="1558"/>
      <c r="M55" s="2212">
        <f ca="1" t="shared" si="1"/>
        <v>0</v>
      </c>
      <c r="N55" s="1558" t="str">
        <f ca="1" t="shared" si="1"/>
        <v>增值额×税（费）率</v>
      </c>
      <c r="O55" s="2214" t="str">
        <f ca="1" t="shared" si="1"/>
        <v>——</v>
      </c>
      <c r="P55" s="2049"/>
    </row>
    <row r="56" ht="24" customHeight="1" spans="1:16">
      <c r="A56" s="2182" t="s">
        <v>697</v>
      </c>
      <c r="B56" s="1707"/>
      <c r="C56" s="1707"/>
      <c r="D56" s="1746">
        <f ca="1">IF(H56="个人住宅",0,ROUND(D46*I56,0))</f>
        <v>0</v>
      </c>
      <c r="E56" s="1487" t="s">
        <v>698</v>
      </c>
      <c r="F56" s="2178">
        <f>IF(H56="正常",I56,"免征")</f>
        <v>0.0005</v>
      </c>
      <c r="G56" s="2179"/>
      <c r="H56" s="2165" t="s">
        <v>699</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4.75" spans="1:16">
      <c r="A57" s="2182" t="s">
        <v>700</v>
      </c>
      <c r="B57" s="1707"/>
      <c r="C57" s="1707"/>
      <c r="D57" s="1746">
        <f ca="1">IF(H57="个人住宅",D58,D59)</f>
        <v>0</v>
      </c>
      <c r="E57" s="1487" t="s">
        <v>701</v>
      </c>
      <c r="F57" s="2178" t="str">
        <f>IF(H57="正常",F59,"免征")</f>
        <v>——</v>
      </c>
      <c r="G57" s="2183" t="s">
        <v>702</v>
      </c>
      <c r="H57" s="2184" t="s">
        <v>699</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3.5" spans="1:16">
      <c r="A58" s="2177" t="s">
        <v>675</v>
      </c>
      <c r="B58" s="2058" t="s">
        <v>703</v>
      </c>
      <c r="C58" s="2185"/>
      <c r="D58" s="2186">
        <v>0</v>
      </c>
      <c r="E58" s="2167" t="s">
        <v>677</v>
      </c>
      <c r="F58" s="1439"/>
      <c r="G58" s="2179"/>
      <c r="H58" s="2187"/>
      <c r="I58" s="2187"/>
      <c r="J58" s="1558">
        <f>IF(AND(J56="",J57=""),4,IF(项目基本情况!I6="上海银行",J57+1,J56+1))</f>
        <v>4</v>
      </c>
      <c r="K58" s="1558" t="s">
        <v>704</v>
      </c>
      <c r="L58" s="2223" t="s">
        <v>705</v>
      </c>
      <c r="M58" s="2224"/>
      <c r="N58" s="2225">
        <f ca="1">SUMIF(M53:M57,"&lt;9e307")</f>
        <v>0</v>
      </c>
      <c r="O58" s="2226"/>
      <c r="P58" s="2227" t="e">
        <f ca="1">N58/M50</f>
        <v>#VALUE!</v>
      </c>
    </row>
    <row r="59" ht="24.75" spans="1:16">
      <c r="A59" s="2177" t="s">
        <v>686</v>
      </c>
      <c r="B59" s="2058" t="s">
        <v>706</v>
      </c>
      <c r="C59" s="1869"/>
      <c r="D59" s="1746">
        <f ca="1">IF(H59="转让取得",C82,C98)</f>
        <v>0</v>
      </c>
      <c r="E59" s="1487" t="s">
        <v>701</v>
      </c>
      <c r="F59" s="1484" t="s">
        <v>121</v>
      </c>
      <c r="G59" s="2179"/>
      <c r="H59" s="2184" t="s">
        <v>707</v>
      </c>
      <c r="I59" s="2187"/>
      <c r="J59" s="1558"/>
      <c r="K59" s="1558"/>
      <c r="L59" s="2223" t="s">
        <v>708</v>
      </c>
      <c r="M59" s="2228"/>
      <c r="N59" s="2229" t="str">
        <f ca="1">IF(H19="元",NUMBERSTRING(INT(N58),2)&amp;"元整",NUMBERSTRING(INT(N58*10000),2)&amp;"元整")</f>
        <v>零元整</v>
      </c>
      <c r="O59" s="2230"/>
      <c r="P59" s="2049"/>
    </row>
    <row r="60" ht="24.75" spans="1:16">
      <c r="A60" s="2188" t="s">
        <v>709</v>
      </c>
      <c r="B60" s="2189"/>
      <c r="C60" s="2189"/>
      <c r="D60" s="2190" t="str">
        <f ca="1">IF(H60="非个人房产","——",IF(H60="个人住宅",0,ROUND(D46*I60,0)))</f>
        <v>——</v>
      </c>
      <c r="E60" s="2191" t="str">
        <f>IF(H60="非个人房产","——","销售额×税（费）率")</f>
        <v>——</v>
      </c>
      <c r="F60" s="2192" t="str">
        <f>IF(H60="非个人房产","——",IF(H60="个人住宅","免征",I60))</f>
        <v>——</v>
      </c>
      <c r="G60" s="2193" t="s">
        <v>702</v>
      </c>
      <c r="H60" s="2184" t="s">
        <v>821</v>
      </c>
      <c r="I60" s="2231">
        <v>0.01</v>
      </c>
      <c r="J60" s="2217">
        <f>J58+1</f>
        <v>5</v>
      </c>
      <c r="K60" s="1558" t="s">
        <v>711</v>
      </c>
      <c r="L60" s="1558" t="s">
        <v>705</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708</v>
      </c>
      <c r="M61" s="2228"/>
      <c r="N61" s="2229" t="e">
        <f ca="1">IF(H19="元",NUMBERSTRING(INT(N60),2)&amp;"元整",NUMBERSTRING(INT(N60*10000),2)&amp;"元整")</f>
        <v>#VALUE!</v>
      </c>
      <c r="O61" s="2230"/>
      <c r="P61" s="2049"/>
    </row>
    <row r="62" ht="14.25" spans="1:16">
      <c r="A62" s="2195" t="s">
        <v>712</v>
      </c>
      <c r="B62" s="2195"/>
      <c r="C62" s="2195"/>
      <c r="D62" s="2195"/>
      <c r="E62" s="2195"/>
      <c r="F62" s="2187"/>
      <c r="G62" s="2187"/>
      <c r="H62" s="2141"/>
      <c r="I62" s="2052"/>
      <c r="J62" s="1558">
        <f>J60+1</f>
        <v>6</v>
      </c>
      <c r="K62" s="1558" t="s">
        <v>713</v>
      </c>
      <c r="L62" s="1558"/>
      <c r="M62" s="2236"/>
      <c r="N62" s="2237" t="e">
        <f ca="1">IF(H19="元",ROUND(N60/项目基本情况!C12,0),ROUND(N60*10000/项目基本情况!C12,0))</f>
        <v>#VALUE!</v>
      </c>
      <c r="O62" s="2238"/>
      <c r="P62" s="2049"/>
    </row>
    <row r="63" ht="13.5" spans="1:16">
      <c r="A63" s="2196" t="s">
        <v>714</v>
      </c>
      <c r="B63" s="471"/>
      <c r="C63" s="471"/>
      <c r="D63" s="471" t="s">
        <v>715</v>
      </c>
      <c r="E63" s="2197" t="s">
        <v>669</v>
      </c>
      <c r="F63" s="2187"/>
      <c r="G63" s="2187"/>
      <c r="H63" s="2141"/>
      <c r="I63" s="2052"/>
      <c r="J63" s="2049"/>
      <c r="K63" s="2049"/>
      <c r="L63" s="2049"/>
      <c r="M63" s="2049"/>
      <c r="N63" s="2049"/>
      <c r="O63" s="2049"/>
      <c r="P63" s="2049"/>
    </row>
    <row r="64" ht="13.5" spans="1:16">
      <c r="A64" s="2198">
        <v>1</v>
      </c>
      <c r="B64" s="2199" t="s">
        <v>716</v>
      </c>
      <c r="C64" s="2200">
        <f ca="1">ROUND((C65+C66)/(1+'数据-取费表'!F30),0)</f>
        <v>0</v>
      </c>
      <c r="D64" s="2201"/>
      <c r="E64" s="2202"/>
      <c r="F64" s="2187"/>
      <c r="G64" s="2187"/>
      <c r="H64" s="2141"/>
      <c r="I64" s="2052"/>
      <c r="J64" s="2239" t="s">
        <v>717</v>
      </c>
      <c r="K64" s="2239" t="s">
        <v>718</v>
      </c>
      <c r="L64" s="2240" t="e">
        <f ca="1">IF(M50&gt;10000,M50*0.5%,IF(AND(M50&gt;1000,M50&lt;=10000),M50*1%,IF(AND(M50&gt;100,M50&lt;=1000),M50*3%,IF(AND(M50&gt;10,M50&lt;=100),M50*5%,M50*8%))))</f>
        <v>#VALUE!</v>
      </c>
      <c r="M64" s="1484" t="e">
        <f ca="1">ROUND(L64,1)</f>
        <v>#VALUE!</v>
      </c>
      <c r="N64" s="2049"/>
      <c r="O64" s="2049"/>
      <c r="P64" s="2049"/>
    </row>
    <row r="65" ht="13.5" spans="1:16">
      <c r="A65" s="2241" t="s">
        <v>719</v>
      </c>
      <c r="B65" s="416" t="s">
        <v>720</v>
      </c>
      <c r="C65" s="2242">
        <f ca="1">D46</f>
        <v>0</v>
      </c>
      <c r="D65" s="446" t="s">
        <v>121</v>
      </c>
      <c r="E65" s="2243"/>
      <c r="F65" s="2187"/>
      <c r="G65" s="2187"/>
      <c r="H65" s="2141"/>
      <c r="I65" s="2052"/>
      <c r="J65" s="2239"/>
      <c r="K65" s="2239" t="s">
        <v>721</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722</v>
      </c>
      <c r="O65" s="2049"/>
      <c r="P65" s="2049"/>
    </row>
    <row r="66" ht="13.5" spans="1:16">
      <c r="A66" s="2241" t="s">
        <v>723</v>
      </c>
      <c r="B66" s="416" t="s">
        <v>724</v>
      </c>
      <c r="C66" s="2244"/>
      <c r="D66" s="446"/>
      <c r="E66" s="2243"/>
      <c r="F66" s="2187"/>
      <c r="G66" s="2187"/>
      <c r="H66" s="2141"/>
      <c r="I66" s="2052"/>
      <c r="J66" s="2239"/>
      <c r="K66" s="2239" t="s">
        <v>725</v>
      </c>
      <c r="L66" s="2240" t="e">
        <f ca="1">IF(M50&gt;1000,M50*0.1%,IF(AND(M50&gt;500,M50&lt;=1000),M50*0.5%,IF(AND(M50&gt;50,M50&lt;=500),M50*1%,IF(AND(M50&gt;1,M50&lt;=50),M50*1.5%))))</f>
        <v>#VALUE!</v>
      </c>
      <c r="M66" s="1484" t="e">
        <f ca="1" t="shared" si="2"/>
        <v>#VALUE!</v>
      </c>
      <c r="N66" s="2049" t="s">
        <v>722</v>
      </c>
      <c r="O66" s="2049"/>
      <c r="P66" s="2049"/>
    </row>
    <row r="67" ht="13.5" spans="1:16">
      <c r="A67" s="2245" t="s">
        <v>726</v>
      </c>
      <c r="B67" s="2246" t="s">
        <v>727</v>
      </c>
      <c r="C67" s="2247"/>
      <c r="D67" s="517" t="s">
        <v>121</v>
      </c>
      <c r="E67" s="2248" t="s">
        <v>728</v>
      </c>
      <c r="F67" s="2187"/>
      <c r="G67" s="2187"/>
      <c r="H67" s="2141"/>
      <c r="I67" s="2052"/>
      <c r="J67" s="2239"/>
      <c r="K67" s="2239" t="s">
        <v>729</v>
      </c>
      <c r="L67" s="2240" t="e">
        <f ca="1">M50*0.5%</f>
        <v>#VALUE!</v>
      </c>
      <c r="M67" s="1484" t="e">
        <f ca="1">IF(L67&gt;0.5,0.5,ROUND(L67,0))</f>
        <v>#VALUE!</v>
      </c>
      <c r="N67" s="2049" t="s">
        <v>730</v>
      </c>
      <c r="O67" s="2049"/>
      <c r="P67" s="2049"/>
    </row>
    <row r="68" ht="13.5" spans="1:16">
      <c r="A68" s="2245" t="s">
        <v>731</v>
      </c>
      <c r="B68" s="2246" t="s">
        <v>732</v>
      </c>
      <c r="C68" s="2249">
        <f ca="1">C64-C67</f>
        <v>0</v>
      </c>
      <c r="D68" s="446" t="s">
        <v>121</v>
      </c>
      <c r="E68" s="2243"/>
      <c r="F68" s="2187"/>
      <c r="G68" s="2187"/>
      <c r="H68" s="2141"/>
      <c r="I68" s="2052"/>
      <c r="J68" s="2239"/>
      <c r="K68" s="2239" t="s">
        <v>733</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4.25" spans="1:16">
      <c r="A69" s="2250" t="s">
        <v>734</v>
      </c>
      <c r="B69" s="2251" t="s">
        <v>735</v>
      </c>
      <c r="C69" s="2252">
        <f ca="1">IF(C68&lt;=0,0,ROUND(C68*D69,0))</f>
        <v>0</v>
      </c>
      <c r="D69" s="612">
        <f>'数据-取费表'!E29</f>
        <v>0.056</v>
      </c>
      <c r="E69" s="2253"/>
      <c r="F69" s="2187"/>
      <c r="G69" s="2187"/>
      <c r="H69" s="2141"/>
      <c r="I69" s="2052"/>
      <c r="J69" s="2239"/>
      <c r="K69" s="2239" t="s">
        <v>736</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737</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5" spans="1:35">
      <c r="A71" s="2258" t="s">
        <v>738</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196" t="s">
        <v>714</v>
      </c>
      <c r="B72" s="471"/>
      <c r="C72" s="471"/>
      <c r="D72" s="471" t="s">
        <v>715</v>
      </c>
      <c r="E72" s="2260" t="s">
        <v>669</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3">
        <v>1</v>
      </c>
      <c r="B73" s="2246" t="s">
        <v>739</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4.25" spans="1:35">
      <c r="A74" s="2265">
        <v>2</v>
      </c>
      <c r="B74" s="1868" t="s">
        <v>741</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742</v>
      </c>
      <c r="B75" s="416" t="s">
        <v>743</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14.25" spans="1:35">
      <c r="A76" s="2266" t="s">
        <v>744</v>
      </c>
      <c r="B76" s="416" t="s">
        <v>745</v>
      </c>
      <c r="C76" s="555"/>
      <c r="D76" s="446" t="s">
        <v>121</v>
      </c>
      <c r="E76" s="2267" t="s">
        <v>746</v>
      </c>
      <c r="F76" s="2268" t="s">
        <v>747</v>
      </c>
      <c r="G76" s="2267" t="s">
        <v>748</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749</v>
      </c>
      <c r="B77" s="2270" t="s">
        <v>750</v>
      </c>
      <c r="C77" s="446">
        <f>IF(F76="购房发票",ROUND(C76*H76*D77,0),0)</f>
        <v>0</v>
      </c>
      <c r="D77" s="2271">
        <v>0.05</v>
      </c>
      <c r="E77" s="1686" t="s">
        <v>751</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752</v>
      </c>
      <c r="B78" s="416" t="s">
        <v>753</v>
      </c>
      <c r="C78" s="446">
        <f>ROUND(IF(G78="个人住宅",0,IF(G78="2016年5月1日前购买",C76*D78,C76*D78/(1+'数据-取费表'!F30))),0)</f>
        <v>0</v>
      </c>
      <c r="D78" s="2273">
        <f>'数据-取费表'!E36+'数据-取费表'!E37</f>
        <v>0.0305</v>
      </c>
      <c r="E78" s="1767" t="s">
        <v>754</v>
      </c>
      <c r="F78" s="2274"/>
      <c r="G78" s="2275" t="s">
        <v>755</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756</v>
      </c>
      <c r="B79" s="416" t="s">
        <v>757</v>
      </c>
      <c r="C79" s="2276">
        <f ca="1">ROUND(D46*D79/(1+'数据-取费表'!F30),0)</f>
        <v>0</v>
      </c>
      <c r="D79" s="2277">
        <f>'数据-取费表'!E31</f>
        <v>0.006</v>
      </c>
      <c r="E79" s="2278" t="s">
        <v>758</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4.25" spans="1:35">
      <c r="A80" s="2281" t="s">
        <v>731</v>
      </c>
      <c r="B80" s="2246" t="s">
        <v>759</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14.25" spans="1:35">
      <c r="A81" s="2281" t="s">
        <v>734</v>
      </c>
      <c r="B81" s="2246" t="s">
        <v>760</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5" spans="1:35">
      <c r="A82" s="2283" t="s">
        <v>761</v>
      </c>
      <c r="B82" s="2251" t="s">
        <v>762</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5" spans="1:35">
      <c r="A84" s="2258" t="s">
        <v>763</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4.25" spans="1:35">
      <c r="A85" s="2196" t="s">
        <v>714</v>
      </c>
      <c r="B85" s="471"/>
      <c r="C85" s="471"/>
      <c r="D85" s="471" t="s">
        <v>715</v>
      </c>
      <c r="E85" s="2260" t="s">
        <v>669</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3">
        <v>1</v>
      </c>
      <c r="B86" s="2246" t="s">
        <v>739</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5">
        <v>2</v>
      </c>
      <c r="B87" s="1868" t="s">
        <v>741</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742</v>
      </c>
      <c r="B88" s="416" t="s">
        <v>764</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744</v>
      </c>
      <c r="B89" s="416" t="s">
        <v>765</v>
      </c>
      <c r="C89" s="2294"/>
      <c r="D89" s="2277"/>
      <c r="E89" s="2295" t="s">
        <v>766</v>
      </c>
      <c r="F89" s="2279"/>
      <c r="G89" s="2296" t="s">
        <v>767</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749</v>
      </c>
      <c r="B90" s="416" t="s">
        <v>753</v>
      </c>
      <c r="C90" s="2276">
        <f>ROUND(C89*D90,0)</f>
        <v>0</v>
      </c>
      <c r="D90" s="2277">
        <f>'数据-取费表'!E36+'数据-取费表'!E37</f>
        <v>0.0305</v>
      </c>
      <c r="E90" s="2295" t="s">
        <v>768</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4.25" spans="1:35">
      <c r="A91" s="2266" t="s">
        <v>756</v>
      </c>
      <c r="B91" s="416" t="s">
        <v>769</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770</v>
      </c>
      <c r="B92" s="416" t="s">
        <v>771</v>
      </c>
      <c r="C92" s="2276">
        <f>IF(H92="——",成本法!C33,I92)</f>
        <v>0</v>
      </c>
      <c r="D92" s="2277"/>
      <c r="E92" s="2278" t="s">
        <v>772</v>
      </c>
      <c r="F92" s="2279"/>
      <c r="G92" s="2279"/>
      <c r="H92" s="2298" t="s">
        <v>773</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774</v>
      </c>
      <c r="B93" s="416" t="s">
        <v>775</v>
      </c>
      <c r="C93" s="2276">
        <f>ROUND((C88+C91+C92)*D93,0)</f>
        <v>0</v>
      </c>
      <c r="D93" s="2277">
        <v>0.1</v>
      </c>
      <c r="E93" s="2278" t="s">
        <v>776</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777</v>
      </c>
      <c r="B94" s="416" t="s">
        <v>757</v>
      </c>
      <c r="C94" s="2276">
        <f ca="1">ROUND(D46*D94/(1+'数据-取费表'!F30),0)</f>
        <v>0</v>
      </c>
      <c r="D94" s="2277">
        <f>'数据-取费表'!E31</f>
        <v>0.006</v>
      </c>
      <c r="E94" s="2278" t="s">
        <v>758</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778</v>
      </c>
      <c r="B95" s="416" t="s">
        <v>779</v>
      </c>
      <c r="C95" s="2276">
        <f>ROUND((C88+C91+C92)*D95,0)</f>
        <v>0</v>
      </c>
      <c r="D95" s="2277">
        <v>0.2</v>
      </c>
      <c r="E95" s="2278" t="s">
        <v>780</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4.25" spans="1:35">
      <c r="A96" s="2281" t="s">
        <v>731</v>
      </c>
      <c r="B96" s="2246" t="s">
        <v>759</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14.25" spans="1:35">
      <c r="A97" s="2281" t="s">
        <v>734</v>
      </c>
      <c r="B97" s="2246" t="s">
        <v>760</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5" spans="1:35">
      <c r="A98" s="2283" t="s">
        <v>761</v>
      </c>
      <c r="B98" s="2251" t="s">
        <v>762</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781</v>
      </c>
      <c r="B99" s="2052"/>
      <c r="C99" s="2052"/>
      <c r="D99" s="2052"/>
      <c r="E99" s="2187"/>
      <c r="F99" s="2187"/>
      <c r="G99" s="2187"/>
      <c r="H99" s="2141"/>
      <c r="I99" s="2052"/>
    </row>
    <row r="100" ht="15.75" spans="1:9">
      <c r="A100" s="2300" t="s">
        <v>782</v>
      </c>
      <c r="B100" s="2301"/>
      <c r="C100" s="2301"/>
      <c r="D100" s="2302"/>
      <c r="E100" s="2052"/>
      <c r="F100" s="2303" t="s">
        <v>783</v>
      </c>
      <c r="G100" s="2304"/>
      <c r="H100" s="2304"/>
      <c r="I100" s="2390"/>
    </row>
    <row r="101" ht="15.75" spans="1:9">
      <c r="A101" s="2305" t="s">
        <v>784</v>
      </c>
      <c r="B101" s="2306"/>
      <c r="C101" s="2307">
        <f>C4</f>
        <v>0</v>
      </c>
      <c r="D101" s="2308">
        <f>D4</f>
        <v>0</v>
      </c>
      <c r="E101" s="2052"/>
      <c r="F101" s="2309" t="s">
        <v>785</v>
      </c>
      <c r="G101" s="2310"/>
      <c r="H101" s="2311" t="s">
        <v>786</v>
      </c>
      <c r="I101" s="2391"/>
    </row>
    <row r="102" ht="15.75" spans="1:9">
      <c r="A102" s="2312" t="s">
        <v>822</v>
      </c>
      <c r="B102" s="2313" t="str">
        <f>IF(H19="元","总价（元）","总价（万元）")</f>
        <v>总价（元）</v>
      </c>
      <c r="C102" s="2307" t="e">
        <f ca="1">C19</f>
        <v>#REF!</v>
      </c>
      <c r="D102" s="2308" t="e">
        <f ca="1">D19</f>
        <v>#REF!</v>
      </c>
      <c r="E102" s="2052"/>
      <c r="F102" s="2314"/>
      <c r="G102" s="2315"/>
      <c r="H102" s="2316">
        <f>典型户型修正!B25</f>
        <v>0</v>
      </c>
      <c r="I102" s="2391"/>
    </row>
    <row r="103" ht="15.75" spans="1:9">
      <c r="A103" s="2312"/>
      <c r="B103" s="2313" t="s">
        <v>788</v>
      </c>
      <c r="C103" s="2317" t="e">
        <f ca="1">C20</f>
        <v>#REF!</v>
      </c>
      <c r="D103" s="2318" t="e">
        <f ca="1">D20</f>
        <v>#REF!</v>
      </c>
      <c r="E103" s="2052"/>
      <c r="F103" s="2319" t="s">
        <v>789</v>
      </c>
      <c r="G103" s="2320"/>
      <c r="H103" s="2321" t="str">
        <f>C109</f>
        <v>总价（元）</v>
      </c>
      <c r="I103" s="2392">
        <f ca="1">H124</f>
        <v>0</v>
      </c>
    </row>
    <row r="104" ht="15" spans="1:9">
      <c r="A104" s="2312" t="s">
        <v>823</v>
      </c>
      <c r="B104" s="2322" t="str">
        <f>B102</f>
        <v>总价（元）</v>
      </c>
      <c r="C104" s="2323" t="e">
        <f ca="1">ROUND(IF('数据-取费表'!B4="总价",G19,IF(H19="元",G20*'数据-取费表'!E5,G20*'数据-取费表'!E5/10000)),0)</f>
        <v>#REF!</v>
      </c>
      <c r="D104" s="2324"/>
      <c r="E104" s="2052"/>
      <c r="F104" s="2319"/>
      <c r="G104" s="2320"/>
      <c r="H104" s="2321" t="s">
        <v>788</v>
      </c>
      <c r="I104" s="2393" t="e">
        <f>I124</f>
        <v>#DIV/0!</v>
      </c>
    </row>
    <row r="105" ht="15.75" spans="1:9">
      <c r="A105" s="2312"/>
      <c r="B105" s="2313" t="s">
        <v>788</v>
      </c>
      <c r="C105" s="2325" t="e">
        <f ca="1">ROUND(IF('数据-取费表'!B4="楼面单价",G20,IF(H19="元",G19/'数据-取费表'!E5,G19*10000/'数据-取费表'!E5)),0)</f>
        <v>#REF!</v>
      </c>
      <c r="D105" s="2324"/>
      <c r="E105" s="2052"/>
      <c r="F105" s="2326"/>
      <c r="G105" s="2327"/>
      <c r="H105" s="2328"/>
      <c r="I105" s="2394"/>
    </row>
    <row r="106" ht="15.75" spans="1:9">
      <c r="A106" s="2329" t="s">
        <v>824</v>
      </c>
      <c r="B106" s="2330" t="str">
        <f>B102</f>
        <v>总价（元）</v>
      </c>
      <c r="C106" s="2331">
        <f ca="1">H124</f>
        <v>0</v>
      </c>
      <c r="D106" s="2332"/>
      <c r="E106" s="2052"/>
      <c r="F106" s="2333" t="s">
        <v>792</v>
      </c>
      <c r="G106" s="2334"/>
      <c r="H106" s="2335" t="str">
        <f>C111</f>
        <v>总额（元）</v>
      </c>
      <c r="I106" s="2392">
        <f>SUMIF(I107:I109,"&lt;9E307")</f>
        <v>0</v>
      </c>
    </row>
    <row r="107" ht="15.75" spans="1:11">
      <c r="A107" s="2336"/>
      <c r="B107" s="2337" t="s">
        <v>788</v>
      </c>
      <c r="C107" s="2338" t="e">
        <f>I124</f>
        <v>#DIV/0!</v>
      </c>
      <c r="D107" s="2339"/>
      <c r="E107" s="2052"/>
      <c r="F107" s="2340" t="s">
        <v>794</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 spans="1:11">
      <c r="A108" s="2342" t="s">
        <v>791</v>
      </c>
      <c r="B108" s="2343"/>
      <c r="C108" s="2343"/>
      <c r="D108" s="2344"/>
      <c r="E108" s="2052"/>
      <c r="F108" s="2340" t="s">
        <v>795</v>
      </c>
      <c r="G108" s="2341"/>
      <c r="H108" s="2335" t="str">
        <f>C113</f>
        <v>总额（元）</v>
      </c>
      <c r="I108" s="2393">
        <f>C38</f>
        <v>0</v>
      </c>
      <c r="K108" s="2395"/>
    </row>
    <row r="109" ht="15" spans="1:9">
      <c r="A109" s="2345" t="s">
        <v>825</v>
      </c>
      <c r="B109" s="2346"/>
      <c r="C109" s="2321" t="str">
        <f>B102</f>
        <v>总价（元）</v>
      </c>
      <c r="D109" s="2347">
        <f ca="1">H124</f>
        <v>0</v>
      </c>
      <c r="E109" s="2052"/>
      <c r="F109" s="2340" t="s">
        <v>797</v>
      </c>
      <c r="G109" s="2341"/>
      <c r="H109" s="2335" t="str">
        <f>C114</f>
        <v>总额（元）</v>
      </c>
      <c r="I109" s="2393">
        <f>C39</f>
        <v>0</v>
      </c>
    </row>
    <row r="110" ht="15.75" spans="1:9">
      <c r="A110" s="2345"/>
      <c r="B110" s="2346"/>
      <c r="C110" s="2321" t="s">
        <v>788</v>
      </c>
      <c r="D110" s="2348" t="e">
        <f>I124</f>
        <v>#DIV/0!</v>
      </c>
      <c r="E110" s="2052"/>
      <c r="F110" s="2326"/>
      <c r="G110" s="2327"/>
      <c r="H110" s="2349"/>
      <c r="I110" s="2396"/>
    </row>
    <row r="111" ht="28.5" customHeight="1" spans="1:9">
      <c r="A111" s="2350" t="s">
        <v>796</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 spans="1:9">
      <c r="A112" s="2340" t="s">
        <v>794</v>
      </c>
      <c r="B112" s="2341"/>
      <c r="C112" s="2335" t="str">
        <f>C111</f>
        <v>总额（元）</v>
      </c>
      <c r="D112" s="812">
        <f>IF(D37="同一抵押权人同一抵押物续贷",C37&amp;"（未扣减，详见特别提示）",C37)</f>
        <v>0</v>
      </c>
      <c r="E112" s="2052"/>
      <c r="F112" s="2355"/>
      <c r="G112" s="2356"/>
      <c r="H112" s="2321" t="s">
        <v>788</v>
      </c>
      <c r="I112" s="2397" t="e">
        <f ca="1">D116</f>
        <v>#DIV/0!</v>
      </c>
    </row>
    <row r="113" ht="15.75" spans="1:9">
      <c r="A113" s="2340" t="s">
        <v>795</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 spans="1:9">
      <c r="A114" s="2340" t="s">
        <v>797</v>
      </c>
      <c r="B114" s="2341"/>
      <c r="C114" s="2335" t="str">
        <f>C111</f>
        <v>总额（元）</v>
      </c>
      <c r="D114" s="812">
        <f>C39</f>
        <v>0</v>
      </c>
      <c r="E114" s="2052"/>
      <c r="F114" s="2355"/>
      <c r="G114" s="2356"/>
      <c r="H114" s="2321" t="s">
        <v>788</v>
      </c>
      <c r="I114" s="2393" t="str">
        <f ca="1">D118</f>
        <v>——</v>
      </c>
    </row>
    <row r="115" ht="15.75"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5.75" spans="1:9">
      <c r="A116" s="2345"/>
      <c r="B116" s="2346"/>
      <c r="C116" s="2321" t="s">
        <v>788</v>
      </c>
      <c r="D116" s="2348" t="e">
        <f ca="1">ROUND(IF(D115=D109,D110,IF(H19="元",D115/B124,D115*10000/B124)),0)</f>
        <v>#DIV/0!</v>
      </c>
      <c r="E116" s="2052"/>
      <c r="F116" s="2357"/>
      <c r="G116" s="2358"/>
      <c r="H116" s="2359" t="s">
        <v>788</v>
      </c>
      <c r="I116" s="2398" t="str">
        <f ca="1">D120</f>
        <v>——</v>
      </c>
    </row>
    <row r="117" ht="15.75"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 spans="1:26">
      <c r="A118" s="2345"/>
      <c r="B118" s="2346"/>
      <c r="C118" s="2321" t="s">
        <v>788</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5.75" spans="1:26">
      <c r="A120" s="2363"/>
      <c r="B120" s="2364"/>
      <c r="C120" s="2359" t="s">
        <v>788</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5" spans="1:26">
      <c r="A121" s="2366" t="s">
        <v>798</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4.25" spans="1:26">
      <c r="A122" s="2368" t="s">
        <v>799</v>
      </c>
      <c r="B122" s="2056" t="s">
        <v>800</v>
      </c>
      <c r="C122" s="2056" t="s">
        <v>801</v>
      </c>
      <c r="D122" s="2369" t="s">
        <v>802</v>
      </c>
      <c r="E122" s="2370"/>
      <c r="F122" s="952" t="s">
        <v>646</v>
      </c>
      <c r="G122" s="952"/>
      <c r="H122" s="952" t="s">
        <v>803</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25" spans="1:26">
      <c r="A123" s="2368"/>
      <c r="B123" s="2371"/>
      <c r="C123" s="2371"/>
      <c r="D123" s="952" t="s">
        <v>804</v>
      </c>
      <c r="E123" s="952" t="s">
        <v>631</v>
      </c>
      <c r="F123" s="952" t="s">
        <v>804</v>
      </c>
      <c r="G123" s="952" t="s">
        <v>631</v>
      </c>
      <c r="H123" s="952" t="s">
        <v>804</v>
      </c>
      <c r="I123" s="812" t="s">
        <v>631</v>
      </c>
      <c r="J123" s="1433"/>
      <c r="K123" s="1433"/>
      <c r="L123" s="1433"/>
      <c r="M123" s="1433"/>
      <c r="N123" s="1433"/>
      <c r="O123" s="1433"/>
      <c r="P123" s="1433"/>
      <c r="Q123" s="1433"/>
      <c r="R123" s="1433"/>
      <c r="S123" s="1433"/>
      <c r="T123" s="1433"/>
      <c r="U123" s="1433"/>
      <c r="V123" s="1433"/>
      <c r="W123" s="1433"/>
      <c r="X123" s="1433"/>
      <c r="Y123" s="1433"/>
      <c r="Z123" s="1433"/>
    </row>
    <row r="124" s="2049" customFormat="1" ht="14.25"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4.25" spans="1:26">
      <c r="A125" s="2368" t="s">
        <v>805</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5"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4.25" spans="1:26">
      <c r="A127" s="2379" t="s">
        <v>805</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5"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4.25" spans="1:26">
      <c r="A129" s="2368" t="s">
        <v>805</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5.7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75" spans="1:26">
      <c r="A131" s="2368" t="s">
        <v>805</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6.5"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75" spans="1:26">
      <c r="A133" s="2407" t="s">
        <v>805</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2.75"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806</v>
      </c>
      <c r="B136" s="2413"/>
      <c r="C136" s="2414" t="s">
        <v>807</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808</v>
      </c>
      <c r="G142" s="2424"/>
      <c r="H142" s="2424"/>
      <c r="I142" s="2433" t="s">
        <v>809</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810</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811</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812</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811</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C6" sqref="C6"/>
    </sheetView>
  </sheetViews>
  <sheetFormatPr defaultColWidth="8.38333333333333" defaultRowHeight="12.75" outlineLevelCol="6"/>
  <cols>
    <col min="1" max="1" width="9.38333333333333" style="1978" customWidth="1"/>
    <col min="2" max="2" width="29.25" style="1979" customWidth="1"/>
    <col min="3" max="3" width="12.1333333333333" style="1979" customWidth="1"/>
    <col min="4" max="4" width="12.25" style="1980" customWidth="1"/>
    <col min="5" max="5" width="11.25" style="1980" customWidth="1"/>
    <col min="6" max="6" width="9.5" style="1979" customWidth="1"/>
    <col min="7" max="7" width="31.8833333333333" style="1979" customWidth="1"/>
    <col min="8" max="254" width="9" style="1979" customWidth="1"/>
    <col min="255" max="16384" width="8.38333333333333" style="1979"/>
  </cols>
  <sheetData>
    <row r="1" s="1973" customFormat="1" ht="20.25" spans="1:7">
      <c r="A1" s="401" t="s">
        <v>826</v>
      </c>
      <c r="B1" s="1889" t="s">
        <v>97</v>
      </c>
      <c r="C1" s="403"/>
      <c r="D1" s="403"/>
      <c r="E1" s="403"/>
      <c r="F1" s="403"/>
      <c r="G1" s="1137"/>
    </row>
    <row r="2" s="1973" customFormat="1" ht="18" customHeight="1" spans="1:7">
      <c r="A2" s="405" t="s">
        <v>827</v>
      </c>
      <c r="B2" s="1981">
        <f ca="1">IF(D2="——",IF(C2="元",C52,ROUND(C52/10000,0)),IF(C2="元",C52,ROUND(C52/10000,0))-E2)</f>
        <v>13968218</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828</v>
      </c>
      <c r="B3" s="406">
        <f ca="1">ROUND(C52/IF(B1="仅计算典型户型",'数据-取费表'!E5,'数据-取费表'!B5),0)</f>
        <v>62392</v>
      </c>
      <c r="C3" s="1137" t="s">
        <v>829</v>
      </c>
      <c r="D3" s="1137"/>
      <c r="E3" s="1137"/>
      <c r="F3" s="1137"/>
      <c r="G3" s="1137"/>
    </row>
    <row r="4" s="1974" customFormat="1" ht="15.75" spans="1:7">
      <c r="A4" s="1986" t="s">
        <v>830</v>
      </c>
      <c r="B4" s="1987"/>
      <c r="C4" s="1987"/>
      <c r="D4" s="1987"/>
      <c r="E4" s="1987"/>
      <c r="F4" s="1987"/>
      <c r="G4" s="1988"/>
    </row>
    <row r="5" s="1975" customFormat="1" ht="13.5" customHeight="1" spans="1:7">
      <c r="A5" s="1989" t="s">
        <v>831</v>
      </c>
      <c r="B5" s="1990" t="s">
        <v>832</v>
      </c>
      <c r="C5" s="1991">
        <f ca="1">C6+C7+C8</f>
        <v>9080468</v>
      </c>
      <c r="D5" s="1991" t="s">
        <v>833</v>
      </c>
      <c r="E5" s="1992" t="s">
        <v>834</v>
      </c>
      <c r="F5" s="1992" t="s">
        <v>715</v>
      </c>
      <c r="G5" s="1993"/>
    </row>
    <row r="6" s="1975" customFormat="1" ht="13.5" customHeight="1" spans="1:7">
      <c r="A6" s="1994" t="s">
        <v>835</v>
      </c>
      <c r="B6" s="1995" t="s">
        <v>836</v>
      </c>
      <c r="C6" s="1996">
        <f ca="1">基准地价修正!E29</f>
        <v>8768260</v>
      </c>
      <c r="D6" s="1997"/>
      <c r="E6" s="1998"/>
      <c r="F6" s="1998"/>
      <c r="G6" s="1999"/>
    </row>
    <row r="7" s="1975" customFormat="1" ht="13.5" customHeight="1" spans="1:7">
      <c r="A7" s="1994" t="s">
        <v>837</v>
      </c>
      <c r="B7" s="1995" t="s">
        <v>838</v>
      </c>
      <c r="C7" s="2000">
        <f ca="1">ROUND(C6*F7,0)</f>
        <v>267432</v>
      </c>
      <c r="D7" s="2000"/>
      <c r="E7" s="1998"/>
      <c r="F7" s="2001">
        <f>'数据-取费表'!E36+'数据-取费表'!E37</f>
        <v>0.0305</v>
      </c>
      <c r="G7" s="1999"/>
    </row>
    <row r="8" s="1976" customFormat="1" spans="1:7">
      <c r="A8" s="1994" t="s">
        <v>839</v>
      </c>
      <c r="B8" s="1995" t="s">
        <v>840</v>
      </c>
      <c r="C8" s="2000">
        <f>IF(G8="已包含在土地购买价格中","0",'数据-取费表'!E13)</f>
        <v>44776</v>
      </c>
      <c r="D8" s="2002"/>
      <c r="E8" s="2000"/>
      <c r="F8" s="2001"/>
      <c r="G8" s="2003" t="s">
        <v>841</v>
      </c>
    </row>
    <row r="9" s="1975" customFormat="1" ht="13.5" customHeight="1" spans="1:7">
      <c r="A9" s="2004" t="s">
        <v>842</v>
      </c>
      <c r="B9" s="2005" t="s">
        <v>843</v>
      </c>
      <c r="C9" s="2006">
        <f>ROUND(D9*E9,0)</f>
        <v>0</v>
      </c>
      <c r="D9" s="2007">
        <f>IF('数据-取费表'!B10="住宅",IF(B1="仅计算典型户型",'数据-取费表'!E5,'数据-取费表'!B5),0)</f>
        <v>0</v>
      </c>
      <c r="E9" s="2006">
        <f>'数据-取费表'!E11</f>
        <v>0</v>
      </c>
      <c r="F9" s="2001"/>
      <c r="G9" s="2008"/>
    </row>
    <row r="10" s="1975" customFormat="1" ht="13.5" customHeight="1" spans="1:7">
      <c r="A10" s="2004" t="s">
        <v>844</v>
      </c>
      <c r="B10" s="2005" t="s">
        <v>845</v>
      </c>
      <c r="C10" s="2006">
        <f>ROUND(D10*E10,0)</f>
        <v>44776</v>
      </c>
      <c r="D10" s="2007">
        <f>IF('数据-取费表'!B10&lt;&gt;"住宅",IF(B1="仅计算典型户型",'数据-取费表'!E5,'数据-取费表'!B5),0)</f>
        <v>223.88</v>
      </c>
      <c r="E10" s="2006">
        <f>'数据-取费表'!E12</f>
        <v>200</v>
      </c>
      <c r="F10" s="2001"/>
      <c r="G10" s="2008"/>
    </row>
    <row r="11" s="1975" customFormat="1" ht="13.5" hidden="1" customHeight="1" spans="1:7">
      <c r="A11" s="1994" t="s">
        <v>846</v>
      </c>
      <c r="B11" s="1995" t="s">
        <v>847</v>
      </c>
      <c r="C11" s="1991"/>
      <c r="D11" s="2000"/>
      <c r="E11" s="1998"/>
      <c r="F11" s="1998"/>
      <c r="G11" s="1999"/>
    </row>
    <row r="12" s="1975" customFormat="1" ht="13.5" hidden="1" customHeight="1" spans="1:7">
      <c r="A12" s="1994" t="s">
        <v>848</v>
      </c>
      <c r="B12" s="1995" t="s">
        <v>753</v>
      </c>
      <c r="C12" s="1991">
        <v>0</v>
      </c>
      <c r="D12" s="2000"/>
      <c r="E12" s="2009"/>
      <c r="F12" s="2001">
        <v>0.0305</v>
      </c>
      <c r="G12" s="1999"/>
    </row>
    <row r="13" s="1975" customFormat="1" ht="13.5" hidden="1" customHeight="1" spans="1:7">
      <c r="A13" s="1994" t="s">
        <v>849</v>
      </c>
      <c r="B13" s="1995" t="s">
        <v>850</v>
      </c>
      <c r="C13" s="1991"/>
      <c r="D13" s="2000"/>
      <c r="E13" s="1998"/>
      <c r="F13" s="1998"/>
      <c r="G13" s="1999"/>
    </row>
    <row r="14" s="1975" customFormat="1" ht="13.5" hidden="1" customHeight="1" spans="1:7">
      <c r="A14" s="1994" t="s">
        <v>851</v>
      </c>
      <c r="B14" s="1995" t="s">
        <v>840</v>
      </c>
      <c r="C14" s="1991"/>
      <c r="D14" s="2000"/>
      <c r="E14" s="1998"/>
      <c r="F14" s="1998"/>
      <c r="G14" s="1999" t="s">
        <v>852</v>
      </c>
    </row>
    <row r="15" s="1975" customFormat="1" ht="13.5" hidden="1" customHeight="1" spans="1:7">
      <c r="A15" s="1994" t="s">
        <v>853</v>
      </c>
      <c r="B15" s="1995" t="s">
        <v>854</v>
      </c>
      <c r="C15" s="2000"/>
      <c r="D15" s="2000"/>
      <c r="E15" s="1998"/>
      <c r="F15" s="1998"/>
      <c r="G15" s="1999" t="s">
        <v>855</v>
      </c>
    </row>
    <row r="16" s="1975" customFormat="1" ht="13.5" hidden="1" customHeight="1" spans="1:7">
      <c r="A16" s="1994" t="s">
        <v>856</v>
      </c>
      <c r="B16" s="1995" t="s">
        <v>840</v>
      </c>
      <c r="C16" s="2000"/>
      <c r="D16" s="2000"/>
      <c r="E16" s="1998"/>
      <c r="F16" s="1998"/>
      <c r="G16" s="1999"/>
    </row>
    <row r="17" s="1975" customFormat="1" ht="13.5" hidden="1" customHeight="1" spans="1:7">
      <c r="A17" s="1994" t="s">
        <v>857</v>
      </c>
      <c r="B17" s="1995" t="s">
        <v>858</v>
      </c>
      <c r="C17" s="2010"/>
      <c r="D17" s="2010"/>
      <c r="E17" s="2010"/>
      <c r="F17" s="2010"/>
      <c r="G17" s="1999" t="s">
        <v>855</v>
      </c>
    </row>
    <row r="18" s="1975" customFormat="1" ht="13.5" hidden="1" customHeight="1" spans="1:7">
      <c r="A18" s="1994" t="s">
        <v>859</v>
      </c>
      <c r="B18" s="1995" t="s">
        <v>860</v>
      </c>
      <c r="C18" s="2000">
        <v>0</v>
      </c>
      <c r="D18" s="2000"/>
      <c r="E18" s="1998"/>
      <c r="F18" s="2001">
        <v>0.0305</v>
      </c>
      <c r="G18" s="1999" t="s">
        <v>861</v>
      </c>
    </row>
    <row r="19" s="1976" customFormat="1" ht="13.5" customHeight="1" spans="1:7">
      <c r="A19" s="1989" t="s">
        <v>862</v>
      </c>
      <c r="B19" s="1990" t="s">
        <v>863</v>
      </c>
      <c r="C19" s="1991" t="str">
        <f>IF(G19="已包含在土地取得成本中","0",ROUND(D19*E19,0))</f>
        <v>0</v>
      </c>
      <c r="D19" s="2011">
        <f>IF(B1="仅计算典型户型",'数据-取费表'!E5,'数据-取费表'!B5)</f>
        <v>223.88</v>
      </c>
      <c r="E19" s="1991">
        <f>'数据-取费表'!E15</f>
        <v>200</v>
      </c>
      <c r="F19" s="2012"/>
      <c r="G19" s="2003" t="s">
        <v>864</v>
      </c>
    </row>
    <row r="20" s="1975" customFormat="1" ht="13.5" customHeight="1" spans="1:7">
      <c r="A20" s="1989" t="s">
        <v>865</v>
      </c>
      <c r="B20" s="1990" t="s">
        <v>866</v>
      </c>
      <c r="C20" s="2013">
        <f ca="1">ROUND((C5+C19)*F20,0)</f>
        <v>181609</v>
      </c>
      <c r="D20" s="2013"/>
      <c r="E20" s="2013"/>
      <c r="F20" s="2014">
        <f>'数据-取费表'!E25</f>
        <v>0.02</v>
      </c>
      <c r="G20" s="2015" t="s">
        <v>867</v>
      </c>
    </row>
    <row r="21" s="1975" customFormat="1" ht="13.5" customHeight="1" spans="1:7">
      <c r="A21" s="1989" t="s">
        <v>868</v>
      </c>
      <c r="B21" s="1990" t="s">
        <v>869</v>
      </c>
      <c r="C21" s="2016">
        <f>F21</f>
        <v>0.02</v>
      </c>
      <c r="D21" s="2017" t="s">
        <v>870</v>
      </c>
      <c r="E21" s="2013"/>
      <c r="F21" s="2014">
        <f>'数据-取费表'!E26</f>
        <v>0.02</v>
      </c>
      <c r="G21" s="2015" t="s">
        <v>871</v>
      </c>
    </row>
    <row r="22" s="1975" customFormat="1" ht="13.5" customHeight="1" spans="1:7">
      <c r="A22" s="1989" t="s">
        <v>872</v>
      </c>
      <c r="B22" s="1990" t="s">
        <v>873</v>
      </c>
      <c r="C22" s="2018">
        <f ca="1">ROUND(SUM(C23:C25),0)</f>
        <v>891758</v>
      </c>
      <c r="D22" s="2016">
        <f ca="1">C26</f>
        <v>0.001</v>
      </c>
      <c r="E22" s="2017" t="s">
        <v>870</v>
      </c>
      <c r="F22" s="2014">
        <f ca="1">'数据-取费表'!E27</f>
        <v>0.0475</v>
      </c>
      <c r="G22" s="2015" t="str">
        <f>IF('数据-取费表'!B23&lt;=1,"单利计息。","复利计息。")</f>
        <v>复利计息。</v>
      </c>
    </row>
    <row r="23" s="1975" customFormat="1" ht="13.5" customHeight="1" spans="1:7">
      <c r="A23" s="1994" t="s">
        <v>835</v>
      </c>
      <c r="B23" s="1995" t="s">
        <v>874</v>
      </c>
      <c r="C23" s="2019">
        <f ca="1">ROUND(IF('数据-取费表'!B23&lt;=1,C5*F22*'数据-取费表'!B24,C5*(POWER((1+F22),'数据-取费表'!B24)-1)),0)</f>
        <v>883132</v>
      </c>
      <c r="D23" s="1764"/>
      <c r="E23" s="1764"/>
      <c r="F23" s="2020"/>
      <c r="G23" s="2021" t="s">
        <v>875</v>
      </c>
    </row>
    <row r="24" s="1975" customFormat="1" ht="13.5" customHeight="1" spans="1:7">
      <c r="A24" s="1994" t="s">
        <v>837</v>
      </c>
      <c r="B24" s="1995" t="s">
        <v>876</v>
      </c>
      <c r="C24" s="2019">
        <f ca="1">ROUND(IF('数据-取费表'!B23&lt;=1,C19*F22*('数据-取费表'!B20/2+'数据-取费表'!B22),C19*(POWER((1+F22),('数据-取费表'!B20/2+'数据-取费表'!B22))-1)),0)</f>
        <v>0</v>
      </c>
      <c r="D24" s="1764"/>
      <c r="E24" s="1764"/>
      <c r="F24" s="2020"/>
      <c r="G24" s="2021" t="s">
        <v>877</v>
      </c>
    </row>
    <row r="25" s="1975" customFormat="1" ht="24" spans="1:7">
      <c r="A25" s="1994" t="s">
        <v>839</v>
      </c>
      <c r="B25" s="1995" t="s">
        <v>878</v>
      </c>
      <c r="C25" s="2019">
        <f ca="1">ROUND(IF('数据-取费表'!B23&lt;=1,C20*F22*'数据-取费表'!B24/2,C20*(POWER((1+F22),'数据-取费表'!B24/2)-1)),0)</f>
        <v>8626</v>
      </c>
      <c r="D25" s="1764"/>
      <c r="E25" s="2022"/>
      <c r="F25" s="2020"/>
      <c r="G25" s="2023" t="s">
        <v>879</v>
      </c>
    </row>
    <row r="26" s="1975" customFormat="1" spans="1:7">
      <c r="A26" s="1994" t="s">
        <v>880</v>
      </c>
      <c r="B26" s="1995" t="s">
        <v>881</v>
      </c>
      <c r="C26" s="1764">
        <f ca="1">ROUND(IF('数据-取费表'!B23&lt;=1,F21*F22*'数据-取费表'!B24/2,F21*(POWER((1+F22),'数据-取费表'!B24/2)-1)),4)</f>
        <v>0.001</v>
      </c>
      <c r="D26" s="1764"/>
      <c r="E26" s="2022"/>
      <c r="F26" s="2020"/>
      <c r="G26" s="646"/>
    </row>
    <row r="27" s="1975" customFormat="1" ht="25.5" spans="1:7">
      <c r="A27" s="2024" t="s">
        <v>882</v>
      </c>
      <c r="B27" s="2025" t="s">
        <v>883</v>
      </c>
      <c r="C27" s="1991">
        <f ca="1">C28</f>
        <v>1852415</v>
      </c>
      <c r="D27" s="2016">
        <f>C29</f>
        <v>0.004</v>
      </c>
      <c r="E27" s="2017" t="s">
        <v>870</v>
      </c>
      <c r="F27" s="2012">
        <f>'数据-取费表'!E28</f>
        <v>0.2</v>
      </c>
      <c r="G27" s="2026" t="s">
        <v>884</v>
      </c>
    </row>
    <row r="28" s="1975" customFormat="1" ht="13.5" customHeight="1" spans="1:7">
      <c r="A28" s="1994" t="s">
        <v>835</v>
      </c>
      <c r="B28" s="2027" t="s">
        <v>885</v>
      </c>
      <c r="C28" s="2000">
        <f ca="1">ROUND((C5+C19+C20)*F27*'数据-取费表'!B22/'数据-取费表'!B21,0)</f>
        <v>1852415</v>
      </c>
      <c r="D28" s="2016"/>
      <c r="E28" s="2017"/>
      <c r="F28" s="2012"/>
      <c r="G28" s="2026"/>
    </row>
    <row r="29" s="1975" customFormat="1" ht="13.5" customHeight="1" spans="1:7">
      <c r="A29" s="1994" t="s">
        <v>837</v>
      </c>
      <c r="B29" s="2027" t="s">
        <v>886</v>
      </c>
      <c r="C29" s="1764">
        <f>ROUND(C21*F27*'数据-取费表'!B22/'数据-取费表'!B21,4)</f>
        <v>0.004</v>
      </c>
      <c r="D29" s="2016"/>
      <c r="E29" s="2017"/>
      <c r="F29" s="2012"/>
      <c r="G29" s="2026"/>
    </row>
    <row r="30" s="1975" customFormat="1" ht="13.5" customHeight="1" spans="1:7">
      <c r="A30" s="2024" t="s">
        <v>887</v>
      </c>
      <c r="B30" s="1990" t="s">
        <v>888</v>
      </c>
      <c r="C30" s="2016">
        <f>ROUND(F30/(1+'数据-取费表'!F30),4)</f>
        <v>0.0533</v>
      </c>
      <c r="D30" s="2017" t="s">
        <v>870</v>
      </c>
      <c r="E30" s="2022"/>
      <c r="F30" s="2014">
        <f>'数据-取费表'!E29</f>
        <v>0.056</v>
      </c>
      <c r="G30" s="2015" t="s">
        <v>889</v>
      </c>
    </row>
    <row r="31" ht="16.5" customHeight="1" spans="1:7">
      <c r="A31" s="1989">
        <v>1</v>
      </c>
      <c r="B31" s="1990" t="s">
        <v>890</v>
      </c>
      <c r="C31" s="1991">
        <f ca="1">ROUND((C5+C19+C20+C22+C27)/(1-C21-D22-D27-C30),0)</f>
        <v>13026202</v>
      </c>
      <c r="D31" s="2011"/>
      <c r="E31" s="1991"/>
      <c r="F31" s="2028"/>
      <c r="G31" s="2015" t="s">
        <v>891</v>
      </c>
    </row>
    <row r="32" s="1974" customFormat="1" ht="15.75" spans="1:7">
      <c r="A32" s="2029" t="s">
        <v>892</v>
      </c>
      <c r="B32" s="2030"/>
      <c r="C32" s="2031"/>
      <c r="D32" s="2031"/>
      <c r="E32" s="2031"/>
      <c r="F32" s="2031"/>
      <c r="G32" s="2032"/>
    </row>
    <row r="33" s="1975" customFormat="1" ht="13.5" customHeight="1" spans="1:7">
      <c r="A33" s="1989" t="s">
        <v>831</v>
      </c>
      <c r="B33" s="1990" t="s">
        <v>893</v>
      </c>
      <c r="C33" s="2018">
        <f>SUM(C34:C38)</f>
        <v>793430</v>
      </c>
      <c r="D33" s="2013"/>
      <c r="E33" s="1992"/>
      <c r="F33" s="2022"/>
      <c r="G33" s="2015"/>
    </row>
    <row r="34" s="1977" customFormat="1" ht="13.5" customHeight="1" spans="1:7">
      <c r="A34" s="1994" t="s">
        <v>835</v>
      </c>
      <c r="B34" s="1995" t="s">
        <v>894</v>
      </c>
      <c r="C34" s="2000">
        <f>IF(B1="仅计算典型户型",'数据-取费表'!F18,'数据-取费表'!E18)</f>
        <v>716416</v>
      </c>
      <c r="D34" s="1997"/>
      <c r="E34" s="2000"/>
      <c r="F34" s="2033" t="str">
        <f>IF('数据-取费表'!B25=0,"",'数据-取费表'!E20)</f>
        <v/>
      </c>
      <c r="G34" s="1999"/>
    </row>
    <row r="35" ht="13.5" customHeight="1" spans="1:7">
      <c r="A35" s="1994" t="s">
        <v>837</v>
      </c>
      <c r="B35" s="1995" t="s">
        <v>895</v>
      </c>
      <c r="C35" s="2000">
        <f>ROUND(C34*F35,0)</f>
        <v>21492</v>
      </c>
      <c r="D35" s="2000"/>
      <c r="E35" s="2000"/>
      <c r="F35" s="2034">
        <f>'数据-取费表'!E21</f>
        <v>0.03</v>
      </c>
      <c r="G35" s="1999" t="s">
        <v>896</v>
      </c>
    </row>
    <row r="36" ht="24" spans="1:7">
      <c r="A36" s="1994" t="s">
        <v>839</v>
      </c>
      <c r="B36" s="1995" t="s">
        <v>897</v>
      </c>
      <c r="C36" s="2000">
        <f>ROUND(IF('数据-取费表'!B10="住宅",C34*F36,0),0)</f>
        <v>0</v>
      </c>
      <c r="D36" s="2000"/>
      <c r="E36" s="2000"/>
      <c r="F36" s="2034">
        <f>'数据-取费表'!E22</f>
        <v>0</v>
      </c>
      <c r="G36" s="2035" t="s">
        <v>898</v>
      </c>
    </row>
    <row r="37" s="1977" customFormat="1" ht="13.5" customHeight="1" spans="1:7">
      <c r="A37" s="1994" t="s">
        <v>880</v>
      </c>
      <c r="B37" s="1995" t="s">
        <v>899</v>
      </c>
      <c r="C37" s="2000">
        <f>ROUND(E37*D37,0)</f>
        <v>44776</v>
      </c>
      <c r="D37" s="1997">
        <f>IF(B1="仅计算典型户型",'数据-取费表'!E5,'数据-取费表'!B5)</f>
        <v>223.88</v>
      </c>
      <c r="E37" s="2000">
        <f>'数据-取费表'!E23</f>
        <v>200</v>
      </c>
      <c r="F37" s="2034"/>
      <c r="G37" s="2036" t="s">
        <v>900</v>
      </c>
    </row>
    <row r="38" ht="13.5" customHeight="1" spans="1:7">
      <c r="A38" s="1994" t="s">
        <v>901</v>
      </c>
      <c r="B38" s="1995" t="s">
        <v>753</v>
      </c>
      <c r="C38" s="2000">
        <f>ROUND(C34*F38,0)</f>
        <v>10746</v>
      </c>
      <c r="D38" s="2000"/>
      <c r="E38" s="2000"/>
      <c r="F38" s="2034">
        <f>'数据-取费表'!E24</f>
        <v>0.015</v>
      </c>
      <c r="G38" s="1999" t="s">
        <v>896</v>
      </c>
    </row>
    <row r="39" s="1975" customFormat="1" ht="13.5" customHeight="1" spans="1:7">
      <c r="A39" s="1989" t="s">
        <v>862</v>
      </c>
      <c r="B39" s="1990" t="s">
        <v>866</v>
      </c>
      <c r="C39" s="2013">
        <f>ROUND(C33*F20,0)</f>
        <v>15869</v>
      </c>
      <c r="D39" s="2013"/>
      <c r="E39" s="2013"/>
      <c r="F39" s="2014"/>
      <c r="G39" s="2015" t="s">
        <v>902</v>
      </c>
    </row>
    <row r="40" s="1975" customFormat="1" ht="13.5" customHeight="1" spans="1:7">
      <c r="A40" s="1989" t="s">
        <v>865</v>
      </c>
      <c r="B40" s="1990" t="s">
        <v>869</v>
      </c>
      <c r="C40" s="2037">
        <f>F21</f>
        <v>0.02</v>
      </c>
      <c r="D40" s="2017" t="s">
        <v>903</v>
      </c>
      <c r="E40" s="2013"/>
      <c r="F40" s="2014"/>
      <c r="G40" s="2015" t="s">
        <v>904</v>
      </c>
    </row>
    <row r="41" s="1975" customFormat="1" ht="13.5" customHeight="1" spans="1:7">
      <c r="A41" s="1989" t="s">
        <v>868</v>
      </c>
      <c r="B41" s="1990" t="s">
        <v>873</v>
      </c>
      <c r="C41" s="2013">
        <f ca="1">ROUND(SUM(C42:C43),0)</f>
        <v>38442</v>
      </c>
      <c r="D41" s="2016">
        <f ca="1">C44</f>
        <v>0.001</v>
      </c>
      <c r="E41" s="2017" t="s">
        <v>903</v>
      </c>
      <c r="F41" s="2014"/>
      <c r="G41" s="2015" t="str">
        <f>IF('数据-取费表'!B23&lt;=1,"单利计息。","复利计息。")</f>
        <v>复利计息。</v>
      </c>
    </row>
    <row r="42" ht="13.5" customHeight="1" spans="1:7">
      <c r="A42" s="1994" t="s">
        <v>835</v>
      </c>
      <c r="B42" s="1995" t="s">
        <v>874</v>
      </c>
      <c r="C42" s="1764">
        <f ca="1">ROUND(IF('数据-取费表'!B23&lt;=1,C33*F22*'数据-取费表'!B22/2,C33*(POWER((1+F22),'数据-取费表'!B22/2)-1)),0)</f>
        <v>37688</v>
      </c>
      <c r="D42" s="1764"/>
      <c r="E42" s="1764"/>
      <c r="F42" s="2020"/>
      <c r="G42" s="2038" t="s">
        <v>905</v>
      </c>
    </row>
    <row r="43" ht="13.5" customHeight="1" spans="1:7">
      <c r="A43" s="1994" t="s">
        <v>837</v>
      </c>
      <c r="B43" s="1995" t="s">
        <v>876</v>
      </c>
      <c r="C43" s="1764">
        <f ca="1">ROUND(IF('数据-取费表'!B23&lt;=1,C39*F22*'数据-取费表'!B22/2,C39*(POWER((1+F22),'数据-取费表'!B22/2)-1)),0)</f>
        <v>754</v>
      </c>
      <c r="D43" s="1764"/>
      <c r="E43" s="1764"/>
      <c r="F43" s="2020"/>
      <c r="G43" s="2039"/>
    </row>
    <row r="44" ht="13.5" customHeight="1" spans="1:7">
      <c r="A44" s="1994" t="s">
        <v>839</v>
      </c>
      <c r="B44" s="1995" t="s">
        <v>878</v>
      </c>
      <c r="C44" s="1764">
        <f ca="1">ROUND(IF('数据-取费表'!B23&lt;=1,C40*F22*'数据-取费表'!B22/2,C40*(POWER((1+F22),'数据-取费表'!B22/2)-1)),4)</f>
        <v>0.001</v>
      </c>
      <c r="D44" s="1764"/>
      <c r="E44" s="1764"/>
      <c r="F44" s="2020"/>
      <c r="G44" s="2040"/>
    </row>
    <row r="45" s="1975" customFormat="1" ht="13.5" customHeight="1" spans="1:7">
      <c r="A45" s="1989" t="s">
        <v>872</v>
      </c>
      <c r="B45" s="2025" t="s">
        <v>883</v>
      </c>
      <c r="C45" s="1991">
        <f>C46</f>
        <v>161860</v>
      </c>
      <c r="D45" s="2016">
        <f>C47</f>
        <v>0.004</v>
      </c>
      <c r="E45" s="2017" t="s">
        <v>903</v>
      </c>
      <c r="F45" s="2012"/>
      <c r="G45" s="2026" t="s">
        <v>906</v>
      </c>
    </row>
    <row r="46" s="1975" customFormat="1" ht="13.5" customHeight="1" spans="1:7">
      <c r="A46" s="1994" t="s">
        <v>835</v>
      </c>
      <c r="B46" s="2027" t="s">
        <v>907</v>
      </c>
      <c r="C46" s="2000">
        <f>ROUND((C33+C39)*F27,0)</f>
        <v>161860</v>
      </c>
      <c r="D46" s="2041"/>
      <c r="E46" s="2017"/>
      <c r="F46" s="2012"/>
      <c r="G46" s="2026"/>
    </row>
    <row r="47" s="1975" customFormat="1" ht="13.5" customHeight="1" spans="1:7">
      <c r="A47" s="1994" t="s">
        <v>837</v>
      </c>
      <c r="B47" s="2027" t="s">
        <v>908</v>
      </c>
      <c r="C47" s="1764">
        <f>ROUND(C40*F27,4)</f>
        <v>0.004</v>
      </c>
      <c r="D47" s="2041"/>
      <c r="E47" s="2017"/>
      <c r="F47" s="2012"/>
      <c r="G47" s="2026"/>
    </row>
    <row r="48" s="1975" customFormat="1" ht="13.5" customHeight="1" spans="1:7">
      <c r="A48" s="2024" t="s">
        <v>882</v>
      </c>
      <c r="B48" s="1990" t="s">
        <v>888</v>
      </c>
      <c r="C48" s="2037">
        <f>ROUND(F30/(1+'数据-取费表'!F30),4)</f>
        <v>0.0533</v>
      </c>
      <c r="D48" s="2017" t="s">
        <v>903</v>
      </c>
      <c r="E48" s="2013"/>
      <c r="F48" s="2014"/>
      <c r="G48" s="2015" t="s">
        <v>909</v>
      </c>
    </row>
    <row r="49" ht="16.5" customHeight="1" spans="1:7">
      <c r="A49" s="2024" t="s">
        <v>887</v>
      </c>
      <c r="B49" s="1990" t="s">
        <v>910</v>
      </c>
      <c r="C49" s="2013">
        <f ca="1">ROUND((C33+C39+C41+C45)/(1-C40-D41-D45-C48),0)</f>
        <v>1095368</v>
      </c>
      <c r="D49" s="2013"/>
      <c r="E49" s="2013"/>
      <c r="F49" s="2042"/>
      <c r="G49" s="2015" t="s">
        <v>911</v>
      </c>
    </row>
    <row r="50" s="1977" customFormat="1" ht="24" spans="1:7">
      <c r="A50" s="2024" t="s">
        <v>912</v>
      </c>
      <c r="B50" s="1990" t="s">
        <v>913</v>
      </c>
      <c r="C50" s="2013"/>
      <c r="D50" s="2013"/>
      <c r="E50" s="2013"/>
      <c r="F50" s="2042">
        <f>IF('数据-取费表'!B25=0,'数据-取费表'!E20,1)</f>
        <v>0.86</v>
      </c>
      <c r="G50" s="2026" t="s">
        <v>914</v>
      </c>
    </row>
    <row r="51" ht="16.5" customHeight="1" spans="1:7">
      <c r="A51" s="2024" t="s">
        <v>915</v>
      </c>
      <c r="B51" s="1990" t="s">
        <v>916</v>
      </c>
      <c r="C51" s="2013">
        <f ca="1">ROUND(C49*F50,0)</f>
        <v>942016</v>
      </c>
      <c r="D51" s="2013"/>
      <c r="E51" s="2013"/>
      <c r="F51" s="2042"/>
      <c r="G51" s="2015" t="s">
        <v>917</v>
      </c>
    </row>
    <row r="52" s="1974" customFormat="1" ht="16.5" spans="1:7">
      <c r="A52" s="2043" t="s">
        <v>918</v>
      </c>
      <c r="B52" s="2044"/>
      <c r="C52" s="2045">
        <f ca="1">C31+C51</f>
        <v>13968218</v>
      </c>
      <c r="D52" s="2044"/>
      <c r="E52" s="2044"/>
      <c r="F52" s="2044"/>
      <c r="G52" s="2046"/>
    </row>
    <row r="55" ht="15" spans="2:3">
      <c r="B55" s="1806" t="s">
        <v>919</v>
      </c>
      <c r="C55" s="1418"/>
    </row>
    <row r="56" spans="2:3">
      <c r="B56" s="1810" t="s">
        <v>920</v>
      </c>
      <c r="C56" s="1808">
        <f ca="1">ROUND(C51/C52,3)</f>
        <v>0.067</v>
      </c>
    </row>
    <row r="57" spans="2:3">
      <c r="B57" s="1810" t="s">
        <v>921</v>
      </c>
      <c r="C57" s="1811">
        <f ca="1">1-C56</f>
        <v>0.933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3333333333333" defaultRowHeight="12.75"/>
  <cols>
    <col min="1" max="1" width="9.75" style="1885" customWidth="1"/>
    <col min="2" max="2" width="25.75" style="1886" customWidth="1"/>
    <col min="3" max="3" width="10.3833333333333" style="1887" customWidth="1"/>
    <col min="4" max="4" width="9.88333333333333" style="1886" customWidth="1"/>
    <col min="5" max="5" width="9.5" style="1885" customWidth="1"/>
    <col min="6" max="6" width="10.1333333333333" style="1886" customWidth="1"/>
    <col min="7" max="7" width="9.5" style="1886" customWidth="1"/>
    <col min="8" max="8" width="10" style="1886" customWidth="1"/>
    <col min="9" max="11" width="9.5" style="1886" customWidth="1"/>
    <col min="12" max="12" width="9" style="1886" customWidth="1"/>
    <col min="13" max="13" width="10.5" style="1886" customWidth="1"/>
    <col min="14" max="254" width="9" style="1886" customWidth="1"/>
    <col min="255" max="16384" width="6.63333333333333" style="1886"/>
  </cols>
  <sheetData>
    <row r="1" s="1874" customFormat="1" ht="20.25" spans="1:11">
      <c r="A1" s="401" t="s">
        <v>922</v>
      </c>
      <c r="B1" s="1888"/>
      <c r="C1" s="1889" t="s">
        <v>923</v>
      </c>
      <c r="D1" s="1890"/>
      <c r="E1" s="1891"/>
      <c r="F1" s="1891"/>
      <c r="G1" s="1891"/>
      <c r="H1" s="1891"/>
      <c r="I1" s="1891"/>
      <c r="J1" s="1891"/>
      <c r="K1" s="1891"/>
    </row>
    <row r="2" s="1874" customFormat="1" ht="18" customHeight="1" spans="1:11">
      <c r="A2" s="405" t="s">
        <v>827</v>
      </c>
      <c r="B2" s="406">
        <f ca="1">IF(C2="元",C32,ROUND(C32/10000,0))</f>
        <v>44385</v>
      </c>
      <c r="C2" s="1892" t="str">
        <f>'数据-取费表'!B3</f>
        <v>元</v>
      </c>
      <c r="D2" s="1891"/>
      <c r="E2" s="1891"/>
      <c r="F2" s="1891"/>
      <c r="G2" s="1891"/>
      <c r="H2" s="1891"/>
      <c r="I2" s="1891"/>
      <c r="J2" s="1891"/>
      <c r="K2" s="1891"/>
    </row>
    <row r="3" s="1874" customFormat="1" ht="18" customHeight="1" spans="1:11">
      <c r="A3" s="412" t="s">
        <v>828</v>
      </c>
      <c r="B3" s="406" t="e">
        <f ca="1">ROUND(C32/IF(C1="仅计算典型户型",'数据-取费表'!E5,'数据-取费表'!B5),0)</f>
        <v>#DIV/0!</v>
      </c>
      <c r="C3" s="1892" t="s">
        <v>924</v>
      </c>
      <c r="D3" s="1891"/>
      <c r="E3" s="1891"/>
      <c r="F3" s="1891"/>
      <c r="G3" s="1891"/>
      <c r="H3" s="1891"/>
      <c r="I3" s="1891"/>
      <c r="J3" s="1891"/>
      <c r="K3" s="1891"/>
    </row>
    <row r="4" s="1875" customFormat="1" ht="16.5" customHeight="1" spans="1:33">
      <c r="A4" s="1893" t="s">
        <v>925</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75" spans="1:33">
      <c r="A5" s="1896" t="s">
        <v>926</v>
      </c>
      <c r="B5" s="1897" t="s">
        <v>927</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928</v>
      </c>
      <c r="B6" s="1900" t="s">
        <v>929</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930</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931</v>
      </c>
      <c r="B8" s="1900" t="s">
        <v>932</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933</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926</v>
      </c>
      <c r="B10" s="1908" t="s">
        <v>927</v>
      </c>
      <c r="C10" s="1909" t="s">
        <v>934</v>
      </c>
      <c r="D10" s="1910" t="s">
        <v>935</v>
      </c>
      <c r="E10" s="1910" t="s">
        <v>936</v>
      </c>
      <c r="F10" s="1910" t="s">
        <v>937</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938</v>
      </c>
      <c r="B11" s="1913" t="s">
        <v>939</v>
      </c>
      <c r="C11" s="1914">
        <f>IF(C1="仅计算典型户型",'数据-取费表'!F18,'数据-取费表'!E18)</f>
        <v>0</v>
      </c>
      <c r="D11" s="1915"/>
      <c r="E11" s="1439"/>
      <c r="F11" s="1916">
        <f>1-'数据-取费表'!E20</f>
        <v>0.14</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940</v>
      </c>
      <c r="B12" s="1913" t="s">
        <v>941</v>
      </c>
      <c r="C12" s="1484">
        <f>ROUND(C11*F12,0)</f>
        <v>0</v>
      </c>
      <c r="D12" s="1915"/>
      <c r="E12" s="1439"/>
      <c r="F12" s="1917">
        <f>'数据-取费表'!E21</f>
        <v>0.03</v>
      </c>
      <c r="G12" s="1908" t="s">
        <v>942</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943</v>
      </c>
      <c r="B13" s="1913" t="s">
        <v>944</v>
      </c>
      <c r="C13" s="1484">
        <f>ROUND(IF('数据-取费表'!B10="住宅",C11*F13,0),0)</f>
        <v>0</v>
      </c>
      <c r="D13" s="1915"/>
      <c r="E13" s="1439"/>
      <c r="F13" s="1917">
        <f>'数据-取费表'!E22</f>
        <v>0</v>
      </c>
      <c r="G13" s="1908" t="s">
        <v>945</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946</v>
      </c>
      <c r="B14" s="1913" t="s">
        <v>947</v>
      </c>
      <c r="C14" s="1484">
        <f>ROUND(D14*E14*F11,0)</f>
        <v>0</v>
      </c>
      <c r="D14" s="1915">
        <f>IF(C1="仅计算典型户型",'数据-取费表'!E5,'数据-取费表'!B5)</f>
        <v>0</v>
      </c>
      <c r="E14" s="1484">
        <f>'数据-取费表'!E23</f>
        <v>200</v>
      </c>
      <c r="F14" s="1917"/>
      <c r="G14" s="1908" t="s">
        <v>948</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949</v>
      </c>
      <c r="B15" s="1913" t="s">
        <v>950</v>
      </c>
      <c r="C15" s="1918">
        <f>ROUND(C11*F15,0)</f>
        <v>0</v>
      </c>
      <c r="D15" s="1919"/>
      <c r="E15" s="1918"/>
      <c r="F15" s="1920">
        <f>'数据-取费表'!E24</f>
        <v>0.015</v>
      </c>
      <c r="G15" s="1900" t="s">
        <v>951</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952</v>
      </c>
      <c r="B16" s="1913" t="s">
        <v>953</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954</v>
      </c>
      <c r="B17" s="1913" t="s">
        <v>955</v>
      </c>
      <c r="C17" s="1484">
        <f>ROUND(D17*E17,0)</f>
        <v>0</v>
      </c>
      <c r="D17" s="1915">
        <f>IF(C1="仅计算典型户型",'数据-取费表'!E5,'数据-取费表'!B5)</f>
        <v>0</v>
      </c>
      <c r="E17" s="1484">
        <f>'数据-取费表'!E16</f>
        <v>0</v>
      </c>
      <c r="F17" s="1919"/>
      <c r="G17" s="1900" t="s">
        <v>956</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957</v>
      </c>
      <c r="B18" s="1913" t="s">
        <v>958</v>
      </c>
      <c r="C18" s="1484">
        <f>C19+C20-'数据-取费表'!E13</f>
        <v>-44776</v>
      </c>
      <c r="D18" s="1915"/>
      <c r="E18" s="1484"/>
      <c r="F18" s="1917"/>
      <c r="G18" s="1900" t="s">
        <v>959</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938</v>
      </c>
      <c r="B19" s="1913" t="s">
        <v>960</v>
      </c>
      <c r="C19" s="1484">
        <f>ROUND(D19*E19,0)</f>
        <v>0</v>
      </c>
      <c r="D19" s="1915">
        <f>IF('数据-取费表'!B10="住宅",IF(C1="仅计算典型户型",'数据-取费表'!E5,'数据-取费表'!B5),0)</f>
        <v>0</v>
      </c>
      <c r="E19" s="1484">
        <f>'数据-取费表'!E11</f>
        <v>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940</v>
      </c>
      <c r="B20" s="1913" t="s">
        <v>961</v>
      </c>
      <c r="C20" s="1484">
        <f>ROUND(D20*E20,0)</f>
        <v>0</v>
      </c>
      <c r="D20" s="1915">
        <f>IF('数据-取费表'!B10&lt;&gt;"住宅",IF(C1="仅计算典型户型",'数据-取费表'!E5,'数据-取费表'!B5),0)</f>
        <v>0</v>
      </c>
      <c r="E20" s="1484">
        <f>'数据-取费表'!E12</f>
        <v>200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928</v>
      </c>
      <c r="B21" s="1924" t="s">
        <v>962</v>
      </c>
      <c r="C21" s="1925">
        <f>C16+C17+C18</f>
        <v>-44776</v>
      </c>
      <c r="D21" s="1926"/>
      <c r="E21" s="1927"/>
      <c r="F21" s="1927"/>
      <c r="G21" s="1900" t="s">
        <v>963</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930</v>
      </c>
      <c r="B22" s="1924" t="s">
        <v>964</v>
      </c>
      <c r="C22" s="1925">
        <f>ROUND(C21*F22,0)</f>
        <v>-896</v>
      </c>
      <c r="D22" s="1927"/>
      <c r="E22" s="1927"/>
      <c r="F22" s="1928">
        <f>'数据-取费表'!E25</f>
        <v>0.02</v>
      </c>
      <c r="G22" s="1908" t="s">
        <v>965</v>
      </c>
      <c r="H22" s="1911"/>
      <c r="I22" s="1911"/>
      <c r="J22" s="1911"/>
      <c r="K22" s="1966"/>
      <c r="L22" s="1881"/>
      <c r="M22" s="1881"/>
      <c r="N22" s="1881"/>
    </row>
    <row r="23" s="1879" customFormat="1" ht="13.5" customHeight="1" spans="1:11">
      <c r="A23" s="1899" t="s">
        <v>931</v>
      </c>
      <c r="B23" s="1924" t="s">
        <v>966</v>
      </c>
      <c r="C23" s="1925">
        <f>ROUND(C4*F23*F11,0)</f>
        <v>0</v>
      </c>
      <c r="D23" s="1927"/>
      <c r="E23" s="1927"/>
      <c r="F23" s="1928">
        <f>'数据-取费表'!E26</f>
        <v>0.02</v>
      </c>
      <c r="G23" s="1908" t="s">
        <v>967</v>
      </c>
      <c r="H23" s="1911"/>
      <c r="I23" s="1911"/>
      <c r="J23" s="1911"/>
      <c r="K23" s="1966"/>
    </row>
    <row r="24" s="1879" customFormat="1" ht="13.5" customHeight="1" spans="1:11">
      <c r="A24" s="1899" t="s">
        <v>968</v>
      </c>
      <c r="B24" s="1924" t="s">
        <v>969</v>
      </c>
      <c r="C24" s="1929">
        <f>ROUND(F24/(1+'数据-取费表'!F30),4)</f>
        <v>0.029</v>
      </c>
      <c r="D24" s="1930" t="s">
        <v>970</v>
      </c>
      <c r="E24" s="1930"/>
      <c r="F24" s="1928">
        <f>'数据-取费表'!E36+'数据-取费表'!E37</f>
        <v>0.0305</v>
      </c>
      <c r="G24" s="1908" t="s">
        <v>971</v>
      </c>
      <c r="H24" s="1931"/>
      <c r="I24" s="1931"/>
      <c r="J24" s="1931"/>
      <c r="K24" s="1970"/>
    </row>
    <row r="25" s="1881" customFormat="1" ht="13.5" customHeight="1" spans="1:11">
      <c r="A25" s="1899" t="s">
        <v>972</v>
      </c>
      <c r="B25" s="1926" t="s">
        <v>973</v>
      </c>
      <c r="C25" s="1932">
        <f ca="1">C27</f>
        <v>0</v>
      </c>
      <c r="D25" s="1929">
        <f ca="1">C26</f>
        <v>0</v>
      </c>
      <c r="E25" s="1933" t="s">
        <v>970</v>
      </c>
      <c r="F25" s="1934">
        <f ca="1">'数据-取费表'!E27</f>
        <v>0.0475</v>
      </c>
      <c r="G25" s="1900" t="s">
        <v>974</v>
      </c>
      <c r="H25" s="1931"/>
      <c r="I25" s="1931"/>
      <c r="J25" s="1931"/>
      <c r="K25" s="1970"/>
    </row>
    <row r="26" s="1882" customFormat="1" ht="13.5" customHeight="1" spans="1:11">
      <c r="A26" s="1912" t="s">
        <v>952</v>
      </c>
      <c r="B26" s="1935" t="s">
        <v>975</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954</v>
      </c>
      <c r="B27" s="1935" t="s">
        <v>976</v>
      </c>
      <c r="C27" s="1940">
        <f ca="1">ROUND(IF('数据-取费表'!B23&lt;=1,(C21+C22+C23)*F25*'数据-取费表'!B25/2,(C21+C22+C23)*(POWER((1+F25),'数据-取费表'!B25/2)-1)),0)</f>
        <v>0</v>
      </c>
      <c r="D27" s="1937"/>
      <c r="E27" s="1938"/>
      <c r="F27" s="1939"/>
      <c r="G27" s="1900" t="s">
        <v>977</v>
      </c>
      <c r="H27" s="1921"/>
      <c r="I27" s="1921"/>
      <c r="J27" s="1921"/>
      <c r="K27" s="1968"/>
    </row>
    <row r="28" s="1883" customFormat="1" ht="13.5" customHeight="1" spans="1:11">
      <c r="A28" s="1899" t="s">
        <v>978</v>
      </c>
      <c r="B28" s="1941" t="s">
        <v>979</v>
      </c>
      <c r="C28" s="1942">
        <f>C30</f>
        <v>-9134</v>
      </c>
      <c r="D28" s="1929">
        <f>C29</f>
        <v>0.2058</v>
      </c>
      <c r="E28" s="1933" t="s">
        <v>970</v>
      </c>
      <c r="F28" s="976">
        <f>'数据-取费表'!E28</f>
        <v>0.2</v>
      </c>
      <c r="G28" s="1943"/>
      <c r="H28" s="1931"/>
      <c r="I28" s="1931"/>
      <c r="J28" s="1931"/>
      <c r="K28" s="1970"/>
    </row>
    <row r="29" s="1884" customFormat="1" ht="13.5" customHeight="1" spans="1:11">
      <c r="A29" s="1912" t="s">
        <v>952</v>
      </c>
      <c r="B29" s="1944" t="s">
        <v>980</v>
      </c>
      <c r="C29" s="1937">
        <f>ROUND((1+C24)*F28,4)</f>
        <v>0.2058</v>
      </c>
      <c r="D29" s="1937"/>
      <c r="E29" s="1938"/>
      <c r="F29" s="1945"/>
      <c r="G29" s="1900" t="s">
        <v>981</v>
      </c>
      <c r="H29" s="1921"/>
      <c r="I29" s="1921"/>
      <c r="J29" s="1921"/>
      <c r="K29" s="1968"/>
    </row>
    <row r="30" s="1884" customFormat="1" ht="13.5" customHeight="1" spans="1:11">
      <c r="A30" s="1912" t="s">
        <v>954</v>
      </c>
      <c r="B30" s="1944" t="s">
        <v>982</v>
      </c>
      <c r="C30" s="1946">
        <f>ROUND((C21+C22+C23)*F28,0)</f>
        <v>-9134</v>
      </c>
      <c r="D30" s="1937"/>
      <c r="E30" s="1947"/>
      <c r="F30" s="1945"/>
      <c r="G30" s="1900"/>
      <c r="H30" s="1921"/>
      <c r="I30" s="1921"/>
      <c r="J30" s="1921"/>
      <c r="K30" s="1968"/>
    </row>
    <row r="31" s="1881" customFormat="1" ht="13.5" customHeight="1" spans="1:11">
      <c r="A31" s="1948" t="s">
        <v>983</v>
      </c>
      <c r="B31" s="1924" t="s">
        <v>984</v>
      </c>
      <c r="C31" s="1949">
        <f>ROUND(C4*F31/(1+'数据-取费表'!F30),0)</f>
        <v>0</v>
      </c>
      <c r="D31" s="1950"/>
      <c r="E31" s="1951"/>
      <c r="F31" s="1952">
        <f>'数据-取费表'!E29</f>
        <v>0.056</v>
      </c>
      <c r="G31" s="1953" t="s">
        <v>985</v>
      </c>
      <c r="H31" s="1954"/>
      <c r="I31" s="1954"/>
      <c r="J31" s="1954"/>
      <c r="K31" s="1971"/>
    </row>
    <row r="32" s="1878" customFormat="1" ht="13.5" customHeight="1" spans="1:11">
      <c r="A32" s="1955" t="s">
        <v>986</v>
      </c>
      <c r="B32" s="1956"/>
      <c r="C32" s="1957">
        <f ca="1">ROUND((C4-C21-C22-C23-C25-C28-C31)/(1+C24+D25+D28),0)</f>
        <v>44385</v>
      </c>
      <c r="D32" s="1956"/>
      <c r="E32" s="1956"/>
      <c r="F32" s="1956"/>
      <c r="G32" s="1958" t="s">
        <v>987</v>
      </c>
      <c r="H32" s="1956"/>
      <c r="I32" s="1956"/>
      <c r="J32" s="1956"/>
      <c r="K32" s="197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699305555555556" right="0.699305555555556"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C43" sqref="C43"/>
    </sheetView>
  </sheetViews>
  <sheetFormatPr defaultColWidth="9" defaultRowHeight="15"/>
  <cols>
    <col min="1" max="1" width="9" style="1621" customWidth="1"/>
    <col min="2" max="2" width="20.6333333333333" style="1350" customWidth="1"/>
    <col min="3" max="3" width="11.8833333333333" style="1350" customWidth="1"/>
    <col min="4" max="4" width="40.5" style="1621" customWidth="1"/>
    <col min="5" max="5" width="15.75" style="1621" customWidth="1"/>
    <col min="6" max="6" width="10.6333333333333" style="1621" customWidth="1"/>
    <col min="7" max="7" width="4.88333333333333" style="1621" customWidth="1"/>
    <col min="8" max="8" width="8.5" style="1621" customWidth="1"/>
    <col min="9" max="9" width="21.25" style="1621" customWidth="1"/>
    <col min="10" max="10" width="12.25" style="1621" customWidth="1"/>
    <col min="11" max="11" width="40.1333333333333" style="1622" customWidth="1"/>
    <col min="12" max="12" width="18.3833333333333" style="1621" customWidth="1"/>
    <col min="13" max="13" width="13" style="1621" customWidth="1"/>
    <col min="14" max="14" width="13.1333333333333" style="1620" customWidth="1"/>
    <col min="15" max="15" width="5.25" style="1620" customWidth="1"/>
    <col min="16" max="16" width="24.8833333333333" style="1620" customWidth="1"/>
    <col min="17" max="17" width="13.75" style="1623" customWidth="1"/>
    <col min="18" max="18" width="26.1333333333333" style="1620" customWidth="1"/>
    <col min="19" max="19" width="1.5" style="1620" customWidth="1"/>
    <col min="20" max="37" width="9" style="1620"/>
    <col min="38" max="16384" width="9" style="1621"/>
  </cols>
  <sheetData>
    <row r="1" s="1618" customFormat="1" ht="20.25" spans="1:37">
      <c r="A1" s="1624" t="s">
        <v>988</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827</v>
      </c>
      <c r="B2" s="1632">
        <f ca="1">IF(C2="元",IF('数据-取费表'!B28="租赁期内按合同租金",C40+L47+J29,C40+L47),ROUND(IF('数据-取费表'!B28="租赁期内按合同租金",(C40+L47+J29)/10000,(C40+L47)/10000),0))</f>
        <v>10044006</v>
      </c>
      <c r="C2" s="1633" t="str">
        <f>'数据-取费表'!B3</f>
        <v>元</v>
      </c>
      <c r="D2" s="1214"/>
      <c r="E2" s="1634"/>
      <c r="F2" s="1634"/>
      <c r="G2" s="1635"/>
      <c r="H2" s="1636"/>
      <c r="I2" s="1771"/>
      <c r="J2" s="1771"/>
      <c r="K2" s="1772"/>
      <c r="L2" s="1771"/>
      <c r="M2" s="1771"/>
    </row>
    <row r="3" ht="18" customHeight="1" spans="1:13">
      <c r="A3" s="1637" t="s">
        <v>828</v>
      </c>
      <c r="B3" s="1638">
        <f ca="1">ROUND(IF('数据-取费表'!B28="租赁期内按合同租金",(C40+L47+J29)/F43,(C40+L47)/F43),0)</f>
        <v>44863</v>
      </c>
      <c r="C3" s="1633" t="s">
        <v>989</v>
      </c>
      <c r="D3" s="1214"/>
      <c r="E3" s="1634"/>
      <c r="F3" s="1634"/>
      <c r="G3" s="1635"/>
      <c r="H3" s="1639" t="s">
        <v>990</v>
      </c>
      <c r="I3" s="1771"/>
      <c r="J3" s="1771"/>
      <c r="K3" s="1772"/>
      <c r="L3" s="1771"/>
      <c r="M3" s="1771"/>
    </row>
    <row r="4" ht="18" customHeight="1" spans="1:13">
      <c r="A4" s="1640" t="s">
        <v>991</v>
      </c>
      <c r="B4" s="1641" t="s">
        <v>992</v>
      </c>
      <c r="C4" s="1641" t="s">
        <v>993</v>
      </c>
      <c r="D4" s="1641" t="s">
        <v>994</v>
      </c>
      <c r="E4" s="1642" t="s">
        <v>995</v>
      </c>
      <c r="F4" s="1643"/>
      <c r="G4" s="1644"/>
      <c r="H4" s="1640" t="s">
        <v>991</v>
      </c>
      <c r="I4" s="1641" t="s">
        <v>992</v>
      </c>
      <c r="J4" s="1641" t="s">
        <v>993</v>
      </c>
      <c r="K4" s="1641" t="s">
        <v>994</v>
      </c>
      <c r="L4" s="1642" t="s">
        <v>995</v>
      </c>
      <c r="M4" s="1643"/>
    </row>
    <row r="5" ht="18" customHeight="1" spans="1:13">
      <c r="A5" s="1645">
        <v>1</v>
      </c>
      <c r="B5" s="1646" t="s">
        <v>996</v>
      </c>
      <c r="C5" s="1647">
        <f ca="1">C6+C10+C12</f>
        <v>515456</v>
      </c>
      <c r="D5" s="1648" t="s">
        <v>997</v>
      </c>
      <c r="E5" s="1214"/>
      <c r="F5" s="1649"/>
      <c r="G5" s="1644"/>
      <c r="H5" s="1645">
        <v>1</v>
      </c>
      <c r="I5" s="1646" t="s">
        <v>996</v>
      </c>
      <c r="J5" s="1647">
        <f ca="1">J6+J10+J12</f>
        <v>0</v>
      </c>
      <c r="K5" s="1648" t="s">
        <v>997</v>
      </c>
      <c r="L5" s="1214"/>
      <c r="M5" s="1649"/>
    </row>
    <row r="6" ht="18" customHeight="1" spans="1:13">
      <c r="A6" s="1650" t="s">
        <v>928</v>
      </c>
      <c r="B6" s="1651" t="s">
        <v>998</v>
      </c>
      <c r="C6" s="1647">
        <f>ROUND(F6*F8*F7*(1-F9),0)</f>
        <v>514812</v>
      </c>
      <c r="D6" s="1652" t="s">
        <v>999</v>
      </c>
      <c r="E6" s="1653" t="s">
        <v>1000</v>
      </c>
      <c r="F6" s="1654">
        <f>'数据-取费表'!B29</f>
        <v>7</v>
      </c>
      <c r="G6" s="1644"/>
      <c r="H6" s="1650" t="s">
        <v>928</v>
      </c>
      <c r="I6" s="1651" t="s">
        <v>998</v>
      </c>
      <c r="J6" s="1647">
        <f>ROUND(M6*M8*M7*(1-M9),0)</f>
        <v>0</v>
      </c>
      <c r="K6" s="1652" t="s">
        <v>999</v>
      </c>
      <c r="L6" s="1653" t="s">
        <v>1000</v>
      </c>
      <c r="M6" s="1654">
        <f>'数据-取费表'!B36</f>
        <v>0</v>
      </c>
    </row>
    <row r="7" ht="18" customHeight="1" spans="1:13">
      <c r="A7" s="1655"/>
      <c r="B7" s="1656"/>
      <c r="C7" s="1657"/>
      <c r="D7" s="1658"/>
      <c r="E7" s="1653" t="s">
        <v>1001</v>
      </c>
      <c r="F7" s="1654">
        <f>IF('数据-取费表'!B41="",IF(D1="仅计算典型户型",'数据-取费表'!E5,'数据-取费表'!B5),'数据-取费表'!B41)</f>
        <v>223.88</v>
      </c>
      <c r="G7" s="1644"/>
      <c r="H7" s="1659"/>
      <c r="I7" s="1656"/>
      <c r="J7" s="1657"/>
      <c r="K7" s="1658"/>
      <c r="L7" s="1653" t="s">
        <v>1001</v>
      </c>
      <c r="M7" s="1654">
        <f>IF('数据-取费表'!B41="",IF(D1="仅计算典型户型",'数据-取费表'!E5,'数据-取费表'!B5),'数据-取费表'!B41)</f>
        <v>223.88</v>
      </c>
    </row>
    <row r="8" ht="18" customHeight="1" spans="1:13">
      <c r="A8" s="1655"/>
      <c r="B8" s="1656"/>
      <c r="C8" s="1657"/>
      <c r="D8" s="1658"/>
      <c r="E8" s="1653" t="s">
        <v>1002</v>
      </c>
      <c r="F8" s="1654">
        <f>'数据-取费表'!B42</f>
        <v>365</v>
      </c>
      <c r="G8" s="1644"/>
      <c r="H8" s="1659"/>
      <c r="I8" s="1656"/>
      <c r="J8" s="1657"/>
      <c r="K8" s="1658"/>
      <c r="L8" s="1653" t="s">
        <v>1003</v>
      </c>
      <c r="M8" s="1654">
        <f>'数据-取费表'!B42</f>
        <v>365</v>
      </c>
    </row>
    <row r="9" ht="18" customHeight="1" spans="1:13">
      <c r="A9" s="1655"/>
      <c r="B9" s="1656"/>
      <c r="C9" s="1657"/>
      <c r="D9" s="1660"/>
      <c r="E9" s="1653" t="s">
        <v>1004</v>
      </c>
      <c r="F9" s="1661">
        <f>'数据-取费表'!B32</f>
        <v>0.1</v>
      </c>
      <c r="G9" s="1644"/>
      <c r="H9" s="1659"/>
      <c r="I9" s="1656"/>
      <c r="J9" s="1773"/>
      <c r="K9" s="1774"/>
      <c r="L9" s="1665" t="s">
        <v>1004</v>
      </c>
      <c r="M9" s="1661">
        <f>'数据-取费表'!B38</f>
        <v>0</v>
      </c>
    </row>
    <row r="10" ht="18" customHeight="1" spans="1:13">
      <c r="A10" s="1650" t="s">
        <v>930</v>
      </c>
      <c r="B10" s="1662" t="s">
        <v>1005</v>
      </c>
      <c r="C10" s="1663">
        <f ca="1">ROUND(IF(F10="押一",C6/12*F11,IF(F10="押二",C6/12*2*F11,IF(F10="押三",C6/12*3*F11,C11*F11))),0)</f>
        <v>644</v>
      </c>
      <c r="D10" s="1664" t="s">
        <v>1006</v>
      </c>
      <c r="E10" s="1665" t="s">
        <v>1007</v>
      </c>
      <c r="F10" s="1666" t="s">
        <v>1008</v>
      </c>
      <c r="G10" s="1644"/>
      <c r="H10" s="1650" t="s">
        <v>930</v>
      </c>
      <c r="I10" s="1662" t="s">
        <v>1005</v>
      </c>
      <c r="J10" s="1663">
        <f ca="1">ROUND(IF(M10="押一",J6/12*M11,IF(M10="押二",J6/12*2*M11,IF(M10="押三",J6/12*3*M11,J11*M11))),0)</f>
        <v>0</v>
      </c>
      <c r="K10" s="1652" t="s">
        <v>1006</v>
      </c>
      <c r="L10" s="1665" t="s">
        <v>1007</v>
      </c>
      <c r="M10" s="1666"/>
    </row>
    <row r="11" s="1619" customFormat="1" ht="18" customHeight="1" spans="1:37">
      <c r="A11" s="1667"/>
      <c r="B11" s="1668" t="s">
        <v>1009</v>
      </c>
      <c r="C11" s="1669"/>
      <c r="D11" s="1658"/>
      <c r="E11" s="1665" t="s">
        <v>1010</v>
      </c>
      <c r="F11" s="1670">
        <f ca="1">'数据-取费表'!B30</f>
        <v>0.015</v>
      </c>
      <c r="G11" s="1671"/>
      <c r="H11" s="1672"/>
      <c r="I11" s="1668" t="s">
        <v>1011</v>
      </c>
      <c r="J11" s="1669"/>
      <c r="K11" s="1658"/>
      <c r="L11" s="1665" t="s">
        <v>1010</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931</v>
      </c>
      <c r="B12" s="1674" t="s">
        <v>1012</v>
      </c>
      <c r="C12" s="1675"/>
      <c r="D12" s="1676"/>
      <c r="E12" s="1677"/>
      <c r="F12" s="1678"/>
      <c r="G12" s="1644"/>
      <c r="H12" s="1673" t="s">
        <v>931</v>
      </c>
      <c r="I12" s="1674" t="s">
        <v>1012</v>
      </c>
      <c r="J12" s="1675"/>
      <c r="K12" s="1756"/>
      <c r="L12" s="1677"/>
      <c r="M12" s="1776"/>
    </row>
    <row r="13" s="1619" customFormat="1" ht="18" customHeight="1" spans="1:37">
      <c r="A13" s="1679">
        <v>2</v>
      </c>
      <c r="B13" s="1680" t="s">
        <v>1013</v>
      </c>
      <c r="C13" s="1681">
        <f ca="1">ROUND(C29*F13,0)</f>
        <v>942016</v>
      </c>
      <c r="D13" s="1682" t="s">
        <v>1014</v>
      </c>
      <c r="E13" s="1682" t="s">
        <v>1015</v>
      </c>
      <c r="F13" s="1683">
        <f>'数据-取费表'!E20</f>
        <v>0.86</v>
      </c>
      <c r="G13" s="1671"/>
      <c r="H13" s="1679">
        <v>2</v>
      </c>
      <c r="I13" s="1680" t="s">
        <v>1013</v>
      </c>
      <c r="J13" s="1773">
        <f ca="1">ROUND(J14*J15,0)</f>
        <v>0</v>
      </c>
      <c r="K13" s="1703" t="s">
        <v>1014</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952</v>
      </c>
      <c r="B14" s="1653" t="s">
        <v>1016</v>
      </c>
      <c r="C14" s="1685">
        <f>IF(D1="仅计算典型户型",'数据-取费表'!F18,'数据-取费表'!E18)</f>
        <v>716416</v>
      </c>
      <c r="D14" s="1686" t="s">
        <v>1017</v>
      </c>
      <c r="E14" s="1687"/>
      <c r="F14" s="1688"/>
      <c r="G14" s="1671"/>
      <c r="H14" s="1684" t="s">
        <v>928</v>
      </c>
      <c r="I14" s="1653" t="s">
        <v>1018</v>
      </c>
      <c r="J14" s="1484">
        <f ca="1">C29</f>
        <v>1095368</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954</v>
      </c>
      <c r="B15" s="1653" t="s">
        <v>941</v>
      </c>
      <c r="C15" s="1484">
        <f>ROUND(C14*F15,0)</f>
        <v>21492</v>
      </c>
      <c r="D15" s="1689" t="s">
        <v>1019</v>
      </c>
      <c r="E15" s="1689" t="s">
        <v>1020</v>
      </c>
      <c r="F15" s="1690">
        <f>'数据-取费表'!E21</f>
        <v>0.03</v>
      </c>
      <c r="G15" s="1644"/>
      <c r="H15" s="1691" t="s">
        <v>930</v>
      </c>
      <c r="I15" s="1677" t="s">
        <v>1015</v>
      </c>
      <c r="J15" s="1781">
        <f>'数据-取费表'!B39</f>
        <v>0</v>
      </c>
      <c r="K15" s="1782"/>
      <c r="L15" s="1783"/>
      <c r="M15" s="1784"/>
    </row>
    <row r="16" s="1619" customFormat="1" ht="18" customHeight="1" spans="1:37">
      <c r="A16" s="1684" t="s">
        <v>957</v>
      </c>
      <c r="B16" s="1653" t="s">
        <v>944</v>
      </c>
      <c r="C16" s="1484">
        <f>ROUND(C14*F16,0)</f>
        <v>0</v>
      </c>
      <c r="D16" s="1653" t="s">
        <v>1019</v>
      </c>
      <c r="E16" s="1653" t="s">
        <v>1020</v>
      </c>
      <c r="F16" s="1692">
        <f>IF('数据-取费表'!B10="住宅",'数据-取费表'!E22,0)</f>
        <v>0</v>
      </c>
      <c r="G16" s="1671"/>
      <c r="H16" s="1679" t="s">
        <v>731</v>
      </c>
      <c r="I16" s="1680" t="s">
        <v>1021</v>
      </c>
      <c r="J16" s="1681">
        <f ca="1">ROUND(J17+J22+J23+J24,0)</f>
        <v>27384</v>
      </c>
      <c r="K16" s="1703" t="s">
        <v>1022</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1023</v>
      </c>
      <c r="B17" s="1653" t="s">
        <v>1024</v>
      </c>
      <c r="C17" s="1484">
        <f>ROUND(F17*IF(D1="仅计算典型户型",'数据-取费表'!E5,'数据-取费表'!B5),0)</f>
        <v>44776</v>
      </c>
      <c r="D17" s="1653" t="s">
        <v>1025</v>
      </c>
      <c r="E17" s="1653" t="s">
        <v>1026</v>
      </c>
      <c r="F17" s="1693">
        <f>'数据-取费表'!E23</f>
        <v>200</v>
      </c>
      <c r="G17" s="1671"/>
      <c r="H17" s="1684" t="s">
        <v>928</v>
      </c>
      <c r="I17" s="1653" t="s">
        <v>1027</v>
      </c>
      <c r="J17" s="1484">
        <f ca="1">ROUND(IF(项目基本情况!B7="自然人",J5*M17,J18+J19+J20),0)</f>
        <v>0</v>
      </c>
      <c r="K17" s="1686" t="s">
        <v>1028</v>
      </c>
      <c r="L17" s="1707" t="s">
        <v>1029</v>
      </c>
      <c r="M17" s="1708">
        <f>IF(项目基本情况!B7="企业","",IF('数据-取费表'!B10="住宅",5%,IF(M6*M7*M8/12/(1+'数据-取费表'!F30)&gt;20000,12%,7%)))</f>
        <v>0.07</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1030</v>
      </c>
      <c r="B18" s="1653" t="s">
        <v>950</v>
      </c>
      <c r="C18" s="1484">
        <f>ROUND(C14*F18,0)</f>
        <v>10746</v>
      </c>
      <c r="D18" s="1653" t="s">
        <v>1019</v>
      </c>
      <c r="E18" s="1653" t="s">
        <v>1020</v>
      </c>
      <c r="F18" s="1692">
        <f>'数据-取费表'!E24</f>
        <v>0.015</v>
      </c>
      <c r="G18" s="1644"/>
      <c r="H18" s="1684" t="s">
        <v>952</v>
      </c>
      <c r="I18" s="1653" t="s">
        <v>1031</v>
      </c>
      <c r="J18" s="1484" t="str">
        <f ca="1">IF(项目基本情况!B7="自然人","——",ROUND(J5*M18/(1+'数据-取费表'!F30),0))</f>
        <v>——</v>
      </c>
      <c r="K18" s="1707" t="s">
        <v>1032</v>
      </c>
      <c r="L18" s="1653" t="s">
        <v>1020</v>
      </c>
      <c r="M18" s="1692">
        <f>'数据-取费表'!E29</f>
        <v>0.056</v>
      </c>
    </row>
    <row r="19" s="1619" customFormat="1" ht="18" customHeight="1" spans="1:37">
      <c r="A19" s="1684" t="s">
        <v>928</v>
      </c>
      <c r="B19" s="1653" t="s">
        <v>1033</v>
      </c>
      <c r="C19" s="1484">
        <f>SUM(C14:C18)</f>
        <v>793430</v>
      </c>
      <c r="D19" s="1694" t="s">
        <v>1034</v>
      </c>
      <c r="E19" s="1486"/>
      <c r="F19" s="1693"/>
      <c r="G19" s="1671"/>
      <c r="H19" s="1684" t="s">
        <v>954</v>
      </c>
      <c r="I19" s="1653" t="s">
        <v>1035</v>
      </c>
      <c r="J19" s="1484" t="str">
        <f ca="1">IF(项目基本情况!B7="自然人","——",IF(K19="按租金收入计税",ROUND(J5*M19,1),ROUND(C29*M19*0.7,1)))</f>
        <v>——</v>
      </c>
      <c r="K19" s="1710" t="s">
        <v>1036</v>
      </c>
      <c r="L19" s="1653" t="s">
        <v>1020</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930</v>
      </c>
      <c r="B20" s="1653" t="s">
        <v>1037</v>
      </c>
      <c r="C20" s="1484">
        <f>ROUND(C19*F20,0)</f>
        <v>15869</v>
      </c>
      <c r="D20" s="1695" t="s">
        <v>1038</v>
      </c>
      <c r="E20" s="1653" t="s">
        <v>1020</v>
      </c>
      <c r="F20" s="1692">
        <f>'数据-取费表'!E25</f>
        <v>0.02</v>
      </c>
      <c r="G20" s="1671"/>
      <c r="H20" s="1684" t="s">
        <v>957</v>
      </c>
      <c r="I20" s="1652" t="s">
        <v>1039</v>
      </c>
      <c r="J20" s="1712" t="str">
        <f>IF(项目基本情况!B7="自然人","——",ROUND(M20*M21,0))</f>
        <v>——</v>
      </c>
      <c r="K20" s="1713" t="s">
        <v>1040</v>
      </c>
      <c r="L20" s="1653" t="s">
        <v>1041</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931</v>
      </c>
      <c r="B21" s="1653" t="s">
        <v>1042</v>
      </c>
      <c r="C21" s="1555">
        <f>F21</f>
        <v>0.02</v>
      </c>
      <c r="D21" s="1695" t="s">
        <v>1043</v>
      </c>
      <c r="E21" s="1653" t="s">
        <v>1044</v>
      </c>
      <c r="F21" s="1692">
        <f>'数据-取费表'!E26</f>
        <v>0.02</v>
      </c>
      <c r="G21" s="1644"/>
      <c r="H21" s="1667"/>
      <c r="I21" s="1660"/>
      <c r="J21" s="1556"/>
      <c r="K21" s="1715"/>
      <c r="L21" s="1653" t="s">
        <v>1045</v>
      </c>
      <c r="M21" s="1654">
        <f>IF(D1="仅计算典型户型",'数据-取费表'!E6,'数据-取费表'!B6)</f>
        <v>0</v>
      </c>
    </row>
    <row r="22" ht="18" customHeight="1" spans="1:13">
      <c r="A22" s="1684" t="s">
        <v>968</v>
      </c>
      <c r="B22" s="1653" t="s">
        <v>1046</v>
      </c>
      <c r="C22" s="1484"/>
      <c r="D22" s="1694" t="str">
        <f>IF(F23&lt;=1,"单利计息。","复利计息。")&amp;"建造成本、管理费用、销售费用产生的利息。"</f>
        <v>复利计息。建造成本、管理费用、销售费用产生的利息。</v>
      </c>
      <c r="E22" s="1486"/>
      <c r="F22" s="1693"/>
      <c r="G22" s="1644"/>
      <c r="H22" s="1684" t="s">
        <v>930</v>
      </c>
      <c r="I22" s="1653" t="s">
        <v>1047</v>
      </c>
      <c r="J22" s="1484">
        <f ca="1">ROUND(J14*M22,0)</f>
        <v>27384</v>
      </c>
      <c r="K22" s="1707" t="s">
        <v>1048</v>
      </c>
      <c r="L22" s="1653" t="s">
        <v>1020</v>
      </c>
      <c r="M22" s="1717">
        <f>'数据-取费表'!B44</f>
        <v>0.025</v>
      </c>
    </row>
    <row r="23" ht="18" customHeight="1" spans="1:13">
      <c r="A23" s="1684" t="s">
        <v>952</v>
      </c>
      <c r="B23" s="1653" t="s">
        <v>1049</v>
      </c>
      <c r="C23" s="1484">
        <f ca="1">IF('数据-取费表'!B23&lt;=1,ROUND(C19*F24*F23/2,0)+ROUND(C20*F24*F23/2,0),ROUND(C19*(POWER((1+F24),F23/2)-1),0)+ROUND(C20*(POWER((1+F24),F23/2)-1),0))</f>
        <v>38442</v>
      </c>
      <c r="D23" s="1696" t="str">
        <f>IF(F23&lt;=1,"(建造成本+管理费用)×利率×(建设周期÷2)","(建造成本+管理费用)×((1+利率)^(建设周期÷2)-1)")</f>
        <v>(建造成本+管理费用)×((1+利率)^(建设周期÷2)-1)</v>
      </c>
      <c r="E23" s="1653" t="s">
        <v>1050</v>
      </c>
      <c r="F23" s="1697">
        <f>'数据-取费表'!B21</f>
        <v>2</v>
      </c>
      <c r="G23" s="1644"/>
      <c r="H23" s="1684" t="s">
        <v>931</v>
      </c>
      <c r="I23" s="1653" t="s">
        <v>1051</v>
      </c>
      <c r="J23" s="1484">
        <f ca="1">ROUND(J13*M23,0)</f>
        <v>0</v>
      </c>
      <c r="K23" s="1707" t="s">
        <v>1052</v>
      </c>
      <c r="L23" s="1653" t="s">
        <v>1020</v>
      </c>
      <c r="M23" s="1718">
        <f>'数据-取费表'!B45</f>
        <v>0.002</v>
      </c>
    </row>
    <row r="24" s="1619" customFormat="1" ht="18" customHeight="1" spans="1:37">
      <c r="A24" s="1684" t="s">
        <v>954</v>
      </c>
      <c r="B24" s="1653" t="s">
        <v>1053</v>
      </c>
      <c r="C24" s="1484">
        <f ca="1">ROUND(IF('数据-取费表'!B23&lt;=1,F21*F24*F23/2,F21*(POWER((1+F24),F23/2)-1)),4)</f>
        <v>0.001</v>
      </c>
      <c r="D24" s="1696" t="str">
        <f>IF(F23&lt;=1,"销售费用×利率×(建设周期÷2)","销售费用×((1+利率)^(建设周期÷2)-1)")</f>
        <v>销售费用×((1+利率)^(建设周期÷2)-1)</v>
      </c>
      <c r="E24" s="1653" t="s">
        <v>1054</v>
      </c>
      <c r="F24" s="1698">
        <f ca="1">'数据-取费表'!E27</f>
        <v>0.0475</v>
      </c>
      <c r="G24" s="1671"/>
      <c r="H24" s="1691" t="s">
        <v>968</v>
      </c>
      <c r="I24" s="1677" t="s">
        <v>1037</v>
      </c>
      <c r="J24" s="1699">
        <f ca="1">ROUND(J5*M24,0)</f>
        <v>0</v>
      </c>
      <c r="K24" s="1700" t="s">
        <v>1055</v>
      </c>
      <c r="L24" s="1677" t="s">
        <v>1020</v>
      </c>
      <c r="M24" s="1678">
        <f>'数据-取费表'!B46</f>
        <v>0.025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972</v>
      </c>
      <c r="B25" s="1653" t="s">
        <v>1056</v>
      </c>
      <c r="C25" s="1484"/>
      <c r="D25" s="1694" t="s">
        <v>1057</v>
      </c>
      <c r="E25" s="1486"/>
      <c r="F25" s="1693"/>
      <c r="G25" s="1671"/>
      <c r="H25" s="1679" t="s">
        <v>734</v>
      </c>
      <c r="I25" s="1719" t="s">
        <v>1058</v>
      </c>
      <c r="J25" s="1681">
        <f ca="1">J5-J16</f>
        <v>-27384</v>
      </c>
      <c r="K25" s="1720" t="s">
        <v>1059</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952</v>
      </c>
      <c r="B26" s="1653" t="s">
        <v>1060</v>
      </c>
      <c r="C26" s="1484">
        <f>ROUND((C19+C20)*F26,0)</f>
        <v>161860</v>
      </c>
      <c r="D26" s="1695" t="s">
        <v>1061</v>
      </c>
      <c r="E26" s="1665" t="s">
        <v>1062</v>
      </c>
      <c r="F26" s="1661">
        <f>'数据-取费表'!E28</f>
        <v>0.2</v>
      </c>
      <c r="G26" s="1620"/>
      <c r="H26" s="1645" t="s">
        <v>761</v>
      </c>
      <c r="I26" s="1646" t="s">
        <v>1063</v>
      </c>
      <c r="J26" s="1647">
        <f ca="1">IF(J5&lt;&gt;0,ROUND(J25*(1-((1+M28)/(1+M26))^M27)/(M26-M28),0),0)</f>
        <v>0</v>
      </c>
      <c r="K26" s="1713" t="s">
        <v>1064</v>
      </c>
      <c r="L26" s="1653" t="s">
        <v>1065</v>
      </c>
      <c r="M26" s="1661">
        <f>'数据-取费表'!B16</f>
        <v>0.055</v>
      </c>
    </row>
    <row r="27" ht="18" customHeight="1" spans="1:13">
      <c r="A27" s="1684" t="s">
        <v>954</v>
      </c>
      <c r="B27" s="1653" t="s">
        <v>1066</v>
      </c>
      <c r="C27" s="1484">
        <f>ROUND(F21*F26,4)</f>
        <v>0.004</v>
      </c>
      <c r="D27" s="1695" t="s">
        <v>1067</v>
      </c>
      <c r="E27" s="1689"/>
      <c r="F27" s="1690"/>
      <c r="G27" s="1620"/>
      <c r="H27" s="1659"/>
      <c r="I27" s="1656"/>
      <c r="J27" s="1657"/>
      <c r="K27" s="1724" t="s">
        <v>1068</v>
      </c>
      <c r="L27" s="1653" t="s">
        <v>1069</v>
      </c>
      <c r="M27" s="1726" t="str">
        <f>'数据-取费表'!B40</f>
        <v>——</v>
      </c>
    </row>
    <row r="28" ht="18" customHeight="1" spans="1:13">
      <c r="A28" s="1684" t="s">
        <v>978</v>
      </c>
      <c r="B28" s="1653" t="s">
        <v>1070</v>
      </c>
      <c r="C28" s="1484">
        <f>ROUND(F28/(1+'数据-取费表'!F30),4)</f>
        <v>0.0533</v>
      </c>
      <c r="D28" s="1695" t="s">
        <v>1071</v>
      </c>
      <c r="E28" s="1653" t="s">
        <v>1020</v>
      </c>
      <c r="F28" s="1692">
        <f>'数据-取费表'!E29</f>
        <v>0.056</v>
      </c>
      <c r="G28" s="1620"/>
      <c r="H28" s="1672"/>
      <c r="I28" s="1728"/>
      <c r="J28" s="1681"/>
      <c r="K28" s="1715"/>
      <c r="L28" s="1653" t="s">
        <v>1072</v>
      </c>
      <c r="M28" s="1661">
        <f>'数据-取费表'!B37</f>
        <v>0</v>
      </c>
    </row>
    <row r="29" ht="18" customHeight="1" spans="1:13">
      <c r="A29" s="1691" t="s">
        <v>983</v>
      </c>
      <c r="B29" s="1677" t="s">
        <v>1073</v>
      </c>
      <c r="C29" s="1699">
        <f ca="1">ROUND((C19+C20+C23+C26)/(1-F21-C24-C27-C28),0)</f>
        <v>1095368</v>
      </c>
      <c r="D29" s="1700"/>
      <c r="E29" s="1677"/>
      <c r="F29" s="1701"/>
      <c r="G29" s="1620"/>
      <c r="H29" s="1702" t="s">
        <v>1074</v>
      </c>
      <c r="I29" s="1729" t="s">
        <v>1075</v>
      </c>
      <c r="J29" s="1730">
        <f ca="1">ROUND(J26/(1+F40)^F41,0)</f>
        <v>0</v>
      </c>
      <c r="K29" s="1731" t="s">
        <v>1076</v>
      </c>
      <c r="L29" s="1732"/>
      <c r="M29" s="1733">
        <f>IF(D1="仅计算典型户型",'数据-取费表'!E5,'数据-取费表'!B5)</f>
        <v>223.88</v>
      </c>
    </row>
    <row r="30" ht="18" customHeight="1" spans="1:13">
      <c r="A30" s="1679" t="s">
        <v>731</v>
      </c>
      <c r="B30" s="1680" t="s">
        <v>1021</v>
      </c>
      <c r="C30" s="1681">
        <f ca="1">ROUND(C31+C36+C37+C38,0)</f>
        <v>104009</v>
      </c>
      <c r="D30" s="1703" t="s">
        <v>1022</v>
      </c>
      <c r="E30" s="1704"/>
      <c r="F30" s="1705"/>
      <c r="G30" s="1620"/>
      <c r="H30" s="1706"/>
      <c r="I30" s="1785"/>
      <c r="J30" s="1786"/>
      <c r="K30" s="1787"/>
      <c r="L30" s="1788"/>
      <c r="M30" s="1789"/>
    </row>
    <row r="31" ht="18" customHeight="1" spans="1:13">
      <c r="A31" s="1684" t="s">
        <v>928</v>
      </c>
      <c r="B31" s="1653" t="s">
        <v>1027</v>
      </c>
      <c r="C31" s="1484">
        <f ca="1">ROUND(IF(项目基本情况!B7="自然人",C5*F31,C32+C33+C34),1)</f>
        <v>61854.7</v>
      </c>
      <c r="D31" s="1686" t="s">
        <v>1028</v>
      </c>
      <c r="E31" s="1707" t="s">
        <v>1029</v>
      </c>
      <c r="F31" s="1708">
        <f>IF(项目基本情况!B7="企业","",IF('数据-取费表'!B10="住宅",5%,IF(F6*F7*F8/12/(1+'数据-取费表'!F30)&gt;20000,12%,7%)))</f>
        <v>0.12</v>
      </c>
      <c r="G31" s="1620"/>
      <c r="H31" s="1706"/>
      <c r="I31" s="1785"/>
      <c r="J31" s="1786"/>
      <c r="K31" s="1787"/>
      <c r="L31" s="1788"/>
      <c r="M31" s="1789"/>
    </row>
    <row r="32" ht="18" customHeight="1" spans="1:13">
      <c r="A32" s="1684" t="s">
        <v>952</v>
      </c>
      <c r="B32" s="1653" t="s">
        <v>1031</v>
      </c>
      <c r="C32" s="1484" t="str">
        <f ca="1">IF(项目基本情况!B7="自然人","——",ROUND(C5*F32/(1+'数据-取费表'!F30),0))</f>
        <v>——</v>
      </c>
      <c r="D32" s="1707" t="s">
        <v>1032</v>
      </c>
      <c r="E32" s="1653" t="s">
        <v>1020</v>
      </c>
      <c r="F32" s="1698">
        <f>'数据-取费表'!E29</f>
        <v>0.056</v>
      </c>
      <c r="G32" s="1620"/>
      <c r="H32" s="1709"/>
      <c r="I32" s="1790"/>
      <c r="J32" s="1791"/>
      <c r="K32" s="1792"/>
      <c r="L32" s="1793"/>
      <c r="M32" s="1794"/>
    </row>
    <row r="33" ht="18" customHeight="1" spans="1:13">
      <c r="A33" s="1684" t="s">
        <v>954</v>
      </c>
      <c r="B33" s="1653" t="s">
        <v>1035</v>
      </c>
      <c r="C33" s="1484" t="str">
        <f ca="1">IF(项目基本情况!B7="自然人","——",IF(D33="按租金收入计税",ROUND(C5*F33,1),IF(D33="按房产原值计税",ROUND(C29*F33*0.7,1),'数据-取费表'!B43)))</f>
        <v>——</v>
      </c>
      <c r="D33" s="1710" t="s">
        <v>1036</v>
      </c>
      <c r="E33" s="1653" t="s">
        <v>1020</v>
      </c>
      <c r="F33" s="1692">
        <f>IF(D33="按票据","——",IF(D33="按租金收入计税",'数据-取费表'!E39,'数据-取费表'!E38))</f>
        <v>0.012</v>
      </c>
      <c r="G33" s="1620"/>
      <c r="H33" s="1711"/>
      <c r="I33" s="1795" t="s">
        <v>1077</v>
      </c>
      <c r="J33" s="1796"/>
      <c r="K33" s="1797"/>
      <c r="L33" s="1711"/>
      <c r="M33" s="1711"/>
    </row>
    <row r="34" ht="18" customHeight="1" spans="1:13">
      <c r="A34" s="1650" t="s">
        <v>957</v>
      </c>
      <c r="B34" s="1652" t="s">
        <v>1039</v>
      </c>
      <c r="C34" s="1712" t="str">
        <f>IF(项目基本情况!B7="自然人","——",ROUND(F34*F35,0))</f>
        <v>——</v>
      </c>
      <c r="D34" s="1713" t="s">
        <v>1040</v>
      </c>
      <c r="E34" s="1653" t="s">
        <v>1041</v>
      </c>
      <c r="F34" s="1697">
        <f>'数据-取费表'!E40</f>
        <v>0</v>
      </c>
      <c r="G34" s="1620"/>
      <c r="H34" s="1706"/>
      <c r="I34" s="1798" t="s">
        <v>1078</v>
      </c>
      <c r="J34" s="1799">
        <f ca="1">ROUND(C13*J35,0)</f>
        <v>0</v>
      </c>
      <c r="K34" s="1800"/>
      <c r="L34" s="1801"/>
      <c r="M34" s="1801"/>
    </row>
    <row r="35" ht="24.6" customHeight="1" spans="1:13">
      <c r="A35" s="1714"/>
      <c r="B35" s="1660"/>
      <c r="C35" s="1556"/>
      <c r="D35" s="1715"/>
      <c r="E35" s="1653" t="s">
        <v>1045</v>
      </c>
      <c r="F35" s="1654">
        <f>IF(D1="仅计算典型户型",'数据-取费表'!E6,'数据-取费表'!B6)</f>
        <v>0</v>
      </c>
      <c r="G35" s="1620"/>
      <c r="H35" s="1706"/>
      <c r="I35" s="545" t="s">
        <v>1079</v>
      </c>
      <c r="J35" s="1802">
        <f>'数据-取费表'!B17</f>
        <v>0</v>
      </c>
      <c r="K35" s="1797"/>
      <c r="L35" s="1711"/>
      <c r="M35" s="1711"/>
    </row>
    <row r="36" ht="18" customHeight="1" spans="1:13">
      <c r="A36" s="1716" t="s">
        <v>930</v>
      </c>
      <c r="B36" s="1653" t="s">
        <v>1047</v>
      </c>
      <c r="C36" s="1484">
        <f ca="1">ROUND(C29*F36,0)</f>
        <v>27384</v>
      </c>
      <c r="D36" s="1707" t="s">
        <v>1080</v>
      </c>
      <c r="E36" s="1653" t="s">
        <v>1020</v>
      </c>
      <c r="F36" s="1717">
        <f>'数据-取费表'!B44</f>
        <v>0.025</v>
      </c>
      <c r="G36" s="1620"/>
      <c r="H36" s="1711"/>
      <c r="I36" s="1803" t="s">
        <v>1081</v>
      </c>
      <c r="J36" s="1804"/>
      <c r="K36" s="1805"/>
      <c r="L36" s="1711"/>
      <c r="M36" s="1711"/>
    </row>
    <row r="37" ht="18" customHeight="1" spans="1:13">
      <c r="A37" s="1684" t="s">
        <v>931</v>
      </c>
      <c r="B37" s="1653" t="s">
        <v>1051</v>
      </c>
      <c r="C37" s="1484">
        <f ca="1">ROUND(C13*F37,0)</f>
        <v>1884</v>
      </c>
      <c r="D37" s="1707" t="s">
        <v>1052</v>
      </c>
      <c r="E37" s="1653" t="s">
        <v>1020</v>
      </c>
      <c r="F37" s="1718">
        <f>'数据-取费表'!B45</f>
        <v>0.002</v>
      </c>
      <c r="G37" s="1620"/>
      <c r="H37" s="1711"/>
      <c r="I37" s="1806" t="s">
        <v>1082</v>
      </c>
      <c r="J37" s="1807"/>
      <c r="K37" s="1805"/>
      <c r="L37" s="1711"/>
      <c r="M37" s="1711"/>
    </row>
    <row r="38" ht="18" customHeight="1" spans="1:13">
      <c r="A38" s="1691" t="s">
        <v>968</v>
      </c>
      <c r="B38" s="1677" t="s">
        <v>1037</v>
      </c>
      <c r="C38" s="1699">
        <f ca="1">ROUND(C5*F38,0)</f>
        <v>12886</v>
      </c>
      <c r="D38" s="1700" t="s">
        <v>1055</v>
      </c>
      <c r="E38" s="1677" t="s">
        <v>1020</v>
      </c>
      <c r="F38" s="1678">
        <f>'数据-取费表'!B46</f>
        <v>0.025</v>
      </c>
      <c r="G38" s="1620"/>
      <c r="H38" s="1711"/>
      <c r="I38" s="1798" t="s">
        <v>1083</v>
      </c>
      <c r="J38" s="1808">
        <f ca="1">ROUND(J34/C39,3)</f>
        <v>0</v>
      </c>
      <c r="K38" s="1809"/>
      <c r="L38" s="1711"/>
      <c r="M38" s="1711"/>
    </row>
    <row r="39" ht="18" customHeight="1" spans="1:13">
      <c r="A39" s="1679" t="s">
        <v>734</v>
      </c>
      <c r="B39" s="1719" t="s">
        <v>1058</v>
      </c>
      <c r="C39" s="1681">
        <f ca="1">C5-C30</f>
        <v>411447</v>
      </c>
      <c r="D39" s="1720" t="s">
        <v>1059</v>
      </c>
      <c r="E39" s="1721"/>
      <c r="F39" s="1722"/>
      <c r="G39" s="1620"/>
      <c r="H39" s="1711"/>
      <c r="I39" s="1798" t="s">
        <v>1084</v>
      </c>
      <c r="J39" s="1808">
        <f ca="1">1-J38</f>
        <v>1</v>
      </c>
      <c r="K39" s="1809"/>
      <c r="L39" s="1711"/>
      <c r="M39" s="1711"/>
    </row>
    <row r="40" s="1620" customFormat="1" ht="18" customHeight="1" spans="1:17">
      <c r="A40" s="1645" t="s">
        <v>761</v>
      </c>
      <c r="B40" s="1646" t="s">
        <v>1085</v>
      </c>
      <c r="C40" s="1647">
        <f ca="1">ROUND(C39*(1-((1+F42)/(1+F40))^F41)/(F40-F42),0)</f>
        <v>10044006</v>
      </c>
      <c r="D40" s="1713" t="s">
        <v>1064</v>
      </c>
      <c r="E40" s="1653" t="s">
        <v>1065</v>
      </c>
      <c r="F40" s="1661">
        <f>'数据-取费表'!B16</f>
        <v>0.055</v>
      </c>
      <c r="H40" s="1723"/>
      <c r="I40" s="1806" t="s">
        <v>1086</v>
      </c>
      <c r="J40" s="1418"/>
      <c r="K40" s="1809"/>
      <c r="L40" s="1723"/>
      <c r="M40" s="1723"/>
      <c r="Q40" s="1623"/>
    </row>
    <row r="41" s="1620" customFormat="1" ht="18" customHeight="1" spans="1:17">
      <c r="A41" s="1659"/>
      <c r="B41" s="1656"/>
      <c r="C41" s="1657"/>
      <c r="D41" s="1724" t="s">
        <v>1068</v>
      </c>
      <c r="E41" s="1725" t="s">
        <v>1087</v>
      </c>
      <c r="F41" s="1726">
        <f>IF('数据-取费表'!B28="租赁期内按合同租金",'数据-取费表'!B34,IF(E41="收益年期(n)",'数据-取费表'!B33,'数据-取费表'!B13))</f>
        <v>35</v>
      </c>
      <c r="H41" s="1727"/>
      <c r="I41" s="1810" t="s">
        <v>920</v>
      </c>
      <c r="J41" s="1808">
        <f ca="1">ROUND(C13/C40,3)</f>
        <v>0.094</v>
      </c>
      <c r="K41" s="1805"/>
      <c r="L41" s="1727"/>
      <c r="M41" s="1727"/>
      <c r="Q41" s="1623"/>
    </row>
    <row r="42" s="1620" customFormat="1" ht="18" customHeight="1" spans="1:17">
      <c r="A42" s="1672"/>
      <c r="B42" s="1728"/>
      <c r="C42" s="1681"/>
      <c r="D42" s="1715"/>
      <c r="E42" s="1653" t="s">
        <v>1072</v>
      </c>
      <c r="F42" s="1661">
        <f>'数据-取费表'!B31</f>
        <v>0.035</v>
      </c>
      <c r="H42" s="1727"/>
      <c r="I42" s="1810" t="s">
        <v>921</v>
      </c>
      <c r="J42" s="1811">
        <f ca="1">1-J41</f>
        <v>0.906</v>
      </c>
      <c r="K42" s="1805"/>
      <c r="L42" s="1727"/>
      <c r="M42" s="1727"/>
      <c r="Q42" s="1623"/>
    </row>
    <row r="43" s="1620" customFormat="1" ht="18" customHeight="1" spans="1:18">
      <c r="A43" s="1702" t="s">
        <v>1074</v>
      </c>
      <c r="B43" s="1729" t="s">
        <v>1088</v>
      </c>
      <c r="C43" s="1730">
        <f ca="1">ROUND(C40/F43,0)</f>
        <v>44863</v>
      </c>
      <c r="D43" s="1731" t="s">
        <v>1089</v>
      </c>
      <c r="E43" s="1732" t="s">
        <v>1090</v>
      </c>
      <c r="F43" s="1733">
        <f>IF(D1="仅计算典型户型",'数据-取费表'!E5,'数据-取费表'!B5)</f>
        <v>223.88</v>
      </c>
      <c r="G43" s="1734"/>
      <c r="H43" s="1727"/>
      <c r="I43" s="1727"/>
      <c r="J43" s="1727"/>
      <c r="K43" s="1805"/>
      <c r="L43" s="1727"/>
      <c r="M43" s="1727"/>
      <c r="O43" s="1812" t="s">
        <v>1091</v>
      </c>
      <c r="P43" s="1813"/>
      <c r="Q43" s="1380"/>
      <c r="R43" s="1813"/>
    </row>
    <row r="44" s="1620" customFormat="1" ht="18" customHeight="1" spans="1:18">
      <c r="A44" s="1735"/>
      <c r="B44" s="1735"/>
      <c r="C44" s="1736"/>
      <c r="D44" s="1735"/>
      <c r="E44" s="1735"/>
      <c r="F44" s="1735"/>
      <c r="G44" s="1734"/>
      <c r="K44" s="1814"/>
      <c r="O44" s="1815" t="s">
        <v>1092</v>
      </c>
      <c r="P44" s="1816" t="s">
        <v>1093</v>
      </c>
      <c r="Q44" s="1863" t="s">
        <v>1094</v>
      </c>
      <c r="R44" s="1864" t="s">
        <v>1095</v>
      </c>
    </row>
    <row r="45" s="1620" customFormat="1" ht="18" customHeight="1" spans="1:18">
      <c r="A45" s="1735"/>
      <c r="B45" s="1735"/>
      <c r="C45" s="1736"/>
      <c r="D45" s="1735"/>
      <c r="E45" s="1735"/>
      <c r="F45" s="1735"/>
      <c r="G45" s="1737"/>
      <c r="K45" s="1814"/>
      <c r="O45" s="1817" t="s">
        <v>938</v>
      </c>
      <c r="P45" s="1818" t="s">
        <v>1096</v>
      </c>
      <c r="Q45" s="1865">
        <f ca="1">C40+J29</f>
        <v>10044006</v>
      </c>
      <c r="R45" s="1866" t="s">
        <v>1097</v>
      </c>
    </row>
    <row r="46" s="1620" customFormat="1" ht="18" customHeight="1" spans="1:18">
      <c r="A46" s="1735"/>
      <c r="D46" s="1735"/>
      <c r="E46" s="1735"/>
      <c r="F46" s="1735"/>
      <c r="K46" s="1814"/>
      <c r="O46" s="1817" t="s">
        <v>940</v>
      </c>
      <c r="P46" s="1818" t="s">
        <v>1098</v>
      </c>
      <c r="Q46" s="1865" t="str">
        <f ca="1">J61</f>
        <v>0</v>
      </c>
      <c r="R46" s="1866" t="s">
        <v>1099</v>
      </c>
    </row>
    <row r="47" s="1620" customFormat="1" ht="21" spans="1:18">
      <c r="A47" s="1738" t="s">
        <v>1100</v>
      </c>
      <c r="C47" s="1739">
        <f ca="1">IF(C2="元",C69-C40,ROUND((C69-C40)/10000,0))</f>
        <v>-10494457</v>
      </c>
      <c r="D47" s="1740" t="str">
        <f>C2</f>
        <v>元</v>
      </c>
      <c r="E47" s="1735"/>
      <c r="F47" s="1735"/>
      <c r="I47" s="1819" t="s">
        <v>1101</v>
      </c>
      <c r="J47" s="1820"/>
      <c r="K47" s="1821"/>
      <c r="L47" s="1822" t="str">
        <f ca="1">IF(M48="住宅",0,IF(L49&gt;J52,L61,J61))</f>
        <v>0</v>
      </c>
      <c r="O47" s="1823" t="s">
        <v>1102</v>
      </c>
      <c r="P47" s="1818" t="s">
        <v>1103</v>
      </c>
      <c r="Q47" s="1865">
        <f ca="1">C29</f>
        <v>1095368</v>
      </c>
      <c r="R47" s="1866" t="s">
        <v>1097</v>
      </c>
    </row>
    <row r="48" s="1620" customFormat="1" ht="15.75" spans="1:18">
      <c r="A48" s="1640" t="s">
        <v>991</v>
      </c>
      <c r="B48" s="1641" t="s">
        <v>992</v>
      </c>
      <c r="C48" s="1641" t="s">
        <v>993</v>
      </c>
      <c r="D48" s="1641" t="s">
        <v>994</v>
      </c>
      <c r="E48" s="1741" t="s">
        <v>995</v>
      </c>
      <c r="F48" s="1742"/>
      <c r="I48" s="1824" t="s">
        <v>1104</v>
      </c>
      <c r="J48" s="1825" t="s">
        <v>1105</v>
      </c>
      <c r="K48" s="1826" t="s">
        <v>1106</v>
      </c>
      <c r="L48" s="1827">
        <f>'数据-取费表'!B11</f>
        <v>50</v>
      </c>
      <c r="M48" s="1380" t="str">
        <f>IF('数据-取费表'!B10="住宅","住宅","非住宅")</f>
        <v>非住宅</v>
      </c>
      <c r="O48" s="1823" t="s">
        <v>1107</v>
      </c>
      <c r="P48" s="1818" t="s">
        <v>1108</v>
      </c>
      <c r="Q48" s="1867" t="e">
        <f>J59</f>
        <v>#VALUE!</v>
      </c>
      <c r="R48" s="1866"/>
    </row>
    <row r="49" s="1620" customFormat="1" ht="15.75" spans="1:18">
      <c r="A49" s="1743" t="s">
        <v>1109</v>
      </c>
      <c r="B49" s="1646" t="s">
        <v>996</v>
      </c>
      <c r="C49" s="1744">
        <f ca="1">C50+C54+C56</f>
        <v>0</v>
      </c>
      <c r="D49" s="1745"/>
      <c r="E49" s="1746"/>
      <c r="F49" s="1693"/>
      <c r="I49" s="1828" t="s">
        <v>1110</v>
      </c>
      <c r="J49" s="1829" t="s">
        <v>1111</v>
      </c>
      <c r="K49" s="1830" t="s">
        <v>1112</v>
      </c>
      <c r="L49" s="1419">
        <f>'数据-取费表'!B13</f>
        <v>35</v>
      </c>
      <c r="O49" s="1823" t="s">
        <v>1113</v>
      </c>
      <c r="P49" s="1818" t="s">
        <v>1114</v>
      </c>
      <c r="Q49" s="1867">
        <f>J53</f>
        <v>0.05</v>
      </c>
      <c r="R49" s="1866"/>
    </row>
    <row r="50" s="1620" customFormat="1" ht="15.75" spans="1:18">
      <c r="A50" s="1747" t="s">
        <v>928</v>
      </c>
      <c r="B50" s="1651" t="s">
        <v>1115</v>
      </c>
      <c r="C50" s="1647">
        <f>ROUND(F50*F52*F51*(1-F53),0)</f>
        <v>0</v>
      </c>
      <c r="D50" s="1748" t="s">
        <v>1116</v>
      </c>
      <c r="E50" s="1749" t="s">
        <v>1117</v>
      </c>
      <c r="F50" s="1750"/>
      <c r="I50" s="1828" t="s">
        <v>1118</v>
      </c>
      <c r="J50" s="1419">
        <f>'数据-取费表'!B26</f>
        <v>2005</v>
      </c>
      <c r="K50" s="1831" t="s">
        <v>1119</v>
      </c>
      <c r="L50" s="1832"/>
      <c r="O50" s="1823" t="s">
        <v>1120</v>
      </c>
      <c r="P50" s="1818" t="s">
        <v>1121</v>
      </c>
      <c r="Q50" s="1865">
        <f>J54</f>
        <v>35</v>
      </c>
      <c r="R50" s="1866" t="s">
        <v>1122</v>
      </c>
    </row>
    <row r="51" s="1620" customFormat="1" ht="15.75" spans="1:18">
      <c r="A51" s="1659"/>
      <c r="B51" s="1656"/>
      <c r="C51" s="1657"/>
      <c r="D51" s="1658"/>
      <c r="E51" s="1689" t="s">
        <v>1001</v>
      </c>
      <c r="F51" s="1751">
        <f>F7</f>
        <v>223.88</v>
      </c>
      <c r="I51" s="1828" t="s">
        <v>1123</v>
      </c>
      <c r="J51" s="1833">
        <f>SUMPRODUCT((I64:I66=J48)*(J63:L63=J49)*(J64:L66))</f>
        <v>60</v>
      </c>
      <c r="K51" s="1831" t="s">
        <v>1124</v>
      </c>
      <c r="L51" s="1832"/>
      <c r="O51" s="1817" t="s">
        <v>943</v>
      </c>
      <c r="P51" s="1818" t="str">
        <f>IF(C2="元","收益价值(元)","收益价值(万元)")</f>
        <v>收益价值(元)</v>
      </c>
      <c r="Q51" s="1865">
        <f ca="1">ROUND(IF(C2="元",Q45+Q46,(Q45+Q46)/10000),0)</f>
        <v>10044006</v>
      </c>
      <c r="R51" s="1866" t="s">
        <v>1125</v>
      </c>
    </row>
    <row r="52" s="1620" customFormat="1" ht="16.5" spans="1:18">
      <c r="A52" s="1659"/>
      <c r="B52" s="1656"/>
      <c r="C52" s="1657"/>
      <c r="D52" s="1658"/>
      <c r="E52" s="1653" t="s">
        <v>1003</v>
      </c>
      <c r="F52" s="1654">
        <f>F8</f>
        <v>365</v>
      </c>
      <c r="I52" s="1834" t="s">
        <v>1126</v>
      </c>
      <c r="J52" s="1835">
        <f>IF(J50="",J51,J50+J51-YEAR('数据-取费表'!B2))</f>
        <v>47</v>
      </c>
      <c r="K52" s="1836" t="s">
        <v>1127</v>
      </c>
      <c r="L52" s="1837">
        <f ca="1">ROUND(-PV('数据-取费表'!B15,L49,(C40-C13*J35)),0)</f>
        <v>187467487</v>
      </c>
      <c r="O52" s="1812" t="s">
        <v>1128</v>
      </c>
      <c r="P52" s="1813"/>
      <c r="Q52" s="1380"/>
      <c r="R52" s="1813"/>
    </row>
    <row r="53" s="1620" customFormat="1" ht="15.75" spans="1:18">
      <c r="A53" s="1672"/>
      <c r="B53" s="1728"/>
      <c r="C53" s="1681"/>
      <c r="D53" s="1660"/>
      <c r="E53" s="1653" t="s">
        <v>1004</v>
      </c>
      <c r="F53" s="1752"/>
      <c r="I53" s="1838" t="s">
        <v>1129</v>
      </c>
      <c r="J53" s="1839">
        <v>0.05</v>
      </c>
      <c r="K53" s="1838" t="s">
        <v>1130</v>
      </c>
      <c r="L53" s="1839">
        <v>0.05</v>
      </c>
      <c r="O53" s="1815" t="s">
        <v>1092</v>
      </c>
      <c r="P53" s="1816" t="s">
        <v>1093</v>
      </c>
      <c r="Q53" s="1863" t="s">
        <v>1094</v>
      </c>
      <c r="R53" s="1864" t="s">
        <v>1095</v>
      </c>
    </row>
    <row r="54" s="1620" customFormat="1" ht="29.25" customHeight="1" spans="1:18">
      <c r="A54" s="1650" t="s">
        <v>930</v>
      </c>
      <c r="B54" s="1662" t="s">
        <v>1005</v>
      </c>
      <c r="C54" s="1663">
        <f ca="1">ROUND(IF(F54="押一",C50/12*F11,IF(F54="押二",C50/12*2*F11,IF(F54="押三",C50/12*3*F11,C55*F11))),0)</f>
        <v>0</v>
      </c>
      <c r="D54" s="1664" t="s">
        <v>1006</v>
      </c>
      <c r="E54" s="1665" t="s">
        <v>1007</v>
      </c>
      <c r="F54" s="1666"/>
      <c r="I54" s="1840" t="s">
        <v>1131</v>
      </c>
      <c r="J54" s="1841">
        <f>IF(M48="住宅",IF(E1="——",MAX(J52,L49),IF(E1="在建（套用方法）",MAX(J52,L49-'数据-取费表'!B25),MAX(J52,L49-'数据-取费表'!B21))),IF(E1="——",MIN(J52,L49),IF(E1="在建（套用方法）",MIN(J52,L49-'数据-取费表'!B25),IF(E1="土地（套用方法）",MIN(J52,L49-'数据-取费表'!B21)))))</f>
        <v>35</v>
      </c>
      <c r="K54" s="1842" t="s">
        <v>1132</v>
      </c>
      <c r="L54" s="1843"/>
      <c r="O54" s="1817" t="s">
        <v>938</v>
      </c>
      <c r="P54" s="1818" t="s">
        <v>1096</v>
      </c>
      <c r="Q54" s="1865">
        <f ca="1">C40+J29</f>
        <v>10044006</v>
      </c>
      <c r="R54" s="1866" t="s">
        <v>1097</v>
      </c>
    </row>
    <row r="55" s="1620" customFormat="1" ht="20.25" spans="1:18">
      <c r="A55" s="1650"/>
      <c r="B55" s="1753" t="s">
        <v>1011</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44"/>
      <c r="K55" s="1844"/>
      <c r="L55" s="1844"/>
      <c r="O55" s="1817" t="s">
        <v>940</v>
      </c>
      <c r="P55" s="1818" t="s">
        <v>1133</v>
      </c>
      <c r="Q55" s="1865">
        <f ca="1">L61</f>
        <v>0</v>
      </c>
      <c r="R55" s="1866" t="s">
        <v>1134</v>
      </c>
    </row>
    <row r="56" s="1620" customFormat="1" ht="20.25" spans="1:18">
      <c r="A56" s="1673" t="s">
        <v>931</v>
      </c>
      <c r="B56" s="1674" t="s">
        <v>1012</v>
      </c>
      <c r="C56" s="1675"/>
      <c r="D56" s="1756"/>
      <c r="E56" s="1757"/>
      <c r="F56" s="1758"/>
      <c r="I56" s="1845" t="s">
        <v>1135</v>
      </c>
      <c r="J56" s="1846" t="e">
        <f>ROUND(IF(J48="钢混",J58/J51,1-(1-2%)*(J51-J58)/J51),3)</f>
        <v>#VALUE!</v>
      </c>
      <c r="K56" s="1847" t="s">
        <v>1136</v>
      </c>
      <c r="L56" s="1848"/>
      <c r="O56" s="1823" t="s">
        <v>1102</v>
      </c>
      <c r="P56" s="1818" t="s">
        <v>1137</v>
      </c>
      <c r="Q56" s="1865">
        <f>IF(L56="比较法",L50,IF(L56="基准地价",L51,0))</f>
        <v>0</v>
      </c>
      <c r="R56" s="1866" t="s">
        <v>1097</v>
      </c>
    </row>
    <row r="57" s="1620" customFormat="1" ht="44.25" spans="1:18">
      <c r="A57" s="1679">
        <v>2</v>
      </c>
      <c r="B57" s="1680" t="s">
        <v>1013</v>
      </c>
      <c r="C57" s="1759">
        <f ca="1">C13</f>
        <v>942016</v>
      </c>
      <c r="D57" s="1760"/>
      <c r="E57" s="1761"/>
      <c r="F57" s="1762"/>
      <c r="I57" s="1849" t="s">
        <v>1138</v>
      </c>
      <c r="J57" s="1850" t="s">
        <v>1139</v>
      </c>
      <c r="K57" s="1828" t="s">
        <v>1140</v>
      </c>
      <c r="L57" s="1419" t="str">
        <f>IF(L49&lt;J52,"——",L49-J52)</f>
        <v>——</v>
      </c>
      <c r="O57" s="1823" t="s">
        <v>1107</v>
      </c>
      <c r="P57" s="1818" t="s">
        <v>1141</v>
      </c>
      <c r="Q57" s="1867">
        <f>L53</f>
        <v>0.05</v>
      </c>
      <c r="R57" s="1866"/>
    </row>
    <row r="58" s="1620" customFormat="1" ht="29.25" spans="1:18">
      <c r="A58" s="1763"/>
      <c r="B58" s="1653" t="s">
        <v>1073</v>
      </c>
      <c r="C58" s="1764">
        <f ca="1">C29</f>
        <v>1095368</v>
      </c>
      <c r="D58" s="1760"/>
      <c r="E58" s="1761"/>
      <c r="F58" s="1762"/>
      <c r="I58" s="1851" t="s">
        <v>1142</v>
      </c>
      <c r="J58" s="1852" t="str">
        <f>IF(OR(M48="住宅",J52&lt;L49,J57="是"),"——",J52-L49)</f>
        <v>——</v>
      </c>
      <c r="K58" s="1828" t="s">
        <v>1143</v>
      </c>
      <c r="L58" s="1419" t="str">
        <f ca="1">IF(L49&lt;J52,"——",IF(L56="比较法",L50,IF(L56="基准地价",L51,L52)))</f>
        <v>——</v>
      </c>
      <c r="O58" s="1823" t="s">
        <v>1113</v>
      </c>
      <c r="P58" s="1818" t="s">
        <v>1144</v>
      </c>
      <c r="Q58" s="1865">
        <f>L59</f>
        <v>0.8969</v>
      </c>
      <c r="R58" s="1866" t="s">
        <v>1145</v>
      </c>
    </row>
    <row r="59" s="1620" customFormat="1" ht="29.25" spans="1:18">
      <c r="A59" s="1765" t="s">
        <v>731</v>
      </c>
      <c r="B59" s="1766" t="s">
        <v>1021</v>
      </c>
      <c r="C59" s="1437">
        <f ca="1">ROUND(C60+C65+C66+C67,0)</f>
        <v>29268</v>
      </c>
      <c r="D59" s="1767" t="s">
        <v>1022</v>
      </c>
      <c r="E59" s="1486"/>
      <c r="F59" s="1693"/>
      <c r="I59" s="1851" t="s">
        <v>1146</v>
      </c>
      <c r="J59" s="1853" t="e">
        <f>IF(J56&lt;0.4,0.4,J56)</f>
        <v>#VALUE!</v>
      </c>
      <c r="K59" s="1836" t="s">
        <v>1147</v>
      </c>
      <c r="L59" s="1419">
        <f>ROUND(POWER(1+L53,L48-L49)*(POWER(1+L53,L49)-1)/(POWER(1+L53,L48)-1),4)</f>
        <v>0.8969</v>
      </c>
      <c r="O59" s="1823" t="s">
        <v>1120</v>
      </c>
      <c r="P59" s="1818" t="str">
        <f>K60</f>
        <v>建筑物剩余耐用年限下的土地年期修正系数Kn</v>
      </c>
      <c r="Q59" s="1865">
        <f>L60</f>
        <v>0.9849</v>
      </c>
      <c r="R59" s="1866" t="s">
        <v>1148</v>
      </c>
    </row>
    <row r="60" s="1620" customFormat="1" ht="29.25" spans="1:18">
      <c r="A60" s="1684" t="s">
        <v>1149</v>
      </c>
      <c r="B60" s="1653" t="s">
        <v>1027</v>
      </c>
      <c r="C60" s="1484">
        <f ca="1">ROUND(IF(项目基本情况!B7="自然人",C49*F60,C61+C62+C63),1)</f>
        <v>0</v>
      </c>
      <c r="D60" s="1686" t="s">
        <v>1028</v>
      </c>
      <c r="E60" s="1707" t="s">
        <v>1029</v>
      </c>
      <c r="F60" s="1708">
        <f>IF(项目基本情况!B7="企业","",IF('数据-取费表'!B10="住宅",5%,IF(F50*F51*F52/12/(1+'数据-取费表'!F30)&gt;20000,12%,7%)))</f>
        <v>0.07</v>
      </c>
      <c r="I60" s="1851" t="s">
        <v>1150</v>
      </c>
      <c r="J60" s="1852" t="str">
        <f ca="1">IF(OR(M48="住宅",J52&lt;L49,J57="是"),"——",ROUND(C29*J59,0))</f>
        <v>——</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f>ROUND(IF(E1="在建（套用方法）",M60,IF(E1="土地（套用方法）",N60,POWER(1+L53,L48-J52)*(POWER(1+L53,J52)-1)/(POWER(1+L53,L48)-1))),4)</f>
        <v>0.9849</v>
      </c>
      <c r="M60" s="1813">
        <f>ROUND(POWER(1+L53,L48-(J52+'数据-取费表'!B25))*(POWER(1+L53,(J52+'数据-取费表'!B25))-1)/(POWER(1+L53,L48)-1),4)</f>
        <v>0.9849</v>
      </c>
      <c r="N60" s="1813">
        <f>ROUND(POWER(1+L53,L48-(J52+'数据-取费表'!B21))*(POWER(1+L53,(J52+'数据-取费表'!B21))-1)/(POWER(1+L53,L48)-1),4)</f>
        <v>0.9952</v>
      </c>
      <c r="O60" s="1817" t="s">
        <v>943</v>
      </c>
      <c r="P60" s="1818" t="str">
        <f>IF(C2="元","收益价值(元)","收益价值(万元)")</f>
        <v>收益价值(元)</v>
      </c>
      <c r="Q60" s="1865">
        <f ca="1">ROUND(IF(C2="元",Q54+Q55,(Q54+Q55)/10000),0)</f>
        <v>10044006</v>
      </c>
      <c r="R60" s="1866" t="s">
        <v>1125</v>
      </c>
    </row>
    <row r="61" s="1620" customFormat="1" ht="16.5" spans="1:18">
      <c r="A61" s="1684" t="s">
        <v>1151</v>
      </c>
      <c r="B61" s="1653" t="s">
        <v>1031</v>
      </c>
      <c r="C61" s="1484" t="str">
        <f ca="1">IF(项目基本情况!B7="自然人","——",ROUND(C49*F61/(1+'数据-取费表'!F30),0))</f>
        <v>——</v>
      </c>
      <c r="D61" s="1707" t="s">
        <v>1032</v>
      </c>
      <c r="E61" s="1653" t="s">
        <v>1020</v>
      </c>
      <c r="F61" s="1698">
        <f t="shared" ref="F61:F67" si="0">F32</f>
        <v>0.056</v>
      </c>
      <c r="I61" s="1854" t="s">
        <v>1152</v>
      </c>
      <c r="J61" s="1855" t="str">
        <f ca="1">IF(OR(M48="住宅",J52&lt;L49,J57="是"),"0",ROUND(J60/(1+J53)^J54,0))</f>
        <v>0</v>
      </c>
      <c r="K61" s="1856" t="s">
        <v>1153</v>
      </c>
      <c r="L61" s="1855">
        <f ca="1">IF(OR(M48="住宅",L49&lt;J52),0,ROUND(L58*(L59/L60-1),0))</f>
        <v>0</v>
      </c>
      <c r="O61" s="1812" t="s">
        <v>1154</v>
      </c>
      <c r="P61" s="1813"/>
      <c r="Q61" s="1380"/>
      <c r="R61" s="1813"/>
    </row>
    <row r="62" s="1620" customFormat="1" ht="15.75" spans="1:18">
      <c r="A62" s="1684" t="s">
        <v>1155</v>
      </c>
      <c r="B62" s="1653" t="s">
        <v>1035</v>
      </c>
      <c r="C62" s="1484" t="str">
        <f ca="1">IF(项目基本情况!B7="自然人","——",IF(D62="按租金收入计税",ROUND(C49*F62,1),IF(D62="按房产原值计税",ROUND(C58*F62*0.7,1),'数据-取费表'!B43)))</f>
        <v>——</v>
      </c>
      <c r="D62" s="1710" t="s">
        <v>1036</v>
      </c>
      <c r="E62" s="1653" t="s">
        <v>1020</v>
      </c>
      <c r="F62" s="1692">
        <f t="shared" si="0"/>
        <v>0.012</v>
      </c>
      <c r="O62" s="1815" t="s">
        <v>1092</v>
      </c>
      <c r="P62" s="1816" t="s">
        <v>1093</v>
      </c>
      <c r="Q62" s="1863" t="s">
        <v>1094</v>
      </c>
      <c r="R62" s="1864" t="s">
        <v>1095</v>
      </c>
    </row>
    <row r="63" s="1620" customFormat="1" ht="15.75" spans="1:18">
      <c r="A63" s="1747" t="s">
        <v>1156</v>
      </c>
      <c r="B63" s="1652" t="s">
        <v>1039</v>
      </c>
      <c r="C63" s="1712" t="str">
        <f>IF(项目基本情况!B7="自然人","——",ROUND(F63*F64,0))</f>
        <v>——</v>
      </c>
      <c r="D63" s="1713" t="s">
        <v>1040</v>
      </c>
      <c r="E63" s="1653" t="s">
        <v>1041</v>
      </c>
      <c r="F63" s="1697">
        <f t="shared" si="0"/>
        <v>0</v>
      </c>
      <c r="I63" s="1857" t="s">
        <v>1157</v>
      </c>
      <c r="J63" s="1858" t="s">
        <v>1158</v>
      </c>
      <c r="K63" s="1858" t="s">
        <v>1159</v>
      </c>
      <c r="L63" s="1858" t="s">
        <v>1160</v>
      </c>
      <c r="M63" s="1859" t="s">
        <v>1161</v>
      </c>
      <c r="O63" s="1817" t="s">
        <v>938</v>
      </c>
      <c r="P63" s="1818" t="s">
        <v>1096</v>
      </c>
      <c r="Q63" s="1865">
        <f ca="1">C40+J29</f>
        <v>10044006</v>
      </c>
      <c r="R63" s="1866" t="s">
        <v>1097</v>
      </c>
    </row>
    <row r="64" s="1620" customFormat="1" ht="20.25" spans="1:18">
      <c r="A64" s="1667"/>
      <c r="B64" s="1660"/>
      <c r="C64" s="1556"/>
      <c r="D64" s="1715"/>
      <c r="E64" s="1653" t="s">
        <v>1045</v>
      </c>
      <c r="F64" s="1654">
        <f t="shared" si="0"/>
        <v>0</v>
      </c>
      <c r="I64" s="1857" t="s">
        <v>1162</v>
      </c>
      <c r="J64" s="1858">
        <v>70</v>
      </c>
      <c r="K64" s="1858">
        <v>50</v>
      </c>
      <c r="L64" s="1858">
        <v>80</v>
      </c>
      <c r="M64" s="1860">
        <v>0.02</v>
      </c>
      <c r="O64" s="1817" t="s">
        <v>940</v>
      </c>
      <c r="P64" s="1818" t="s">
        <v>1133</v>
      </c>
      <c r="Q64" s="1865">
        <f ca="1">L61</f>
        <v>0</v>
      </c>
      <c r="R64" s="1866" t="s">
        <v>1134</v>
      </c>
    </row>
    <row r="65" s="1620" customFormat="1" ht="24" spans="1:18">
      <c r="A65" s="1684" t="s">
        <v>1163</v>
      </c>
      <c r="B65" s="1653" t="s">
        <v>1047</v>
      </c>
      <c r="C65" s="1484">
        <f ca="1">ROUND(C58*F65,0)</f>
        <v>27384</v>
      </c>
      <c r="D65" s="1707" t="s">
        <v>1080</v>
      </c>
      <c r="E65" s="1653" t="s">
        <v>1020</v>
      </c>
      <c r="F65" s="1717">
        <f t="shared" si="0"/>
        <v>0.025</v>
      </c>
      <c r="I65" s="1857" t="s">
        <v>1164</v>
      </c>
      <c r="J65" s="1858">
        <v>50</v>
      </c>
      <c r="K65" s="1858">
        <v>35</v>
      </c>
      <c r="L65" s="1858">
        <v>60</v>
      </c>
      <c r="M65" s="1859">
        <v>0</v>
      </c>
      <c r="O65" s="1823" t="s">
        <v>1102</v>
      </c>
      <c r="P65" s="1818" t="s">
        <v>1137</v>
      </c>
      <c r="Q65" s="1872">
        <f ca="1">L52</f>
        <v>187467487</v>
      </c>
      <c r="R65" s="1873" t="s">
        <v>1165</v>
      </c>
    </row>
    <row r="66" s="1620" customFormat="1" ht="20.25" spans="1:18">
      <c r="A66" s="1684" t="s">
        <v>1166</v>
      </c>
      <c r="B66" s="1653" t="s">
        <v>1051</v>
      </c>
      <c r="C66" s="1484">
        <f ca="1">ROUND(C57*F66,0)</f>
        <v>1884</v>
      </c>
      <c r="D66" s="1707" t="s">
        <v>1052</v>
      </c>
      <c r="E66" s="1653" t="s">
        <v>1020</v>
      </c>
      <c r="F66" s="1718">
        <f t="shared" si="0"/>
        <v>0.002</v>
      </c>
      <c r="I66" s="1857" t="s">
        <v>1167</v>
      </c>
      <c r="J66" s="1858">
        <v>40</v>
      </c>
      <c r="K66" s="1858">
        <v>30</v>
      </c>
      <c r="L66" s="1858">
        <v>50</v>
      </c>
      <c r="M66" s="1860">
        <v>0.02</v>
      </c>
      <c r="O66" s="1823" t="s">
        <v>1107</v>
      </c>
      <c r="P66" s="1871" t="s">
        <v>1168</v>
      </c>
      <c r="Q66" s="1865">
        <f ca="1">ROUND(Q67-Q68*Q69,0)</f>
        <v>411447</v>
      </c>
      <c r="R66" s="1866"/>
    </row>
    <row r="67" s="1620" customFormat="1" ht="15.75" spans="1:18">
      <c r="A67" s="1684" t="s">
        <v>1169</v>
      </c>
      <c r="B67" s="1653" t="s">
        <v>1037</v>
      </c>
      <c r="C67" s="1484">
        <f ca="1">ROUND(C49*F67,0)</f>
        <v>0</v>
      </c>
      <c r="D67" s="1707" t="s">
        <v>1055</v>
      </c>
      <c r="E67" s="1653" t="s">
        <v>1020</v>
      </c>
      <c r="F67" s="1661">
        <f t="shared" si="0"/>
        <v>0.025</v>
      </c>
      <c r="O67" s="1823" t="s">
        <v>1170</v>
      </c>
      <c r="P67" s="1871" t="s">
        <v>1171</v>
      </c>
      <c r="Q67" s="1865">
        <f ca="1">C39</f>
        <v>411447</v>
      </c>
      <c r="R67" s="1866" t="s">
        <v>1097</v>
      </c>
    </row>
    <row r="68" ht="15.75" spans="1:18">
      <c r="A68" s="1765" t="s">
        <v>734</v>
      </c>
      <c r="B68" s="1868" t="s">
        <v>1058</v>
      </c>
      <c r="C68" s="1437">
        <f ca="1">C49-C59</f>
        <v>-29268</v>
      </c>
      <c r="D68" s="1686" t="s">
        <v>1059</v>
      </c>
      <c r="E68" s="1869"/>
      <c r="F68" s="1870"/>
      <c r="H68" s="1620"/>
      <c r="I68" s="1620"/>
      <c r="J68" s="1620"/>
      <c r="K68" s="1620"/>
      <c r="L68" s="1620"/>
      <c r="M68" s="1620"/>
      <c r="O68" s="1823" t="s">
        <v>1172</v>
      </c>
      <c r="P68" s="1871" t="s">
        <v>1173</v>
      </c>
      <c r="Q68" s="1865">
        <f ca="1">C13</f>
        <v>942016</v>
      </c>
      <c r="R68" s="1866" t="s">
        <v>1097</v>
      </c>
    </row>
    <row r="69" ht="15.75" spans="1:18">
      <c r="A69" s="1645" t="s">
        <v>761</v>
      </c>
      <c r="B69" s="1646" t="s">
        <v>1085</v>
      </c>
      <c r="C69" s="1647">
        <f ca="1">ROUND(C68*(1-((1+F71)/(1+F69))^F70)/(F69-F71),0)</f>
        <v>-450451</v>
      </c>
      <c r="D69" s="1713" t="s">
        <v>1064</v>
      </c>
      <c r="E69" s="1653" t="s">
        <v>1065</v>
      </c>
      <c r="F69" s="1661">
        <f>F40</f>
        <v>0.055</v>
      </c>
      <c r="H69" s="1620"/>
      <c r="I69" s="1620"/>
      <c r="J69" s="1620"/>
      <c r="K69" s="1620"/>
      <c r="L69" s="1620"/>
      <c r="M69" s="1620"/>
      <c r="O69" s="1823" t="s">
        <v>1174</v>
      </c>
      <c r="P69" s="1871" t="s">
        <v>1175</v>
      </c>
      <c r="Q69" s="1867">
        <f>J35</f>
        <v>0</v>
      </c>
      <c r="R69" s="1866"/>
    </row>
    <row r="70" ht="15.75" spans="1:18">
      <c r="A70" s="1659"/>
      <c r="B70" s="1656"/>
      <c r="C70" s="1657"/>
      <c r="D70" s="1724" t="s">
        <v>1068</v>
      </c>
      <c r="E70" s="1653" t="s">
        <v>1069</v>
      </c>
      <c r="F70" s="1726">
        <f>F41</f>
        <v>35</v>
      </c>
      <c r="H70" s="1620"/>
      <c r="I70" s="1620"/>
      <c r="J70" s="1620"/>
      <c r="K70" s="1620"/>
      <c r="L70" s="1620"/>
      <c r="M70" s="1620"/>
      <c r="O70" s="1823" t="s">
        <v>1113</v>
      </c>
      <c r="P70" s="1818" t="s">
        <v>1141</v>
      </c>
      <c r="Q70" s="1867">
        <f>L53</f>
        <v>0.05</v>
      </c>
      <c r="R70" s="1866"/>
    </row>
    <row r="71" ht="20.25" spans="1:18">
      <c r="A71" s="1672"/>
      <c r="B71" s="1728"/>
      <c r="C71" s="1681"/>
      <c r="D71" s="1715"/>
      <c r="E71" s="1653" t="s">
        <v>1072</v>
      </c>
      <c r="F71" s="1752"/>
      <c r="H71" s="1620"/>
      <c r="M71" s="1620"/>
      <c r="O71" s="1823" t="s">
        <v>1120</v>
      </c>
      <c r="P71" s="1818" t="s">
        <v>1144</v>
      </c>
      <c r="Q71" s="1865">
        <f>L59</f>
        <v>0.8969</v>
      </c>
      <c r="R71" s="1866" t="s">
        <v>1145</v>
      </c>
    </row>
    <row r="72" ht="15.75" spans="1:18">
      <c r="A72" s="1702" t="s">
        <v>1074</v>
      </c>
      <c r="B72" s="1729" t="s">
        <v>1088</v>
      </c>
      <c r="C72" s="1730">
        <f ca="1">ROUND(C69/F72,0)</f>
        <v>-2012</v>
      </c>
      <c r="D72" s="1731" t="s">
        <v>1089</v>
      </c>
      <c r="E72" s="1732" t="s">
        <v>1090</v>
      </c>
      <c r="F72" s="1733">
        <f>F43</f>
        <v>223.88</v>
      </c>
      <c r="O72" s="1823" t="s">
        <v>1176</v>
      </c>
      <c r="P72" s="1818" t="str">
        <f>K60</f>
        <v>建筑物剩余耐用年限下的土地年期修正系数Kn</v>
      </c>
      <c r="Q72" s="1865">
        <f>L60</f>
        <v>0.9849</v>
      </c>
      <c r="R72" s="1866" t="s">
        <v>1148</v>
      </c>
    </row>
    <row r="73" ht="15.75" spans="1:18">
      <c r="A73" s="1620"/>
      <c r="B73" s="1623"/>
      <c r="C73" s="1623"/>
      <c r="D73" s="1620"/>
      <c r="E73" s="1620"/>
      <c r="F73" s="1620"/>
      <c r="O73" s="1817" t="s">
        <v>943</v>
      </c>
      <c r="P73" s="1818" t="str">
        <f>IF(C2="元","收益价值(元)","收益价值(万元)")</f>
        <v>收益价值(元)</v>
      </c>
      <c r="Q73" s="1865">
        <f ca="1">ROUND(IF(C2="元",Q63+Q64,(Q63+Q64)/10000),0)</f>
        <v>10044006</v>
      </c>
      <c r="R73" s="1866" t="s">
        <v>1125</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6" right="0.699305555555556"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3333333333333" defaultRowHeight="13.5" outlineLevelCol="6"/>
  <cols>
    <col min="1" max="1" width="1.75" customWidth="1"/>
    <col min="2" max="2" width="82.3833333333333" customWidth="1"/>
    <col min="3" max="4" width="12.5" customWidth="1"/>
    <col min="8" max="8" width="17.5" customWidth="1"/>
  </cols>
  <sheetData>
    <row r="1" ht="409.5" customHeight="1" spans="1:2">
      <c r="A1" s="2984"/>
      <c r="B1" s="2985"/>
    </row>
    <row r="2" spans="1:2">
      <c r="A2" s="2984"/>
      <c r="B2" s="2985"/>
    </row>
    <row r="3" spans="1:2">
      <c r="A3" s="2984"/>
      <c r="B3" s="2985"/>
    </row>
    <row r="4" spans="1:2">
      <c r="A4" s="2984"/>
      <c r="B4" s="2985"/>
    </row>
    <row r="5" spans="1:2">
      <c r="A5" s="2984"/>
      <c r="B5" s="2985"/>
    </row>
    <row r="6" spans="1:2">
      <c r="A6" s="2984"/>
      <c r="B6" s="2985"/>
    </row>
    <row r="7" spans="1:2">
      <c r="A7" s="2984"/>
      <c r="B7" s="2985"/>
    </row>
    <row r="8" spans="1:3">
      <c r="A8" s="2986" t="s">
        <v>71</v>
      </c>
      <c r="B8" s="2987" t="s">
        <v>72</v>
      </c>
      <c r="C8" s="2988"/>
    </row>
    <row r="9" spans="1:7">
      <c r="A9" s="2984"/>
      <c r="B9" s="2989" t="str">
        <f>项目基本情况!B1</f>
        <v>北京市房地产市场价值预评估</v>
      </c>
      <c r="C9" s="2990"/>
      <c r="D9" s="2991"/>
      <c r="E9" s="2991"/>
      <c r="F9" s="2991"/>
      <c r="G9" s="2991"/>
    </row>
    <row r="10" spans="1:7">
      <c r="A10" s="2984"/>
      <c r="B10" s="2992"/>
      <c r="C10" s="2990"/>
      <c r="D10" s="2991"/>
      <c r="E10" s="2991"/>
      <c r="F10" s="2991"/>
      <c r="G10" s="2991"/>
    </row>
    <row r="11" spans="1:3">
      <c r="A11" s="2986" t="s">
        <v>71</v>
      </c>
      <c r="B11" s="2987" t="s">
        <v>73</v>
      </c>
      <c r="C11" s="2988"/>
    </row>
    <row r="12" spans="1:3">
      <c r="A12" s="2984"/>
      <c r="B12" s="2993">
        <f>项目基本情况!B4</f>
        <v>0</v>
      </c>
      <c r="C12" s="2988"/>
    </row>
    <row r="13" spans="1:3">
      <c r="A13" s="2984"/>
      <c r="B13" s="2987"/>
      <c r="C13" s="2988"/>
    </row>
    <row r="14" spans="1:3">
      <c r="A14" s="2986" t="s">
        <v>71</v>
      </c>
      <c r="B14" s="2987" t="s">
        <v>74</v>
      </c>
      <c r="C14" s="2988"/>
    </row>
    <row r="15" spans="1:3">
      <c r="A15" s="2984"/>
      <c r="B15" s="2993" t="s">
        <v>75</v>
      </c>
      <c r="C15" s="2988"/>
    </row>
    <row r="16" spans="1:3">
      <c r="A16" s="2984"/>
      <c r="B16" s="2987"/>
      <c r="C16" s="2988"/>
    </row>
    <row r="17" spans="1:3">
      <c r="A17" s="2986" t="s">
        <v>71</v>
      </c>
      <c r="B17" s="2987" t="s">
        <v>76</v>
      </c>
      <c r="C17" s="2988"/>
    </row>
    <row r="18" s="2983" customFormat="1" spans="1:5">
      <c r="A18" s="2994"/>
      <c r="B18" s="2993" t="str">
        <f ca="1">CONCATENATE(项目基本情况!B3,"（注册号:",项目基本情况!C3,"）、",项目基本情况!D3,"（注册号:",项目基本情况!E3,")")</f>
        <v>杨红英（注册号:1120070085）、叶凌（注册号:1119970111)</v>
      </c>
      <c r="C18" s="2995"/>
      <c r="E18" s="2995"/>
    </row>
    <row r="19" spans="1:3">
      <c r="A19" s="2984"/>
      <c r="B19" s="2987"/>
      <c r="C19" s="2988"/>
    </row>
    <row r="20" spans="1:3">
      <c r="A20" s="2986" t="s">
        <v>71</v>
      </c>
      <c r="B20" s="2987" t="s">
        <v>77</v>
      </c>
      <c r="C20" s="2988"/>
    </row>
    <row r="21" spans="1:2">
      <c r="A21" s="2984"/>
      <c r="B21" s="2993" t="str">
        <f>"康正预评字"&amp;项目基本情况!G1&amp;"号"</f>
        <v>康正预评字号</v>
      </c>
    </row>
    <row r="22" spans="1:2">
      <c r="A22" s="2984"/>
      <c r="B22" s="2985"/>
    </row>
    <row r="23" spans="2:2">
      <c r="B23" s="2996"/>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833333333333" customWidth="1"/>
    <col min="3" max="3" width="8.75" customWidth="1"/>
  </cols>
  <sheetData>
    <row r="1" ht="14.25" spans="1:9">
      <c r="A1" s="1570" t="s">
        <v>1177</v>
      </c>
      <c r="B1" s="1571"/>
      <c r="C1" s="1572"/>
      <c r="D1" s="1573">
        <f>SUM(I10,I15,I20,I21,I23)</f>
        <v>0</v>
      </c>
      <c r="E1" s="1573"/>
      <c r="F1" s="1573"/>
      <c r="G1" s="1573"/>
      <c r="H1" s="1573"/>
      <c r="I1" s="1611"/>
    </row>
    <row r="2" spans="1:9">
      <c r="A2" s="1574" t="s">
        <v>1178</v>
      </c>
      <c r="B2" s="1575" t="s">
        <v>1179</v>
      </c>
      <c r="C2" s="1575"/>
      <c r="D2" s="1575" t="s">
        <v>1180</v>
      </c>
      <c r="E2" s="1575" t="s">
        <v>1181</v>
      </c>
      <c r="F2" s="1575" t="s">
        <v>1182</v>
      </c>
      <c r="G2" s="1575" t="s">
        <v>1183</v>
      </c>
      <c r="H2" s="1575" t="s">
        <v>1184</v>
      </c>
      <c r="I2" s="1612" t="s">
        <v>1185</v>
      </c>
    </row>
    <row r="3" spans="1:9">
      <c r="A3" s="1574"/>
      <c r="B3" s="1575" t="s">
        <v>1186</v>
      </c>
      <c r="C3" s="1575"/>
      <c r="D3" s="1576"/>
      <c r="E3" s="1575"/>
      <c r="F3" s="1577"/>
      <c r="G3" s="1577"/>
      <c r="H3" s="1578"/>
      <c r="I3" s="1613">
        <f>ROUND(D3*E3*F3*G3*H3/10000,0)</f>
        <v>0</v>
      </c>
    </row>
    <row r="4" spans="1:9">
      <c r="A4" s="1574"/>
      <c r="B4" s="1575" t="s">
        <v>1187</v>
      </c>
      <c r="C4" s="1575"/>
      <c r="D4" s="1576"/>
      <c r="E4" s="1575"/>
      <c r="F4" s="1577"/>
      <c r="G4" s="1577"/>
      <c r="H4" s="1578"/>
      <c r="I4" s="1613">
        <f t="shared" ref="I4:I9" si="0">ROUND(D4*E4*F4*G4*H4/10000,0)</f>
        <v>0</v>
      </c>
    </row>
    <row r="5" spans="1:9">
      <c r="A5" s="1574"/>
      <c r="B5" s="1575" t="s">
        <v>1188</v>
      </c>
      <c r="C5" s="1575"/>
      <c r="D5" s="1576"/>
      <c r="E5" s="1575"/>
      <c r="F5" s="1577"/>
      <c r="G5" s="1577"/>
      <c r="H5" s="1578"/>
      <c r="I5" s="1613">
        <f t="shared" si="0"/>
        <v>0</v>
      </c>
    </row>
    <row r="6" spans="1:9">
      <c r="A6" s="1574"/>
      <c r="B6" s="1575" t="s">
        <v>1189</v>
      </c>
      <c r="C6" s="1575"/>
      <c r="D6" s="1576"/>
      <c r="E6" s="1575"/>
      <c r="F6" s="1577"/>
      <c r="G6" s="1577"/>
      <c r="H6" s="1578"/>
      <c r="I6" s="1613">
        <f t="shared" si="0"/>
        <v>0</v>
      </c>
    </row>
    <row r="7" spans="1:9">
      <c r="A7" s="1574"/>
      <c r="B7" s="1575" t="s">
        <v>1190</v>
      </c>
      <c r="C7" s="1575"/>
      <c r="D7" s="1576"/>
      <c r="E7" s="1575"/>
      <c r="F7" s="1577"/>
      <c r="G7" s="1577"/>
      <c r="H7" s="1578"/>
      <c r="I7" s="1613">
        <f t="shared" si="0"/>
        <v>0</v>
      </c>
    </row>
    <row r="8" spans="1:9">
      <c r="A8" s="1574"/>
      <c r="B8" s="1575" t="s">
        <v>1191</v>
      </c>
      <c r="C8" s="1575"/>
      <c r="D8" s="1576"/>
      <c r="E8" s="1575"/>
      <c r="F8" s="1577"/>
      <c r="G8" s="1577"/>
      <c r="H8" s="1578"/>
      <c r="I8" s="1613">
        <f t="shared" si="0"/>
        <v>0</v>
      </c>
    </row>
    <row r="9" spans="1:9">
      <c r="A9" s="1574"/>
      <c r="B9" s="1575" t="s">
        <v>1192</v>
      </c>
      <c r="C9" s="1575"/>
      <c r="D9" s="1576"/>
      <c r="E9" s="1575"/>
      <c r="F9" s="1577"/>
      <c r="G9" s="1577"/>
      <c r="H9" s="1578"/>
      <c r="I9" s="1613">
        <f t="shared" si="0"/>
        <v>0</v>
      </c>
    </row>
    <row r="10" spans="1:9">
      <c r="A10" s="1574"/>
      <c r="B10" s="1579" t="s">
        <v>440</v>
      </c>
      <c r="C10" s="1579"/>
      <c r="D10" s="1580">
        <v>527</v>
      </c>
      <c r="E10" s="1580" t="e">
        <f>ROUND(D1*10000/D10/H9,0)</f>
        <v>#DIV/0!</v>
      </c>
      <c r="F10" s="1581"/>
      <c r="G10" s="1581"/>
      <c r="H10" s="1582"/>
      <c r="I10" s="1614">
        <f>SUM(I3:I9)</f>
        <v>0</v>
      </c>
    </row>
    <row r="11" ht="14.25" spans="1:9">
      <c r="A11" s="1574" t="s">
        <v>1193</v>
      </c>
      <c r="B11" s="1575" t="s">
        <v>1194</v>
      </c>
      <c r="C11" s="1575"/>
      <c r="D11" s="1576" t="s">
        <v>1195</v>
      </c>
      <c r="E11" s="1576" t="s">
        <v>1196</v>
      </c>
      <c r="F11" s="1577" t="s">
        <v>1197</v>
      </c>
      <c r="G11" s="1577" t="s">
        <v>1184</v>
      </c>
      <c r="H11" s="1583" t="s">
        <v>121</v>
      </c>
      <c r="I11" s="1612" t="s">
        <v>1185</v>
      </c>
    </row>
    <row r="12" spans="1:9">
      <c r="A12" s="1574"/>
      <c r="B12" s="1575" t="s">
        <v>1198</v>
      </c>
      <c r="C12" s="1575"/>
      <c r="D12" s="1576"/>
      <c r="E12" s="1576"/>
      <c r="F12" s="1577"/>
      <c r="G12" s="1578"/>
      <c r="H12" s="1584"/>
      <c r="I12" s="1612">
        <f>ROUND(D12*E12*F12*G12/10000,0)</f>
        <v>0</v>
      </c>
    </row>
    <row r="13" spans="1:9">
      <c r="A13" s="1574"/>
      <c r="B13" s="1575" t="s">
        <v>1199</v>
      </c>
      <c r="C13" s="1575"/>
      <c r="D13" s="1576"/>
      <c r="E13" s="1576"/>
      <c r="F13" s="1577"/>
      <c r="G13" s="1578"/>
      <c r="H13" s="1584"/>
      <c r="I13" s="1612">
        <f>ROUND(D13*E13*F13*G13/10000,0)</f>
        <v>0</v>
      </c>
    </row>
    <row r="14" spans="1:9">
      <c r="A14" s="1574"/>
      <c r="B14" s="1575" t="s">
        <v>1200</v>
      </c>
      <c r="C14" s="1575"/>
      <c r="D14" s="1576"/>
      <c r="E14" s="1576"/>
      <c r="F14" s="1577"/>
      <c r="G14" s="1578"/>
      <c r="H14" s="1584"/>
      <c r="I14" s="1612">
        <f>ROUND(D14*E14*F14*G14/10000,0)</f>
        <v>0</v>
      </c>
    </row>
    <row r="15" spans="1:9">
      <c r="A15" s="1574"/>
      <c r="B15" s="1579" t="s">
        <v>440</v>
      </c>
      <c r="C15" s="1579"/>
      <c r="D15" s="1580"/>
      <c r="E15" s="1580">
        <f>SUM(E12:E14)</f>
        <v>0</v>
      </c>
      <c r="F15" s="1581"/>
      <c r="G15" s="1578"/>
      <c r="H15" s="1584"/>
      <c r="I15" s="1615">
        <f>SUM(I12:I14)</f>
        <v>0</v>
      </c>
    </row>
    <row r="16" ht="24" spans="1:9">
      <c r="A16" s="1574" t="s">
        <v>1201</v>
      </c>
      <c r="B16" s="1575" t="s">
        <v>1202</v>
      </c>
      <c r="C16" s="1575"/>
      <c r="D16" s="1576" t="s">
        <v>1180</v>
      </c>
      <c r="E16" s="1585" t="s">
        <v>1203</v>
      </c>
      <c r="F16" s="1577" t="s">
        <v>1204</v>
      </c>
      <c r="G16" s="1578" t="s">
        <v>1184</v>
      </c>
      <c r="H16" s="1583" t="s">
        <v>121</v>
      </c>
      <c r="I16" s="1612" t="s">
        <v>1185</v>
      </c>
    </row>
    <row r="17" ht="14.25" spans="1:9">
      <c r="A17" s="1574"/>
      <c r="B17" s="1575" t="s">
        <v>1205</v>
      </c>
      <c r="C17" s="1575"/>
      <c r="D17" s="1576"/>
      <c r="E17" s="1576"/>
      <c r="F17" s="1577"/>
      <c r="G17" s="1578"/>
      <c r="H17" s="1586"/>
      <c r="I17" s="1616">
        <f>ROUND(D17*E17*F17*G17/10000,0)</f>
        <v>0</v>
      </c>
    </row>
    <row r="18" ht="14.25" spans="1:9">
      <c r="A18" s="1574"/>
      <c r="B18" s="1575" t="s">
        <v>1206</v>
      </c>
      <c r="C18" s="1575"/>
      <c r="D18" s="1576"/>
      <c r="E18" s="1576"/>
      <c r="F18" s="1577"/>
      <c r="G18" s="1578"/>
      <c r="H18" s="1586"/>
      <c r="I18" s="1616">
        <f>ROUND(D18*E18*F18*G18/10000,0)</f>
        <v>0</v>
      </c>
    </row>
    <row r="19" ht="14.25" spans="1:9">
      <c r="A19" s="1574"/>
      <c r="B19" s="1575" t="s">
        <v>1207</v>
      </c>
      <c r="C19" s="1575"/>
      <c r="D19" s="1576"/>
      <c r="E19" s="1576"/>
      <c r="F19" s="1577"/>
      <c r="G19" s="1578"/>
      <c r="H19" s="1586"/>
      <c r="I19" s="1616">
        <f>ROUND(D19*E19*F19*G19/10000,0)</f>
        <v>0</v>
      </c>
    </row>
    <row r="20" spans="1:9">
      <c r="A20" s="1574"/>
      <c r="B20" s="1579" t="s">
        <v>440</v>
      </c>
      <c r="C20" s="1579"/>
      <c r="D20" s="1580">
        <f>SUM(D17:D19)</f>
        <v>0</v>
      </c>
      <c r="E20" s="1580"/>
      <c r="F20" s="1581"/>
      <c r="G20" s="1578"/>
      <c r="H20" s="1584"/>
      <c r="I20" s="1615">
        <f>SUM(I17:I19)</f>
        <v>0</v>
      </c>
    </row>
    <row r="21" spans="1:9">
      <c r="A21" s="1574" t="s">
        <v>1208</v>
      </c>
      <c r="B21" s="1587"/>
      <c r="C21" s="1587"/>
      <c r="D21" s="1587"/>
      <c r="E21" s="1587"/>
      <c r="F21" s="1587"/>
      <c r="G21" s="1587"/>
      <c r="H21" s="1588">
        <v>0.1</v>
      </c>
      <c r="I21" s="1614">
        <f>ROUND(I10*H21,0)</f>
        <v>0</v>
      </c>
    </row>
    <row r="22" ht="14.25" spans="1:9">
      <c r="A22" s="1589" t="s">
        <v>1209</v>
      </c>
      <c r="B22" s="1590"/>
      <c r="C22" s="1591"/>
      <c r="D22" s="1592" t="s">
        <v>436</v>
      </c>
      <c r="E22" s="1592" t="s">
        <v>1210</v>
      </c>
      <c r="F22" s="1593" t="s">
        <v>1184</v>
      </c>
      <c r="G22" s="1593" t="s">
        <v>1211</v>
      </c>
      <c r="H22" s="1583" t="s">
        <v>121</v>
      </c>
      <c r="I22" s="1612" t="s">
        <v>1185</v>
      </c>
    </row>
    <row r="23" ht="14.25" spans="1:9">
      <c r="A23" s="1594"/>
      <c r="B23" s="1595"/>
      <c r="C23" s="1596"/>
      <c r="D23" s="1597"/>
      <c r="E23" s="1597"/>
      <c r="F23" s="1597"/>
      <c r="G23" s="1598"/>
      <c r="H23" s="1599"/>
      <c r="I23" s="1617">
        <f>ROUND(E23*D23*F23*(1-G23)/10000,0)</f>
        <v>0</v>
      </c>
    </row>
    <row r="26" spans="1:8">
      <c r="A26" s="1600" t="s">
        <v>1212</v>
      </c>
      <c r="B26" s="1600"/>
      <c r="C26" s="1600"/>
      <c r="D26" s="1600"/>
      <c r="E26" s="1601">
        <f>C27-C30-C31-C32</f>
        <v>0</v>
      </c>
      <c r="F26" s="1601"/>
      <c r="G26" s="1601"/>
      <c r="H26" s="1602" t="s">
        <v>1213</v>
      </c>
    </row>
    <row r="27" spans="1:7">
      <c r="A27" s="1603">
        <v>1</v>
      </c>
      <c r="B27" s="1604" t="s">
        <v>1214</v>
      </c>
      <c r="C27" s="1604">
        <f>C28+C29</f>
        <v>0</v>
      </c>
      <c r="D27" s="1604"/>
      <c r="E27" s="1603"/>
      <c r="F27" s="1603"/>
      <c r="G27" s="1603"/>
    </row>
    <row r="28" spans="1:7">
      <c r="A28" s="1605" t="s">
        <v>1215</v>
      </c>
      <c r="B28" s="1604" t="s">
        <v>1216</v>
      </c>
      <c r="C28" s="1604"/>
      <c r="D28" s="1604"/>
      <c r="E28" s="1603"/>
      <c r="F28" s="1603"/>
      <c r="G28" s="1603"/>
    </row>
    <row r="29" spans="1:7">
      <c r="A29" s="1605" t="s">
        <v>1217</v>
      </c>
      <c r="B29" s="1604" t="s">
        <v>1218</v>
      </c>
      <c r="C29" s="1604"/>
      <c r="D29" s="1604"/>
      <c r="E29" s="1604" t="s">
        <v>1219</v>
      </c>
      <c r="F29" s="1604"/>
      <c r="G29" s="1604"/>
    </row>
    <row r="30" spans="1:7">
      <c r="A30" s="1603">
        <v>2</v>
      </c>
      <c r="B30" s="1604" t="s">
        <v>1220</v>
      </c>
      <c r="C30" s="1604">
        <f>C27*D30</f>
        <v>0</v>
      </c>
      <c r="D30" s="1606">
        <v>0.2</v>
      </c>
      <c r="E30" s="1604" t="s">
        <v>1221</v>
      </c>
      <c r="F30" s="1604"/>
      <c r="G30" s="1604"/>
    </row>
    <row r="31" spans="1:7">
      <c r="A31" s="1603">
        <v>3</v>
      </c>
      <c r="B31" s="1604" t="s">
        <v>1222</v>
      </c>
      <c r="C31" s="1604">
        <f>C25*D31</f>
        <v>0</v>
      </c>
      <c r="D31" s="1606">
        <v>0.15</v>
      </c>
      <c r="E31" s="1604" t="s">
        <v>1223</v>
      </c>
      <c r="F31" s="1604"/>
      <c r="G31" s="1604"/>
    </row>
    <row r="32" spans="1:7">
      <c r="A32" s="1603">
        <v>4</v>
      </c>
      <c r="B32" s="1604" t="s">
        <v>1224</v>
      </c>
      <c r="C32" s="1604">
        <f>C27*D32</f>
        <v>0</v>
      </c>
      <c r="D32" s="1606">
        <v>0.05</v>
      </c>
      <c r="E32" s="1604"/>
      <c r="F32" s="1604"/>
      <c r="G32" s="1604"/>
    </row>
    <row r="33" hidden="1" spans="1:7">
      <c r="A33" s="1607" t="s">
        <v>1225</v>
      </c>
      <c r="B33" s="1608"/>
      <c r="C33" s="1608"/>
      <c r="D33" s="1609"/>
      <c r="E33" s="1601"/>
      <c r="F33" s="1601"/>
      <c r="G33" s="1601"/>
    </row>
    <row r="34" hidden="1" spans="1:7">
      <c r="A34" s="1610">
        <v>1</v>
      </c>
      <c r="B34" s="1604" t="s">
        <v>1226</v>
      </c>
      <c r="C34" s="1604"/>
      <c r="D34" s="1604"/>
      <c r="E34" s="1603"/>
      <c r="F34" s="1603"/>
      <c r="G34" s="1603"/>
    </row>
    <row r="35" hidden="1" spans="1:7">
      <c r="A35" s="1610">
        <v>2</v>
      </c>
      <c r="B35" s="1604" t="s">
        <v>1227</v>
      </c>
      <c r="C35" s="1604"/>
      <c r="D35" s="1604"/>
      <c r="E35" s="1603"/>
      <c r="F35" s="1603"/>
      <c r="G35" s="1603"/>
    </row>
    <row r="36" hidden="1" spans="1:7">
      <c r="A36" s="1610">
        <v>3</v>
      </c>
      <c r="B36" s="1604" t="s">
        <v>1228</v>
      </c>
      <c r="C36" s="1604"/>
      <c r="D36" s="1604"/>
      <c r="E36" s="1603"/>
      <c r="F36" s="1603"/>
      <c r="G36" s="1603"/>
    </row>
    <row r="37" hidden="1" spans="1:7">
      <c r="A37" s="1610">
        <v>4</v>
      </c>
      <c r="B37" s="1604" t="s">
        <v>1229</v>
      </c>
      <c r="C37" s="1604"/>
      <c r="D37" s="1604"/>
      <c r="E37" s="1603"/>
      <c r="F37" s="1603"/>
      <c r="G37" s="1603"/>
    </row>
    <row r="38" hidden="1" spans="1:7">
      <c r="A38" s="1607" t="s">
        <v>1230</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833333333333" style="1430" customWidth="1"/>
    <col min="2" max="2" width="9.25"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25" spans="1:25">
      <c r="A1" s="731" t="s">
        <v>1231</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4.25" spans="1:25">
      <c r="A2" s="405" t="s">
        <v>827</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4.25" spans="1:25">
      <c r="A3" s="412" t="s">
        <v>828</v>
      </c>
      <c r="B3" s="1437" t="e">
        <f>B24</f>
        <v>#DIV/0!</v>
      </c>
      <c r="C3" s="1438" t="s">
        <v>1232</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1233</v>
      </c>
      <c r="C4" s="1441" t="s">
        <v>1234</v>
      </c>
      <c r="D4" s="1442"/>
      <c r="E4" s="1442"/>
      <c r="F4" s="1442"/>
      <c r="G4" s="1442"/>
      <c r="H4" s="1442"/>
      <c r="I4" s="1442"/>
      <c r="J4" s="1442"/>
      <c r="K4" s="1442"/>
      <c r="L4" s="1442"/>
      <c r="M4" s="1442"/>
      <c r="N4" s="1442"/>
      <c r="O4" s="1442"/>
      <c r="P4" s="1442"/>
      <c r="Q4" s="1442"/>
      <c r="R4" s="1442"/>
      <c r="S4" s="1522"/>
      <c r="T4" s="1440" t="s">
        <v>1235</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1236</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1237</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1238</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1239</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1240</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1241</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1242</v>
      </c>
      <c r="B20" s="1470" t="s">
        <v>1243</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1244</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5" spans="1:26">
      <c r="A23" s="405" t="s">
        <v>1245</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75" spans="1:26">
      <c r="A24" s="1481" t="s">
        <v>1246</v>
      </c>
      <c r="B24" s="1480" t="e">
        <f>R25</f>
        <v>#DIV/0!</v>
      </c>
      <c r="C24" s="1435"/>
      <c r="D24" s="1436"/>
      <c r="E24" s="1436"/>
      <c r="F24" s="1436"/>
      <c r="G24" s="1436"/>
      <c r="H24" s="1436"/>
      <c r="I24" s="1436"/>
      <c r="J24" s="1436"/>
      <c r="K24" s="1436"/>
      <c r="L24" s="1436"/>
      <c r="M24" s="1436"/>
      <c r="N24" s="1436"/>
      <c r="O24" s="1436"/>
      <c r="P24" s="1436"/>
      <c r="Q24" s="1436"/>
      <c r="R24" s="1520"/>
      <c r="S24" s="1484" t="s">
        <v>1247</v>
      </c>
      <c r="T24" s="1485" t="s">
        <v>1248</v>
      </c>
      <c r="U24" s="1551" t="s">
        <v>1249</v>
      </c>
      <c r="V24" s="1552"/>
      <c r="W24" s="1553" t="s">
        <v>1250</v>
      </c>
      <c r="X24" s="1551" t="s">
        <v>1251</v>
      </c>
      <c r="Y24" s="1552"/>
      <c r="Z24" s="1566" t="s">
        <v>1250</v>
      </c>
    </row>
    <row r="25" spans="1:26">
      <c r="A25" s="1437" t="s">
        <v>1252</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1253</v>
      </c>
      <c r="B26" s="1487" t="s">
        <v>361</v>
      </c>
      <c r="C26" s="1487" t="s">
        <v>1235</v>
      </c>
      <c r="D26" s="1487" t="str">
        <f>B8</f>
        <v>修正项2</v>
      </c>
      <c r="E26" s="1487" t="s">
        <v>1235</v>
      </c>
      <c r="F26" s="1487" t="str">
        <f>B10</f>
        <v>修正项3</v>
      </c>
      <c r="G26" s="1487" t="s">
        <v>1235</v>
      </c>
      <c r="H26" s="1487" t="str">
        <f>B12</f>
        <v>修正项4</v>
      </c>
      <c r="I26" s="1487" t="s">
        <v>1235</v>
      </c>
      <c r="J26" s="1487" t="str">
        <f>B14</f>
        <v>修正项5</v>
      </c>
      <c r="K26" s="1487" t="s">
        <v>1235</v>
      </c>
      <c r="L26" s="1487" t="str">
        <f>B16</f>
        <v>修正项6</v>
      </c>
      <c r="M26" s="1487" t="s">
        <v>1235</v>
      </c>
      <c r="N26" s="1487" t="str">
        <f>B18</f>
        <v>修正项7</v>
      </c>
      <c r="O26" s="1487" t="s">
        <v>1235</v>
      </c>
      <c r="P26" s="1487" t="str">
        <f>B20</f>
        <v>楼层</v>
      </c>
      <c r="Q26" s="1487" t="s">
        <v>1235</v>
      </c>
      <c r="R26" s="1557" t="s">
        <v>1254</v>
      </c>
      <c r="S26" s="1487" t="s">
        <v>1255</v>
      </c>
      <c r="T26" s="1487" t="s">
        <v>1255</v>
      </c>
      <c r="U26" s="1558" t="s">
        <v>1256</v>
      </c>
      <c r="V26" s="1559" t="s">
        <v>1257</v>
      </c>
      <c r="W26" s="1560" t="s">
        <v>1258</v>
      </c>
      <c r="X26" s="1558" t="s">
        <v>1256</v>
      </c>
      <c r="Y26" s="1559" t="s">
        <v>1257</v>
      </c>
      <c r="Z26" s="1560" t="s">
        <v>1258</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1259</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7638888888889" right="0.707638888888889" top="0.747916666666667" bottom="0.747916666666667" header="0.313888888888889" footer="0.313888888888889"/>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I21" sqref="I21"/>
    </sheetView>
  </sheetViews>
  <sheetFormatPr defaultColWidth="9" defaultRowHeight="14.25"/>
  <cols>
    <col min="1" max="1" width="10.5" style="728" customWidth="1"/>
    <col min="2" max="2" width="15.75" style="728" customWidth="1"/>
    <col min="3" max="3" width="15.13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1261</v>
      </c>
      <c r="C1" s="1288"/>
      <c r="D1" s="1351"/>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827</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828</v>
      </c>
      <c r="B3" s="1143" t="e">
        <f ca="1">ROUND(IF(D2="——",C49,IF(C2="万元",B2*10000/D3,B2/D3)),0)</f>
        <v>#DIV/0!</v>
      </c>
      <c r="C3" s="1142" t="s">
        <v>1263</v>
      </c>
      <c r="D3" s="1143">
        <f>IF(C1="仅计算典型户型",'数据-取费表'!E5,'数据-取费表'!B5)</f>
        <v>223.88</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5" spans="1:29">
      <c r="A4" s="741" t="s">
        <v>1264</v>
      </c>
      <c r="B4" s="742"/>
      <c r="C4" s="743" t="s">
        <v>1265</v>
      </c>
      <c r="D4" s="744"/>
      <c r="E4" s="745" t="s">
        <v>1266</v>
      </c>
      <c r="F4" s="746"/>
      <c r="G4" s="743" t="s">
        <v>1267</v>
      </c>
      <c r="H4" s="744"/>
      <c r="I4" s="743" t="s">
        <v>1268</v>
      </c>
      <c r="J4" s="744"/>
      <c r="K4" s="1363" t="s">
        <v>1269</v>
      </c>
      <c r="L4" s="891"/>
      <c r="M4" s="892"/>
      <c r="N4" s="892"/>
      <c r="O4" s="892"/>
      <c r="P4" s="893"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1364"/>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1364"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1149" t="s">
        <v>207</v>
      </c>
      <c r="C15" s="1323" t="str">
        <f>估价对象房地状况!C3</f>
        <v>估价对象位于CBD商圈，周边办公楼项目成熟度好，办公集聚程度好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800"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1291</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1279</v>
      </c>
      <c r="S25" s="954">
        <f>F25</f>
        <v>100</v>
      </c>
      <c r="T25" s="953" t="s">
        <v>1279</v>
      </c>
      <c r="U25" s="954">
        <f>H25</f>
        <v>100</v>
      </c>
      <c r="V25" s="953" t="s">
        <v>1279</v>
      </c>
      <c r="W25" s="954">
        <f>J25</f>
        <v>100</v>
      </c>
      <c r="X25" s="940"/>
      <c r="Y25" s="911"/>
      <c r="Z25" s="864" t="str">
        <f>Q25</f>
        <v>楼层-1</v>
      </c>
      <c r="AA25" s="969">
        <f t="shared" si="3"/>
        <v>1</v>
      </c>
      <c r="AB25" s="969">
        <f t="shared" si="4"/>
        <v>1</v>
      </c>
      <c r="AC25" s="969">
        <f t="shared" si="5"/>
        <v>1</v>
      </c>
    </row>
    <row r="26" ht="15" spans="1:29">
      <c r="A26" s="775"/>
      <c r="B26" s="772" t="s">
        <v>1292</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1279</v>
      </c>
      <c r="S26" s="954">
        <f>F26</f>
        <v>100</v>
      </c>
      <c r="T26" s="953" t="s">
        <v>1279</v>
      </c>
      <c r="U26" s="954">
        <f>H26</f>
        <v>100</v>
      </c>
      <c r="V26" s="953" t="s">
        <v>1279</v>
      </c>
      <c r="W26" s="954">
        <f>J26</f>
        <v>100</v>
      </c>
      <c r="X26" s="940"/>
      <c r="Y26" s="911"/>
      <c r="Z26" s="864" t="str">
        <f>Q26</f>
        <v>朝向</v>
      </c>
      <c r="AA26" s="969">
        <f t="shared" si="3"/>
        <v>1</v>
      </c>
      <c r="AB26" s="969">
        <f t="shared" si="4"/>
        <v>1</v>
      </c>
      <c r="AC26" s="969">
        <f t="shared" si="5"/>
        <v>1</v>
      </c>
    </row>
    <row r="27" s="722" customFormat="1" ht="15" spans="1:29">
      <c r="A27" s="778"/>
      <c r="B27" s="779" t="s">
        <v>1293</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1279</v>
      </c>
      <c r="S27" s="949">
        <f>F27</f>
        <v>100</v>
      </c>
      <c r="T27" s="948" t="s">
        <v>1279</v>
      </c>
      <c r="U27" s="949">
        <f>H27</f>
        <v>100</v>
      </c>
      <c r="V27" s="948" t="s">
        <v>1279</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1279</v>
      </c>
      <c r="S28" s="954">
        <f t="shared" ref="S28:S46" si="12">F28</f>
        <v>100</v>
      </c>
      <c r="T28" s="953" t="s">
        <v>1279</v>
      </c>
      <c r="U28" s="954">
        <f t="shared" ref="U28:U46" si="13">H28</f>
        <v>100</v>
      </c>
      <c r="V28" s="953" t="s">
        <v>1279</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1295</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1296</v>
      </c>
      <c r="Q32" s="503" t="str">
        <f t="shared" si="11"/>
        <v>建筑类型</v>
      </c>
      <c r="R32" s="953" t="s">
        <v>1279</v>
      </c>
      <c r="S32" s="954">
        <f t="shared" si="12"/>
        <v>100</v>
      </c>
      <c r="T32" s="953" t="s">
        <v>1279</v>
      </c>
      <c r="U32" s="954">
        <f t="shared" si="13"/>
        <v>100</v>
      </c>
      <c r="V32" s="953" t="s">
        <v>1279</v>
      </c>
      <c r="W32" s="954">
        <f t="shared" si="14"/>
        <v>100</v>
      </c>
      <c r="X32" s="940"/>
      <c r="Y32" s="920" t="s">
        <v>1296</v>
      </c>
      <c r="Z32" s="864" t="str">
        <f t="shared" si="15"/>
        <v>建筑类型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1299</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1279</v>
      </c>
      <c r="S35" s="954">
        <f t="shared" si="12"/>
        <v>100</v>
      </c>
      <c r="T35" s="953" t="s">
        <v>1279</v>
      </c>
      <c r="U35" s="954">
        <f t="shared" si="13"/>
        <v>100</v>
      </c>
      <c r="V35" s="953" t="s">
        <v>1279</v>
      </c>
      <c r="W35" s="954">
        <f t="shared" si="14"/>
        <v>100</v>
      </c>
      <c r="X35" s="940"/>
      <c r="Y35" s="920"/>
      <c r="Z35" s="864" t="str">
        <f t="shared" si="15"/>
        <v>建筑品质</v>
      </c>
      <c r="AA35" s="969">
        <f t="shared" si="3"/>
        <v>1</v>
      </c>
      <c r="AB35" s="969">
        <f t="shared" si="4"/>
        <v>1</v>
      </c>
      <c r="AC35" s="969">
        <f t="shared" si="5"/>
        <v>1</v>
      </c>
    </row>
    <row r="36" ht="15" spans="1:29">
      <c r="A36" s="823"/>
      <c r="B36" s="772" t="s">
        <v>1300</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1301</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1279</v>
      </c>
      <c r="S37" s="949" t="e">
        <f t="shared" si="12"/>
        <v>#N/A</v>
      </c>
      <c r="T37" s="948" t="s">
        <v>1279</v>
      </c>
      <c r="U37" s="949" t="e">
        <f t="shared" si="13"/>
        <v>#N/A</v>
      </c>
      <c r="V37" s="948" t="s">
        <v>1279</v>
      </c>
      <c r="W37" s="949" t="e">
        <f t="shared" si="14"/>
        <v>#N/A</v>
      </c>
      <c r="X37" s="950"/>
      <c r="Y37" s="920"/>
      <c r="Z37" s="968" t="str">
        <f t="shared" si="15"/>
        <v>成新度</v>
      </c>
      <c r="AA37" s="967" t="e">
        <f t="shared" si="3"/>
        <v>#N/A</v>
      </c>
      <c r="AB37" s="967" t="e">
        <f t="shared" si="4"/>
        <v>#N/A</v>
      </c>
      <c r="AC37" s="967" t="e">
        <f t="shared" si="5"/>
        <v>#N/A</v>
      </c>
    </row>
    <row r="38" ht="15" spans="1:29">
      <c r="A38" s="823"/>
      <c r="B38" s="772" t="s">
        <v>1302</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1296</v>
      </c>
      <c r="Q38" s="503" t="str">
        <f t="shared" si="11"/>
        <v>物业管理</v>
      </c>
      <c r="R38" s="953" t="s">
        <v>1279</v>
      </c>
      <c r="S38" s="954">
        <f t="shared" si="12"/>
        <v>100</v>
      </c>
      <c r="T38" s="953" t="s">
        <v>1279</v>
      </c>
      <c r="U38" s="954">
        <f t="shared" si="13"/>
        <v>100</v>
      </c>
      <c r="V38" s="953" t="s">
        <v>1279</v>
      </c>
      <c r="W38" s="954">
        <f t="shared" si="14"/>
        <v>100</v>
      </c>
      <c r="X38" s="940"/>
      <c r="Y38" s="920" t="s">
        <v>1296</v>
      </c>
      <c r="Z38" s="864" t="str">
        <f t="shared" si="15"/>
        <v>物业管理</v>
      </c>
      <c r="AA38" s="969">
        <f t="shared" si="3"/>
        <v>1</v>
      </c>
      <c r="AB38" s="969">
        <f t="shared" si="4"/>
        <v>1</v>
      </c>
      <c r="AC38" s="969">
        <f t="shared" si="5"/>
        <v>1</v>
      </c>
    </row>
    <row r="39" ht="15" spans="1:29">
      <c r="A39" s="823"/>
      <c r="B39" s="772" t="s">
        <v>1303</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1279</v>
      </c>
      <c r="S39" s="954">
        <f t="shared" si="12"/>
        <v>100</v>
      </c>
      <c r="T39" s="953" t="s">
        <v>1279</v>
      </c>
      <c r="U39" s="954">
        <f t="shared" si="13"/>
        <v>100</v>
      </c>
      <c r="V39" s="953" t="s">
        <v>1279</v>
      </c>
      <c r="W39" s="954">
        <f t="shared" si="14"/>
        <v>100</v>
      </c>
      <c r="X39" s="940"/>
      <c r="Y39" s="920"/>
      <c r="Z39" s="864" t="str">
        <f t="shared" si="15"/>
        <v>市政基础设施</v>
      </c>
      <c r="AA39" s="969">
        <f t="shared" si="3"/>
        <v>1</v>
      </c>
      <c r="AB39" s="969">
        <f t="shared" si="4"/>
        <v>1</v>
      </c>
      <c r="AC39" s="969">
        <f t="shared" si="5"/>
        <v>1</v>
      </c>
    </row>
    <row r="40" ht="15" spans="1:29">
      <c r="A40" s="823"/>
      <c r="B40" s="772" t="s">
        <v>1304</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1279</v>
      </c>
      <c r="S40" s="954">
        <f t="shared" si="12"/>
        <v>100</v>
      </c>
      <c r="T40" s="953" t="s">
        <v>1279</v>
      </c>
      <c r="U40" s="954">
        <f t="shared" si="13"/>
        <v>100</v>
      </c>
      <c r="V40" s="953" t="s">
        <v>1279</v>
      </c>
      <c r="W40" s="954">
        <f t="shared" si="14"/>
        <v>100</v>
      </c>
      <c r="X40" s="940"/>
      <c r="Y40" s="920"/>
      <c r="Z40" s="864" t="str">
        <f t="shared" si="15"/>
        <v>房型</v>
      </c>
      <c r="AA40" s="969">
        <f t="shared" si="3"/>
        <v>1</v>
      </c>
      <c r="AB40" s="969">
        <f t="shared" si="4"/>
        <v>1</v>
      </c>
      <c r="AC40" s="969">
        <f t="shared" si="5"/>
        <v>1</v>
      </c>
    </row>
    <row r="41" s="724" customFormat="1" ht="27.75" spans="1:29">
      <c r="A41" s="831"/>
      <c r="B41" s="772" t="s">
        <v>1305</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1279</v>
      </c>
      <c r="S41" s="956">
        <f t="shared" si="12"/>
        <v>100</v>
      </c>
      <c r="T41" s="955" t="s">
        <v>1279</v>
      </c>
      <c r="U41" s="956">
        <f t="shared" si="13"/>
        <v>100</v>
      </c>
      <c r="V41" s="955" t="s">
        <v>1279</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1306</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75" spans="1:29">
      <c r="A49" s="847" t="s">
        <v>1309</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 spans="1:17">
      <c r="A57" s="879" t="s">
        <v>1313</v>
      </c>
      <c r="B57" s="880"/>
      <c r="C57" s="881"/>
      <c r="D57" s="881"/>
      <c r="E57" s="881"/>
      <c r="F57" s="882"/>
      <c r="G57" s="882"/>
      <c r="H57" s="881"/>
      <c r="I57" s="881"/>
      <c r="J57" s="881"/>
      <c r="K57" s="1197"/>
      <c r="L57" s="1198"/>
      <c r="M57" s="881"/>
      <c r="N57" s="881"/>
      <c r="O57" s="881"/>
      <c r="P57" s="1375"/>
      <c r="Q57" s="961"/>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75" spans="1:17">
      <c r="A67" s="990"/>
      <c r="B67" s="997" t="s">
        <v>1288</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1003"/>
      <c r="E73" s="1003"/>
      <c r="F73" s="1003"/>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1291</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75" spans="1:17">
      <c r="A88" s="1013"/>
      <c r="B88" s="993" t="s">
        <v>1292</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7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03"/>
      <c r="D91" s="1003"/>
      <c r="E91" s="1003"/>
      <c r="F91" s="1003"/>
      <c r="G91" s="1003"/>
      <c r="H91" s="1004"/>
      <c r="I91" s="1004"/>
      <c r="J91" s="1004"/>
      <c r="K91" s="1004"/>
      <c r="L91" s="1004"/>
      <c r="M91" s="1056"/>
      <c r="N91" s="1053"/>
      <c r="O91" s="1053"/>
      <c r="P91" s="1346"/>
      <c r="Q91" s="1084"/>
    </row>
    <row r="92" ht="15.75" spans="1:17">
      <c r="A92" s="990"/>
      <c r="B92" s="993">
        <f>B28</f>
        <v>111</v>
      </c>
      <c r="C92" s="1001"/>
      <c r="D92" s="1001"/>
      <c r="E92" s="1001"/>
      <c r="F92" s="1001"/>
      <c r="G92" s="1017"/>
      <c r="H92" s="1017"/>
      <c r="I92" s="1017"/>
      <c r="J92" s="1017"/>
      <c r="K92" s="1071"/>
      <c r="L92" s="1072"/>
      <c r="M92" s="1073"/>
      <c r="N92" s="1040"/>
      <c r="O92" s="1040"/>
      <c r="P92" s="1343"/>
      <c r="Q92" s="961"/>
    </row>
    <row r="93" ht="15.75" spans="1:17">
      <c r="A93" s="990"/>
      <c r="B93" s="995"/>
      <c r="C93" s="1003"/>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1003"/>
      <c r="E95" s="1003"/>
      <c r="F95" s="1003"/>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8"/>
      <c r="D97" s="1008"/>
      <c r="E97" s="1008"/>
      <c r="F97" s="1008"/>
      <c r="G97" s="992"/>
      <c r="H97" s="992"/>
      <c r="I97" s="992"/>
      <c r="J97" s="992"/>
      <c r="K97" s="992"/>
      <c r="L97" s="992"/>
      <c r="M97" s="1042"/>
      <c r="N97" s="1043"/>
      <c r="O97" s="1043"/>
      <c r="P97" s="1343"/>
      <c r="Q97" s="961"/>
    </row>
    <row r="98" ht="15.75" spans="1:17">
      <c r="A98" s="990"/>
      <c r="B98" s="997">
        <f>B31</f>
        <v>111</v>
      </c>
      <c r="C98" s="1018"/>
      <c r="D98" s="1018"/>
      <c r="E98" s="1018"/>
      <c r="F98" s="1018"/>
      <c r="G98" s="1018"/>
      <c r="H98" s="1018"/>
      <c r="I98" s="1018"/>
      <c r="J98" s="1018"/>
      <c r="K98" s="1074"/>
      <c r="L98" s="1075"/>
      <c r="M98" s="1076"/>
      <c r="N98" s="1040"/>
      <c r="O98" s="1040"/>
      <c r="P98" s="1343"/>
      <c r="Q98" s="961"/>
    </row>
    <row r="99" ht="15.75" spans="1:17">
      <c r="A99" s="1298"/>
      <c r="B99" s="1007"/>
      <c r="C99" s="1019"/>
      <c r="D99" s="1019"/>
      <c r="E99" s="1019"/>
      <c r="F99" s="1019"/>
      <c r="G99" s="1019"/>
      <c r="H99" s="1019"/>
      <c r="I99" s="1019"/>
      <c r="J99" s="1019"/>
      <c r="K99" s="1019"/>
      <c r="L99" s="1019"/>
      <c r="M99" s="1077"/>
      <c r="N99" s="1043"/>
      <c r="O99" s="1043"/>
      <c r="P99" s="1343"/>
      <c r="Q99" s="961"/>
    </row>
    <row r="100" spans="1:17">
      <c r="A100" s="988" t="s">
        <v>1294</v>
      </c>
      <c r="B100" s="989" t="s">
        <v>1295</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75" spans="1:17">
      <c r="A102" s="990"/>
      <c r="B102" s="993" t="s">
        <v>1297</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99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75" spans="1:17">
      <c r="A107" s="1024"/>
      <c r="B107" s="993" t="s">
        <v>1299</v>
      </c>
      <c r="C107" s="1017"/>
      <c r="D107" s="1017"/>
      <c r="E107" s="1017"/>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75" spans="1:17">
      <c r="A109" s="1024"/>
      <c r="B109" s="993" t="s">
        <v>1300</v>
      </c>
      <c r="C109" s="1001"/>
      <c r="D109" s="1001"/>
      <c r="E109" s="1001"/>
      <c r="F109" s="1017"/>
      <c r="G109" s="1017"/>
      <c r="H109" s="1017"/>
      <c r="I109" s="1017"/>
      <c r="J109" s="1017"/>
      <c r="K109" s="1071"/>
      <c r="L109" s="1072"/>
      <c r="M109" s="1073"/>
      <c r="N109" s="1040"/>
      <c r="O109" s="1040"/>
      <c r="P109" s="1343"/>
      <c r="Q109" s="961"/>
    </row>
    <row r="110" ht="15.7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75" spans="1:17">
      <c r="A111" s="1020"/>
      <c r="B111" s="993" t="s">
        <v>1301</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ht="15"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5.7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75" spans="1:17">
      <c r="A114" s="1024"/>
      <c r="B114" s="993" t="s">
        <v>1302</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75" spans="1:17">
      <c r="A116" s="1024"/>
      <c r="B116" s="993" t="s">
        <v>1303</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1304</v>
      </c>
      <c r="C118" s="1017"/>
      <c r="D118" s="1017"/>
      <c r="E118" s="1017"/>
      <c r="F118" s="1017"/>
      <c r="G118" s="1017"/>
      <c r="H118" s="1017"/>
      <c r="I118" s="1017"/>
      <c r="J118" s="1017"/>
      <c r="K118" s="1071"/>
      <c r="L118" s="1072"/>
      <c r="M118" s="1073"/>
      <c r="N118" s="1040"/>
      <c r="O118" s="1040"/>
      <c r="P118" s="1343"/>
      <c r="Q118" s="961"/>
    </row>
    <row r="119" ht="15.7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8.5" spans="1:17">
      <c r="A120" s="1020"/>
      <c r="B120" s="993" t="s">
        <v>1305</v>
      </c>
      <c r="C120" s="1001"/>
      <c r="D120" s="1001"/>
      <c r="E120" s="1001"/>
      <c r="F120" s="1001"/>
      <c r="G120" s="1001"/>
      <c r="H120" s="1001"/>
      <c r="I120" s="1001"/>
      <c r="J120" s="1001"/>
      <c r="K120" s="1001"/>
      <c r="L120" s="1205"/>
      <c r="M120" s="1206"/>
      <c r="N120" s="1053"/>
      <c r="O120" s="1053"/>
      <c r="P120" s="1346"/>
      <c r="Q120" s="1084"/>
    </row>
    <row r="121" s="724" customFormat="1" ht="15.75" spans="1:17">
      <c r="A121" s="1000"/>
      <c r="B121" s="991"/>
      <c r="C121" s="1003"/>
      <c r="D121" s="992"/>
      <c r="E121" s="992"/>
      <c r="F121" s="992"/>
      <c r="G121" s="992"/>
      <c r="H121" s="992"/>
      <c r="I121" s="992"/>
      <c r="J121" s="992"/>
      <c r="K121" s="992"/>
      <c r="L121" s="992"/>
      <c r="M121" s="992"/>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1003"/>
      <c r="E129" s="1003"/>
      <c r="F129" s="1003"/>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row r="136" ht="15" spans="2:2">
      <c r="B136" s="1384" t="s">
        <v>1328</v>
      </c>
    </row>
    <row r="137" ht="15" spans="2:11">
      <c r="B137" s="1385" t="s">
        <v>1329</v>
      </c>
      <c r="C137" s="1386"/>
      <c r="D137" s="1386"/>
      <c r="E137" s="1386"/>
      <c r="F137" s="1386"/>
      <c r="G137" s="1387"/>
      <c r="H137" s="1388"/>
      <c r="I137" s="1412" t="s">
        <v>1330</v>
      </c>
      <c r="J137" s="1386"/>
      <c r="K137" s="1413"/>
    </row>
    <row r="138" ht="15" spans="2:11">
      <c r="B138" s="1389"/>
      <c r="C138" s="1113" t="s">
        <v>1331</v>
      </c>
      <c r="D138" s="1113" t="s">
        <v>1332</v>
      </c>
      <c r="E138" s="1390" t="s">
        <v>1333</v>
      </c>
      <c r="F138" s="1391" t="s">
        <v>1334</v>
      </c>
      <c r="G138" s="1113" t="s">
        <v>1332</v>
      </c>
      <c r="H138" s="1392" t="s">
        <v>1333</v>
      </c>
      <c r="I138" s="1414"/>
      <c r="J138" s="1113" t="s">
        <v>1335</v>
      </c>
      <c r="K138" s="1392" t="s">
        <v>1336</v>
      </c>
    </row>
    <row r="139" ht="15" spans="2:11">
      <c r="B139" s="1393">
        <v>6</v>
      </c>
      <c r="C139" s="1394">
        <v>96</v>
      </c>
      <c r="D139" s="1395" t="s">
        <v>1337</v>
      </c>
      <c r="E139" s="1396">
        <v>100</v>
      </c>
      <c r="F139" s="1397">
        <v>102.5</v>
      </c>
      <c r="G139" s="1395" t="s">
        <v>1337</v>
      </c>
      <c r="H139" s="1398">
        <v>105</v>
      </c>
      <c r="I139" s="1415" t="s">
        <v>1338</v>
      </c>
      <c r="J139" s="1394">
        <v>20</v>
      </c>
      <c r="K139" s="1416">
        <f>C145/(J139-2)</f>
        <v>0.00405555555555556</v>
      </c>
    </row>
    <row r="140" ht="15" spans="2:11">
      <c r="B140" s="1399">
        <v>5</v>
      </c>
      <c r="C140" s="1400">
        <v>100</v>
      </c>
      <c r="D140" s="1400"/>
      <c r="E140" s="1401"/>
      <c r="F140" s="1402">
        <v>102</v>
      </c>
      <c r="G140" s="1400"/>
      <c r="H140" s="1403"/>
      <c r="I140" s="1417" t="s">
        <v>1339</v>
      </c>
      <c r="J140" s="1418">
        <f>ROUNDUP((J139-1)/2,0)</f>
        <v>10</v>
      </c>
      <c r="K140" s="1419">
        <v>100</v>
      </c>
    </row>
    <row r="141" ht="15" spans="2:11">
      <c r="B141" s="1399">
        <v>4</v>
      </c>
      <c r="C141" s="1400">
        <v>102</v>
      </c>
      <c r="D141" s="1400"/>
      <c r="E141" s="1401"/>
      <c r="F141" s="1402">
        <v>101.5</v>
      </c>
      <c r="G141" s="1400"/>
      <c r="H141" s="1403"/>
      <c r="I141" s="1417" t="s">
        <v>1340</v>
      </c>
      <c r="J141" s="1418">
        <v>1</v>
      </c>
      <c r="K141" s="1420">
        <f>ROUND(100+(J141-J140)*K139*100,1)</f>
        <v>96.4</v>
      </c>
    </row>
    <row r="142" ht="15" spans="2:11">
      <c r="B142" s="1399">
        <v>3</v>
      </c>
      <c r="C142" s="1400">
        <v>103</v>
      </c>
      <c r="D142" s="1400"/>
      <c r="E142" s="1401"/>
      <c r="F142" s="1402">
        <v>101</v>
      </c>
      <c r="G142" s="1400"/>
      <c r="H142" s="1403"/>
      <c r="I142" s="1417" t="s">
        <v>1341</v>
      </c>
      <c r="J142" s="1418">
        <f>J139</f>
        <v>20</v>
      </c>
      <c r="K142" s="1421">
        <v>95</v>
      </c>
    </row>
    <row r="143" ht="15" spans="2:11">
      <c r="B143" s="1399">
        <v>2</v>
      </c>
      <c r="C143" s="1400">
        <v>100</v>
      </c>
      <c r="D143" s="1400"/>
      <c r="E143" s="1401"/>
      <c r="F143" s="1402">
        <v>100.5</v>
      </c>
      <c r="G143" s="1400"/>
      <c r="H143" s="1403"/>
      <c r="I143" s="1417" t="s">
        <v>1342</v>
      </c>
      <c r="J143" s="1400">
        <v>15</v>
      </c>
      <c r="K143" s="1420">
        <f>ROUND(100+(J143-J140)*K139*100,1)</f>
        <v>102</v>
      </c>
    </row>
    <row r="144" ht="15" spans="2:11">
      <c r="B144" s="1399">
        <v>1</v>
      </c>
      <c r="C144" s="1400">
        <v>98</v>
      </c>
      <c r="D144" s="1404" t="s">
        <v>1343</v>
      </c>
      <c r="E144" s="1401">
        <v>102</v>
      </c>
      <c r="F144" s="1405">
        <v>100</v>
      </c>
      <c r="G144" s="1404" t="s">
        <v>1343</v>
      </c>
      <c r="H144" s="1403">
        <v>105</v>
      </c>
      <c r="I144" s="1417" t="s">
        <v>1342</v>
      </c>
      <c r="J144" s="1400">
        <v>18</v>
      </c>
      <c r="K144" s="1420">
        <f>ROUND(100+(J144-J140)*K139*100,1)</f>
        <v>103.2</v>
      </c>
    </row>
    <row r="145" ht="15.75" spans="2:11">
      <c r="B145" s="1406" t="s">
        <v>1344</v>
      </c>
      <c r="C145" s="1407">
        <f>ROUND(MAX(C139:C144)/MIN(C139:C144)-1,3)</f>
        <v>0.073</v>
      </c>
      <c r="D145" s="1408"/>
      <c r="E145" s="1408"/>
      <c r="F145" s="1409" t="s">
        <v>1345</v>
      </c>
      <c r="G145" s="1410"/>
      <c r="H145" s="1411"/>
      <c r="I145" s="1422" t="s">
        <v>1342</v>
      </c>
      <c r="J145" s="1423">
        <v>8</v>
      </c>
      <c r="K145" s="1424">
        <f>ROUND(100+(J145-J140)*K139*100,1)</f>
        <v>99.2</v>
      </c>
    </row>
    <row r="147" spans="2:2">
      <c r="B147" s="1384" t="s">
        <v>1346</v>
      </c>
    </row>
    <row r="148" spans="2:2">
      <c r="B148" s="1384" t="s">
        <v>1347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1348</v>
      </c>
      <c r="C1" s="1288"/>
      <c r="D1" s="1320"/>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828</v>
      </c>
      <c r="B3" s="740" t="e">
        <f ca="1">ROUND(IF(D2="——",C49,IF(C2="万元",B2*10000/D3,B2/D3)),0)</f>
        <v>#DIV/0!</v>
      </c>
      <c r="C3" s="1142" t="s">
        <v>1263</v>
      </c>
      <c r="D3" s="1143">
        <f>IF(C1="仅计算典型户型",'数据-取费表'!E5,'数据-取费表'!B5)</f>
        <v>223.88</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864"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864"/>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864"/>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81" spans="1:29">
      <c r="A15" s="789" t="s">
        <v>1289</v>
      </c>
      <c r="B15" s="1149" t="s">
        <v>208</v>
      </c>
      <c r="C15" s="1323" t="str">
        <f>估价对象房地状况!C4</f>
        <v>估价对象周边道路状况、公共交通通达情况、停车便捷程度，综合评价交通便捷度好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1290</v>
      </c>
      <c r="Q15" s="503" t="str">
        <f t="shared" si="6"/>
        <v>商业繁华度</v>
      </c>
      <c r="R15" s="953" t="s">
        <v>1279</v>
      </c>
      <c r="S15" s="954">
        <f t="shared" si="0"/>
        <v>100</v>
      </c>
      <c r="T15" s="953" t="s">
        <v>1279</v>
      </c>
      <c r="U15" s="954">
        <f t="shared" si="1"/>
        <v>100</v>
      </c>
      <c r="V15" s="953" t="s">
        <v>1279</v>
      </c>
      <c r="W15" s="954">
        <f t="shared" si="2"/>
        <v>100</v>
      </c>
      <c r="X15" s="940"/>
      <c r="Y15" s="910" t="s">
        <v>1290</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1324"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1279</v>
      </c>
      <c r="S25" s="954">
        <f>F25</f>
        <v>100</v>
      </c>
      <c r="T25" s="953" t="s">
        <v>1279</v>
      </c>
      <c r="U25" s="954">
        <f>H25</f>
        <v>100</v>
      </c>
      <c r="V25" s="953" t="s">
        <v>1279</v>
      </c>
      <c r="W25" s="954">
        <f>J25</f>
        <v>100</v>
      </c>
      <c r="X25" s="940"/>
      <c r="Y25" s="911"/>
      <c r="Z25" s="864" t="str">
        <f>Q25</f>
        <v>临街状况</v>
      </c>
      <c r="AA25" s="969">
        <f t="shared" si="3"/>
        <v>1</v>
      </c>
      <c r="AB25" s="969">
        <f t="shared" si="4"/>
        <v>1</v>
      </c>
      <c r="AC25" s="969">
        <f t="shared" si="5"/>
        <v>1</v>
      </c>
    </row>
    <row r="26" ht="15" spans="1:29">
      <c r="A26" s="775"/>
      <c r="B26" s="1292" t="s">
        <v>1349</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1279</v>
      </c>
      <c r="S26" s="954">
        <f>F26</f>
        <v>100</v>
      </c>
      <c r="T26" s="953" t="s">
        <v>1279</v>
      </c>
      <c r="U26" s="954">
        <f>H26</f>
        <v>100</v>
      </c>
      <c r="V26" s="953" t="s">
        <v>1279</v>
      </c>
      <c r="W26" s="954">
        <f>J26</f>
        <v>100</v>
      </c>
      <c r="X26" s="940"/>
      <c r="Y26" s="911"/>
      <c r="Z26" s="864" t="str">
        <f>Q26</f>
        <v>平面位置/可视性</v>
      </c>
      <c r="AA26" s="969">
        <f t="shared" si="3"/>
        <v>1</v>
      </c>
      <c r="AB26" s="969">
        <f t="shared" si="4"/>
        <v>1</v>
      </c>
      <c r="AC26" s="969">
        <f t="shared" si="5"/>
        <v>1</v>
      </c>
    </row>
    <row r="27" s="722" customFormat="1" ht="15" spans="1:29">
      <c r="A27" s="778"/>
      <c r="B27" s="1155" t="s">
        <v>1350</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1279</v>
      </c>
      <c r="S27" s="949">
        <f>F27</f>
        <v>100</v>
      </c>
      <c r="T27" s="948" t="s">
        <v>1279</v>
      </c>
      <c r="U27" s="949">
        <f>H27</f>
        <v>100</v>
      </c>
      <c r="V27" s="948" t="s">
        <v>1279</v>
      </c>
      <c r="W27" s="949">
        <f>J27</f>
        <v>100</v>
      </c>
      <c r="X27" s="950"/>
      <c r="Y27" s="911"/>
      <c r="Z27" s="968" t="str">
        <f>Q27</f>
        <v>人流量</v>
      </c>
      <c r="AA27" s="969">
        <f t="shared" si="3"/>
        <v>1</v>
      </c>
      <c r="AB27" s="969">
        <f t="shared" si="4"/>
        <v>1</v>
      </c>
      <c r="AC27" s="969">
        <f t="shared" si="5"/>
        <v>1</v>
      </c>
    </row>
    <row r="28" ht="15" spans="1:29">
      <c r="A28" s="775"/>
      <c r="B28" s="772" t="s">
        <v>1351</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1279</v>
      </c>
      <c r="S28" s="954">
        <f t="shared" ref="S28:S46" si="12">F28</f>
        <v>100</v>
      </c>
      <c r="T28" s="953" t="s">
        <v>1279</v>
      </c>
      <c r="U28" s="954">
        <f t="shared" ref="U28:U46" si="13">H28</f>
        <v>100</v>
      </c>
      <c r="V28" s="953" t="s">
        <v>1279</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1352</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1296</v>
      </c>
      <c r="Q32" s="503" t="str">
        <f t="shared" si="11"/>
        <v>商业类型</v>
      </c>
      <c r="R32" s="953" t="s">
        <v>1279</v>
      </c>
      <c r="S32" s="954">
        <f t="shared" si="12"/>
        <v>100</v>
      </c>
      <c r="T32" s="953" t="s">
        <v>1279</v>
      </c>
      <c r="U32" s="954">
        <f t="shared" si="13"/>
        <v>100</v>
      </c>
      <c r="V32" s="953" t="s">
        <v>1279</v>
      </c>
      <c r="W32" s="954">
        <f t="shared" si="14"/>
        <v>100</v>
      </c>
      <c r="X32" s="940"/>
      <c r="Y32" s="920" t="s">
        <v>1296</v>
      </c>
      <c r="Z32" s="864" t="str">
        <f t="shared" si="15"/>
        <v>商业类型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1300</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1279</v>
      </c>
      <c r="S35" s="954">
        <f t="shared" si="12"/>
        <v>100</v>
      </c>
      <c r="T35" s="953" t="s">
        <v>1279</v>
      </c>
      <c r="U35" s="954">
        <f t="shared" si="13"/>
        <v>100</v>
      </c>
      <c r="V35" s="953" t="s">
        <v>1279</v>
      </c>
      <c r="W35" s="954">
        <f t="shared" si="14"/>
        <v>100</v>
      </c>
      <c r="X35" s="940"/>
      <c r="Y35" s="920"/>
      <c r="Z35" s="864" t="str">
        <f t="shared" si="15"/>
        <v>公共部分装修</v>
      </c>
      <c r="AA35" s="969">
        <f t="shared" si="3"/>
        <v>1</v>
      </c>
      <c r="AB35" s="969">
        <f t="shared" si="4"/>
        <v>1</v>
      </c>
      <c r="AC35" s="969">
        <f t="shared" si="5"/>
        <v>1</v>
      </c>
    </row>
    <row r="36" ht="15" spans="1:29">
      <c r="A36" s="823"/>
      <c r="B36" s="772" t="s">
        <v>1301</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1279</v>
      </c>
      <c r="S36" s="954" t="e">
        <f t="shared" si="12"/>
        <v>#N/A</v>
      </c>
      <c r="T36" s="953" t="s">
        <v>1279</v>
      </c>
      <c r="U36" s="954" t="e">
        <f t="shared" si="13"/>
        <v>#N/A</v>
      </c>
      <c r="V36" s="953" t="s">
        <v>1279</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1303</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1279</v>
      </c>
      <c r="S37" s="949">
        <f t="shared" si="12"/>
        <v>100</v>
      </c>
      <c r="T37" s="948" t="s">
        <v>1279</v>
      </c>
      <c r="U37" s="949">
        <f t="shared" si="13"/>
        <v>100</v>
      </c>
      <c r="V37" s="948" t="s">
        <v>1279</v>
      </c>
      <c r="W37" s="949">
        <f t="shared" si="14"/>
        <v>100</v>
      </c>
      <c r="X37" s="950"/>
      <c r="Y37" s="920"/>
      <c r="Z37" s="968" t="str">
        <f t="shared" si="15"/>
        <v>市政基础设施</v>
      </c>
      <c r="AA37" s="967">
        <f t="shared" si="3"/>
        <v>1</v>
      </c>
      <c r="AB37" s="967">
        <f t="shared" si="4"/>
        <v>1</v>
      </c>
      <c r="AC37" s="967">
        <f t="shared" si="5"/>
        <v>1</v>
      </c>
    </row>
    <row r="38" ht="15" spans="1:29">
      <c r="A38" s="823"/>
      <c r="B38" s="772" t="s">
        <v>1353</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1296</v>
      </c>
      <c r="Q38" s="503" t="str">
        <f t="shared" si="11"/>
        <v>业态</v>
      </c>
      <c r="R38" s="953" t="s">
        <v>1279</v>
      </c>
      <c r="S38" s="954">
        <f t="shared" si="12"/>
        <v>100</v>
      </c>
      <c r="T38" s="953" t="s">
        <v>1279</v>
      </c>
      <c r="U38" s="954">
        <f t="shared" si="13"/>
        <v>100</v>
      </c>
      <c r="V38" s="953" t="s">
        <v>1279</v>
      </c>
      <c r="W38" s="954">
        <f t="shared" si="14"/>
        <v>100</v>
      </c>
      <c r="X38" s="940"/>
      <c r="Y38" s="920" t="s">
        <v>1296</v>
      </c>
      <c r="Z38" s="864" t="str">
        <f t="shared" si="15"/>
        <v>业态</v>
      </c>
      <c r="AA38" s="969">
        <f t="shared" si="3"/>
        <v>1</v>
      </c>
      <c r="AB38" s="969">
        <f t="shared" si="4"/>
        <v>1</v>
      </c>
      <c r="AC38" s="969">
        <f t="shared" si="5"/>
        <v>1</v>
      </c>
    </row>
    <row r="39" ht="15" spans="1:29">
      <c r="A39" s="823"/>
      <c r="B39" s="772" t="s">
        <v>1354</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1279</v>
      </c>
      <c r="S39" s="954">
        <f t="shared" si="12"/>
        <v>100</v>
      </c>
      <c r="T39" s="953" t="s">
        <v>1279</v>
      </c>
      <c r="U39" s="954">
        <f t="shared" si="13"/>
        <v>100</v>
      </c>
      <c r="V39" s="953" t="s">
        <v>1279</v>
      </c>
      <c r="W39" s="954">
        <f t="shared" si="14"/>
        <v>100</v>
      </c>
      <c r="X39" s="940"/>
      <c r="Y39" s="920"/>
      <c r="Z39" s="864" t="str">
        <f t="shared" si="15"/>
        <v>层高</v>
      </c>
      <c r="AA39" s="969">
        <f t="shared" si="3"/>
        <v>1</v>
      </c>
      <c r="AB39" s="969">
        <f t="shared" si="4"/>
        <v>1</v>
      </c>
      <c r="AC39" s="969">
        <f t="shared" si="5"/>
        <v>1</v>
      </c>
    </row>
    <row r="40" ht="15" spans="1:29">
      <c r="A40" s="823"/>
      <c r="B40" s="772" t="s">
        <v>1355</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1279</v>
      </c>
      <c r="S40" s="954">
        <f t="shared" si="12"/>
        <v>100</v>
      </c>
      <c r="T40" s="953" t="s">
        <v>1279</v>
      </c>
      <c r="U40" s="954">
        <f t="shared" si="13"/>
        <v>100</v>
      </c>
      <c r="V40" s="953" t="s">
        <v>1279</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1356</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1279</v>
      </c>
      <c r="S41" s="956">
        <f t="shared" si="12"/>
        <v>100</v>
      </c>
      <c r="T41" s="955" t="s">
        <v>1279</v>
      </c>
      <c r="U41" s="956">
        <f t="shared" si="13"/>
        <v>100</v>
      </c>
      <c r="V41" s="955" t="s">
        <v>1279</v>
      </c>
      <c r="W41" s="956">
        <f t="shared" si="14"/>
        <v>100</v>
      </c>
      <c r="X41" s="957"/>
      <c r="Y41" s="920"/>
      <c r="Z41" s="970" t="str">
        <f t="shared" si="15"/>
        <v>进深比</v>
      </c>
      <c r="AA41" s="969">
        <f t="shared" si="3"/>
        <v>1</v>
      </c>
      <c r="AB41" s="969">
        <f t="shared" si="4"/>
        <v>1</v>
      </c>
      <c r="AC41" s="969">
        <f t="shared" si="5"/>
        <v>1</v>
      </c>
    </row>
    <row r="42" ht="15" spans="1:29">
      <c r="A42" s="823"/>
      <c r="B42" s="772" t="s">
        <v>1306</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75" spans="1:29">
      <c r="A49" s="847" t="s">
        <v>1357</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 spans="1:29">
      <c r="A57" s="879" t="s">
        <v>1313</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t="s">
        <v>1358</v>
      </c>
      <c r="D66" s="996" t="s">
        <v>1358</v>
      </c>
      <c r="E66" s="996" t="s">
        <v>1358</v>
      </c>
      <c r="F66" s="996">
        <v>100</v>
      </c>
      <c r="G66" s="996">
        <f>F66-$K10</f>
        <v>100</v>
      </c>
      <c r="H66" s="996">
        <f>G66-$K10</f>
        <v>100</v>
      </c>
      <c r="I66" s="996">
        <f>H66-$K10</f>
        <v>100</v>
      </c>
      <c r="J66" s="996"/>
      <c r="K66" s="996"/>
      <c r="L66" s="996"/>
      <c r="M66" s="1047"/>
      <c r="N66" s="1043"/>
      <c r="O66" s="1043"/>
      <c r="P66" s="1343"/>
      <c r="Q66" s="961"/>
    </row>
    <row r="67" ht="15.75" spans="1:17">
      <c r="A67" s="990"/>
      <c r="B67" s="997" t="s">
        <v>1288</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992"/>
      <c r="E73" s="992"/>
      <c r="F73" s="992"/>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216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7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03"/>
      <c r="D89" s="992"/>
      <c r="E89" s="992"/>
      <c r="F89" s="992"/>
      <c r="G89" s="992"/>
      <c r="H89" s="992"/>
      <c r="I89" s="992"/>
      <c r="J89" s="992"/>
      <c r="K89" s="992"/>
      <c r="L89" s="992"/>
      <c r="M89" s="992"/>
      <c r="N89" s="1043"/>
      <c r="O89" s="1043"/>
      <c r="P89" s="1343"/>
      <c r="Q89" s="961"/>
    </row>
    <row r="90" s="724" customFormat="1" ht="15.7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75" spans="1:17">
      <c r="A92" s="990"/>
      <c r="B92" s="993" t="str">
        <f>B28</f>
        <v>楼层</v>
      </c>
      <c r="C92" s="1001"/>
      <c r="D92" s="1001"/>
      <c r="E92" s="1001"/>
      <c r="F92" s="1001"/>
      <c r="G92" s="1001"/>
      <c r="H92" s="1001"/>
      <c r="I92" s="1001"/>
      <c r="J92" s="1001"/>
      <c r="K92" s="1001"/>
      <c r="L92" s="1205"/>
      <c r="M92" s="1206"/>
      <c r="N92" s="1040"/>
      <c r="O92" s="1040"/>
      <c r="P92" s="1343"/>
      <c r="Q92" s="961"/>
    </row>
    <row r="93" ht="15.75" spans="1:17">
      <c r="A93" s="990"/>
      <c r="B93" s="995"/>
      <c r="C93" s="992"/>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992"/>
      <c r="E95" s="992"/>
      <c r="F95" s="992"/>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3"/>
      <c r="D97" s="992"/>
      <c r="E97" s="992"/>
      <c r="F97" s="992"/>
      <c r="G97" s="992"/>
      <c r="H97" s="992"/>
      <c r="I97" s="992"/>
      <c r="J97" s="992"/>
      <c r="K97" s="992"/>
      <c r="L97" s="992"/>
      <c r="M97" s="1042"/>
      <c r="N97" s="1043"/>
      <c r="O97" s="1043"/>
      <c r="P97" s="1343"/>
      <c r="Q97" s="961"/>
    </row>
    <row r="98" ht="15.75" spans="1:17">
      <c r="A98" s="990"/>
      <c r="B98" s="997">
        <f>B31</f>
        <v>111</v>
      </c>
      <c r="C98" s="1001"/>
      <c r="D98" s="1001"/>
      <c r="E98" s="1001"/>
      <c r="F98" s="1001"/>
      <c r="G98" s="1018"/>
      <c r="H98" s="1018"/>
      <c r="I98" s="1018"/>
      <c r="J98" s="1018"/>
      <c r="K98" s="1074"/>
      <c r="L98" s="1075"/>
      <c r="M98" s="1076"/>
      <c r="N98" s="1040"/>
      <c r="O98" s="1040"/>
      <c r="P98" s="1343"/>
      <c r="Q98" s="961"/>
    </row>
    <row r="99" ht="15.75" spans="1:17">
      <c r="A99" s="1298"/>
      <c r="B99" s="1007"/>
      <c r="C99" s="1008"/>
      <c r="D99" s="1008"/>
      <c r="E99" s="1008"/>
      <c r="F99" s="1008"/>
      <c r="G99" s="1019"/>
      <c r="H99" s="1019"/>
      <c r="I99" s="1019"/>
      <c r="J99" s="1019"/>
      <c r="K99" s="1019"/>
      <c r="L99" s="1019"/>
      <c r="M99" s="1077"/>
      <c r="N99" s="1043"/>
      <c r="O99" s="1043"/>
      <c r="P99" s="1343"/>
      <c r="Q99" s="961"/>
    </row>
    <row r="100" spans="1:17">
      <c r="A100" s="988" t="s">
        <v>1294</v>
      </c>
      <c r="B100" s="989" t="s">
        <v>1352</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75" spans="1:17">
      <c r="A102" s="990"/>
      <c r="B102" s="993" t="s">
        <v>1297</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104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75" spans="1:17">
      <c r="A107" s="1024"/>
      <c r="B107" s="993" t="s">
        <v>1300</v>
      </c>
      <c r="C107" s="1001"/>
      <c r="D107" s="1001"/>
      <c r="E107" s="1001"/>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75" spans="1:17">
      <c r="A109" s="1024"/>
      <c r="B109" s="993" t="s">
        <v>1301</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ht="15"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5.7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75" spans="1:17">
      <c r="A112" s="1020"/>
      <c r="B112" s="993" t="s">
        <v>1303</v>
      </c>
      <c r="C112" s="1001"/>
      <c r="D112" s="1001"/>
      <c r="E112" s="1001"/>
      <c r="F112" s="1001"/>
      <c r="G112" s="1001"/>
      <c r="H112" s="1017"/>
      <c r="I112" s="1017"/>
      <c r="J112" s="1017"/>
      <c r="K112" s="1071"/>
      <c r="L112" s="1072"/>
      <c r="M112" s="1073"/>
      <c r="N112" s="1053"/>
      <c r="O112" s="1053"/>
      <c r="P112" s="1346"/>
      <c r="Q112" s="1084"/>
    </row>
    <row r="113" s="724" customFormat="1" ht="15.7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75" spans="1:17">
      <c r="A114" s="1024"/>
      <c r="B114" s="993" t="s">
        <v>1353</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75" spans="1:17">
      <c r="A116" s="1024"/>
      <c r="B116" s="993" t="s">
        <v>1354</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1355</v>
      </c>
      <c r="C118" s="1345"/>
      <c r="D118" s="1345"/>
      <c r="E118" s="1345"/>
      <c r="F118" s="1345"/>
      <c r="G118" s="1345"/>
      <c r="H118" s="1002"/>
      <c r="I118" s="1002"/>
      <c r="J118" s="1002"/>
      <c r="K118" s="1002"/>
      <c r="L118" s="1051"/>
      <c r="M118" s="1052"/>
      <c r="N118" s="1040"/>
      <c r="O118" s="1040"/>
      <c r="P118" s="1343"/>
      <c r="Q118" s="961"/>
    </row>
    <row r="119" ht="15.75" spans="1:17">
      <c r="A119" s="990"/>
      <c r="B119" s="995"/>
      <c r="C119" s="1003"/>
      <c r="D119" s="992"/>
      <c r="E119" s="992"/>
      <c r="F119" s="992"/>
      <c r="G119" s="992"/>
      <c r="H119" s="992"/>
      <c r="I119" s="992"/>
      <c r="J119" s="992"/>
      <c r="K119" s="992"/>
      <c r="L119" s="992"/>
      <c r="M119" s="1042"/>
      <c r="N119" s="1043"/>
      <c r="O119" s="1043"/>
      <c r="P119" s="1343"/>
      <c r="Q119" s="961"/>
    </row>
    <row r="120" s="724" customFormat="1" ht="15.75" spans="1:17">
      <c r="A120" s="1020"/>
      <c r="B120" s="993" t="s">
        <v>1359</v>
      </c>
      <c r="C120" s="1017"/>
      <c r="D120" s="1017"/>
      <c r="E120" s="1017"/>
      <c r="F120" s="1017"/>
      <c r="G120" s="1002"/>
      <c r="H120" s="1002"/>
      <c r="I120" s="1002"/>
      <c r="J120" s="1002"/>
      <c r="K120" s="1002"/>
      <c r="L120" s="1051"/>
      <c r="M120" s="1052"/>
      <c r="N120" s="1053"/>
      <c r="O120" s="1053"/>
      <c r="P120" s="1346"/>
      <c r="Q120" s="1084"/>
    </row>
    <row r="121" s="724" customFormat="1" ht="15.7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992"/>
      <c r="E129" s="992"/>
      <c r="F129" s="992"/>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5" sqref="G15"/>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1360</v>
      </c>
      <c r="C1" s="1288"/>
      <c r="D1" s="1132"/>
      <c r="E1" s="1133"/>
      <c r="F1" s="1134" t="s">
        <v>1262</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827</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828</v>
      </c>
      <c r="B3" s="740" t="e">
        <f ca="1">ROUND(IF(D2="——",C50,IF(C2="万元",B2*10000/D3,B2/D3)),0)</f>
        <v>#DIV/0!</v>
      </c>
      <c r="C3" s="1142" t="s">
        <v>1263</v>
      </c>
      <c r="D3" s="1143">
        <f>IF(C1="仅计算典型户型",'数据-取费表'!E5,'数据-取费表'!B5)</f>
        <v>223.88</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1305"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1306"/>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1307"/>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1282</v>
      </c>
      <c r="Q8" s="951"/>
      <c r="R8" s="948" t="s">
        <v>1279</v>
      </c>
      <c r="S8" s="949">
        <f t="shared" si="0"/>
        <v>0</v>
      </c>
      <c r="T8" s="948" t="s">
        <v>1279</v>
      </c>
      <c r="U8" s="949">
        <f t="shared" si="1"/>
        <v>0</v>
      </c>
      <c r="V8" s="948" t="s">
        <v>1279</v>
      </c>
      <c r="W8" s="949">
        <f t="shared" si="2"/>
        <v>0</v>
      </c>
      <c r="X8" s="950"/>
      <c r="Y8" s="899" t="s">
        <v>1282</v>
      </c>
      <c r="Z8" s="951"/>
      <c r="AA8" s="967" t="e">
        <f t="shared" ref="AA8:AA47" si="3">D8/F8</f>
        <v>#DIV/0!</v>
      </c>
      <c r="AB8" s="967" t="e">
        <f t="shared" ref="AB8:AB47" si="4">D8/H8</f>
        <v>#DIV/0!</v>
      </c>
      <c r="AC8" s="967" t="e">
        <f t="shared" ref="AC8:AC47" si="5">D8/J8</f>
        <v>#DIV/0!</v>
      </c>
    </row>
    <row r="9" s="722" customFormat="1" spans="1:29">
      <c r="A9" s="767" t="s">
        <v>1283</v>
      </c>
      <c r="B9" s="768" t="s">
        <v>1284</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790" t="s">
        <v>209</v>
      </c>
      <c r="C15" s="1092" t="str">
        <f>估价对象房地状况!C5</f>
        <v>估价对象位于CBD商圈，周边办公楼项目成熟度好，办公集聚程度好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1290</v>
      </c>
      <c r="Q15" s="503" t="str">
        <f t="shared" si="6"/>
        <v>办公集聚程度</v>
      </c>
      <c r="R15" s="953" t="s">
        <v>1279</v>
      </c>
      <c r="S15" s="954">
        <f t="shared" si="0"/>
        <v>100</v>
      </c>
      <c r="T15" s="953" t="s">
        <v>1279</v>
      </c>
      <c r="U15" s="954">
        <f t="shared" si="1"/>
        <v>100</v>
      </c>
      <c r="V15" s="953" t="s">
        <v>1279</v>
      </c>
      <c r="W15" s="954">
        <f t="shared" si="2"/>
        <v>100</v>
      </c>
      <c r="X15" s="940"/>
      <c r="Y15" s="910" t="s">
        <v>1290</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81" spans="1:29">
      <c r="A17" s="775"/>
      <c r="B17" s="799" t="s">
        <v>211</v>
      </c>
      <c r="C17" s="1100" t="str">
        <f>估价对象房地状况!C6</f>
        <v>估价对象周边道路状况、公共交通通达情况、停车便捷程度，综合评价交通便捷度好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40.5" spans="1:29">
      <c r="A19" s="775"/>
      <c r="B19" s="799" t="s">
        <v>213</v>
      </c>
      <c r="C19" s="1100" t="str">
        <f>估价对象房地状况!C7</f>
        <v>估价对象所在区域公共配套设施完备程度好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40.5" spans="1:29">
      <c r="A21" s="775"/>
      <c r="B21" s="807" t="s">
        <v>214</v>
      </c>
      <c r="C21" s="1100" t="str">
        <f>估价对象房地状况!C8</f>
        <v>估价对象所在区域红线外基础设施水平六通一平</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122.25" spans="1:29">
      <c r="A23" s="775"/>
      <c r="B23" s="799" t="s">
        <v>215</v>
      </c>
      <c r="C23" s="1100" t="str">
        <f>估价对象房地状况!C9</f>
        <v>区域自然环境：CBD历史文化公园、呼家楼社区公园、联馨园；人文环境韩国文化院、考文垂大学、北京今日美术馆：综合评价环境状况好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7" spans="1:29">
      <c r="A25" s="747"/>
      <c r="B25" s="799" t="s">
        <v>568</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1279</v>
      </c>
      <c r="S25" s="954">
        <f>F25</f>
        <v>100</v>
      </c>
      <c r="T25" s="953" t="s">
        <v>1279</v>
      </c>
      <c r="U25" s="954">
        <f>H25</f>
        <v>100</v>
      </c>
      <c r="V25" s="953" t="s">
        <v>1279</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1351</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1279</v>
      </c>
      <c r="S27" s="954">
        <f>F27</f>
        <v>100</v>
      </c>
      <c r="T27" s="953" t="s">
        <v>1279</v>
      </c>
      <c r="U27" s="954">
        <f>H27</f>
        <v>100</v>
      </c>
      <c r="V27" s="953" t="s">
        <v>1279</v>
      </c>
      <c r="W27" s="954">
        <f>J27</f>
        <v>100</v>
      </c>
      <c r="X27" s="940"/>
      <c r="Y27" s="911"/>
      <c r="Z27" s="864" t="str">
        <f>Q27</f>
        <v>楼层</v>
      </c>
      <c r="AA27" s="969">
        <f t="shared" si="3"/>
        <v>1</v>
      </c>
      <c r="AB27" s="969">
        <f t="shared" si="4"/>
        <v>1</v>
      </c>
      <c r="AC27" s="969">
        <f t="shared" si="5"/>
        <v>1</v>
      </c>
    </row>
    <row r="28" s="722" customFormat="1" ht="15" spans="1:29">
      <c r="A28" s="778"/>
      <c r="B28" s="799" t="s">
        <v>1292</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1279</v>
      </c>
      <c r="S28" s="949">
        <f>F28</f>
        <v>100</v>
      </c>
      <c r="T28" s="948" t="s">
        <v>1279</v>
      </c>
      <c r="U28" s="949">
        <f>H28</f>
        <v>100</v>
      </c>
      <c r="V28" s="948" t="s">
        <v>1279</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1279</v>
      </c>
      <c r="S29" s="954">
        <f t="shared" ref="S29:S47" si="12">F29</f>
        <v>100</v>
      </c>
      <c r="T29" s="953" t="s">
        <v>1279</v>
      </c>
      <c r="U29" s="954">
        <f t="shared" ref="U29:U47" si="13">H29</f>
        <v>100</v>
      </c>
      <c r="V29" s="953" t="s">
        <v>1279</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1279</v>
      </c>
      <c r="S32" s="954">
        <f t="shared" si="12"/>
        <v>100</v>
      </c>
      <c r="T32" s="953" t="s">
        <v>1279</v>
      </c>
      <c r="U32" s="954">
        <f t="shared" si="13"/>
        <v>100</v>
      </c>
      <c r="V32" s="953" t="s">
        <v>1279</v>
      </c>
      <c r="W32" s="954">
        <f t="shared" si="14"/>
        <v>100</v>
      </c>
      <c r="X32" s="940"/>
      <c r="Y32" s="911"/>
      <c r="Z32" s="864">
        <f t="shared" si="15"/>
        <v>111</v>
      </c>
      <c r="AA32" s="969">
        <f t="shared" si="3"/>
        <v>1</v>
      </c>
      <c r="AB32" s="969">
        <f t="shared" si="4"/>
        <v>1</v>
      </c>
      <c r="AC32" s="969">
        <f t="shared" si="5"/>
        <v>1</v>
      </c>
    </row>
    <row r="33" ht="15" spans="1:29">
      <c r="A33" s="789" t="s">
        <v>1294</v>
      </c>
      <c r="B33" s="768" t="s">
        <v>1295</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1296</v>
      </c>
      <c r="Q33" s="503" t="str">
        <f t="shared" si="11"/>
        <v>建筑类型</v>
      </c>
      <c r="R33" s="953" t="s">
        <v>1279</v>
      </c>
      <c r="S33" s="954">
        <f t="shared" si="12"/>
        <v>100</v>
      </c>
      <c r="T33" s="953" t="s">
        <v>1279</v>
      </c>
      <c r="U33" s="954">
        <f t="shared" si="13"/>
        <v>100</v>
      </c>
      <c r="V33" s="953" t="s">
        <v>1279</v>
      </c>
      <c r="W33" s="954">
        <f t="shared" si="14"/>
        <v>100</v>
      </c>
      <c r="X33" s="940"/>
      <c r="Y33" s="920" t="s">
        <v>1296</v>
      </c>
      <c r="Z33" s="864" t="str">
        <f t="shared" si="15"/>
        <v>建筑类型</v>
      </c>
      <c r="AA33" s="969">
        <f t="shared" si="3"/>
        <v>1</v>
      </c>
      <c r="AB33" s="969">
        <f t="shared" si="4"/>
        <v>1</v>
      </c>
      <c r="AC33" s="969">
        <f t="shared" si="5"/>
        <v>1</v>
      </c>
    </row>
    <row r="34" s="724" customFormat="1" ht="15" spans="1:29">
      <c r="A34" s="831"/>
      <c r="B34" s="772" t="s">
        <v>1297</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1279</v>
      </c>
      <c r="S34" s="956" t="e">
        <f t="shared" si="12"/>
        <v>#N/A</v>
      </c>
      <c r="T34" s="955" t="s">
        <v>1279</v>
      </c>
      <c r="U34" s="956" t="e">
        <f t="shared" si="13"/>
        <v>#N/A</v>
      </c>
      <c r="V34" s="955" t="s">
        <v>1279</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1298</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1279</v>
      </c>
      <c r="S35" s="954">
        <f t="shared" si="12"/>
        <v>100</v>
      </c>
      <c r="T35" s="953" t="s">
        <v>1279</v>
      </c>
      <c r="U35" s="954">
        <f t="shared" si="13"/>
        <v>100</v>
      </c>
      <c r="V35" s="953" t="s">
        <v>1279</v>
      </c>
      <c r="W35" s="954">
        <f t="shared" si="14"/>
        <v>100</v>
      </c>
      <c r="X35" s="940"/>
      <c r="Y35" s="920"/>
      <c r="Z35" s="864" t="str">
        <f t="shared" si="15"/>
        <v>建筑结构</v>
      </c>
      <c r="AA35" s="969">
        <f t="shared" si="3"/>
        <v>1</v>
      </c>
      <c r="AB35" s="969">
        <f t="shared" si="4"/>
        <v>1</v>
      </c>
      <c r="AC35" s="969">
        <f t="shared" si="5"/>
        <v>1</v>
      </c>
    </row>
    <row r="36" ht="15" spans="1:29">
      <c r="A36" s="823"/>
      <c r="B36" s="772" t="s">
        <v>1300</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ht="15" spans="1:29">
      <c r="A37" s="823"/>
      <c r="B37" s="772" t="s">
        <v>1301</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1279</v>
      </c>
      <c r="S37" s="954" t="e">
        <f t="shared" si="12"/>
        <v>#N/A</v>
      </c>
      <c r="T37" s="953" t="s">
        <v>1279</v>
      </c>
      <c r="U37" s="954" t="e">
        <f t="shared" si="13"/>
        <v>#N/A</v>
      </c>
      <c r="V37" s="953" t="s">
        <v>1279</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1361</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1279</v>
      </c>
      <c r="S38" s="949">
        <f t="shared" si="12"/>
        <v>100</v>
      </c>
      <c r="T38" s="948" t="s">
        <v>1279</v>
      </c>
      <c r="U38" s="949">
        <f t="shared" si="13"/>
        <v>100</v>
      </c>
      <c r="V38" s="948" t="s">
        <v>1279</v>
      </c>
      <c r="W38" s="949">
        <f t="shared" si="14"/>
        <v>100</v>
      </c>
      <c r="X38" s="950"/>
      <c r="Y38" s="920"/>
      <c r="Z38" s="968" t="str">
        <f t="shared" si="15"/>
        <v>写字楼等级</v>
      </c>
      <c r="AA38" s="967">
        <f t="shared" si="3"/>
        <v>1</v>
      </c>
      <c r="AB38" s="967">
        <f t="shared" si="4"/>
        <v>1</v>
      </c>
      <c r="AC38" s="967">
        <f t="shared" si="5"/>
        <v>1</v>
      </c>
    </row>
    <row r="39" ht="15" spans="1:29">
      <c r="A39" s="823"/>
      <c r="B39" s="772" t="s">
        <v>1302</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1296</v>
      </c>
      <c r="Q39" s="503" t="str">
        <f t="shared" si="11"/>
        <v>物业管理</v>
      </c>
      <c r="R39" s="953" t="s">
        <v>1279</v>
      </c>
      <c r="S39" s="954">
        <f t="shared" si="12"/>
        <v>100</v>
      </c>
      <c r="T39" s="953" t="s">
        <v>1279</v>
      </c>
      <c r="U39" s="954">
        <f t="shared" si="13"/>
        <v>100</v>
      </c>
      <c r="V39" s="953" t="s">
        <v>1279</v>
      </c>
      <c r="W39" s="954">
        <f t="shared" si="14"/>
        <v>100</v>
      </c>
      <c r="X39" s="940"/>
      <c r="Y39" s="920" t="s">
        <v>1296</v>
      </c>
      <c r="Z39" s="864" t="str">
        <f t="shared" si="15"/>
        <v>物业管理</v>
      </c>
      <c r="AA39" s="969">
        <f t="shared" si="3"/>
        <v>1</v>
      </c>
      <c r="AB39" s="969">
        <f t="shared" si="4"/>
        <v>1</v>
      </c>
      <c r="AC39" s="969">
        <f t="shared" si="5"/>
        <v>1</v>
      </c>
    </row>
    <row r="40" ht="15" spans="1:29">
      <c r="A40" s="823"/>
      <c r="B40" s="772" t="s">
        <v>1303</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1279</v>
      </c>
      <c r="S40" s="954">
        <f t="shared" si="12"/>
        <v>100</v>
      </c>
      <c r="T40" s="953" t="s">
        <v>1279</v>
      </c>
      <c r="U40" s="954">
        <f t="shared" si="13"/>
        <v>100</v>
      </c>
      <c r="V40" s="953" t="s">
        <v>1279</v>
      </c>
      <c r="W40" s="954">
        <f t="shared" si="14"/>
        <v>100</v>
      </c>
      <c r="X40" s="940"/>
      <c r="Y40" s="920"/>
      <c r="Z40" s="864" t="str">
        <f t="shared" si="15"/>
        <v>市政基础设施</v>
      </c>
      <c r="AA40" s="969">
        <f t="shared" si="3"/>
        <v>1</v>
      </c>
      <c r="AB40" s="969">
        <f t="shared" si="4"/>
        <v>1</v>
      </c>
      <c r="AC40" s="969">
        <f t="shared" si="5"/>
        <v>1</v>
      </c>
    </row>
    <row r="41" ht="15" spans="1:29">
      <c r="A41" s="823"/>
      <c r="B41" s="772" t="s">
        <v>1354</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1279</v>
      </c>
      <c r="S41" s="954">
        <f t="shared" si="12"/>
        <v>100</v>
      </c>
      <c r="T41" s="953" t="s">
        <v>1279</v>
      </c>
      <c r="U41" s="954">
        <f t="shared" si="13"/>
        <v>100</v>
      </c>
      <c r="V41" s="953" t="s">
        <v>1279</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1362</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1279</v>
      </c>
      <c r="S42" s="956">
        <f t="shared" si="12"/>
        <v>100</v>
      </c>
      <c r="T42" s="955" t="s">
        <v>1279</v>
      </c>
      <c r="U42" s="956">
        <f t="shared" si="13"/>
        <v>100</v>
      </c>
      <c r="V42" s="955" t="s">
        <v>1279</v>
      </c>
      <c r="W42" s="956">
        <f t="shared" si="14"/>
        <v>100</v>
      </c>
      <c r="X42" s="957"/>
      <c r="Y42" s="920"/>
      <c r="Z42" s="970" t="str">
        <f t="shared" si="15"/>
        <v>单套建筑面积</v>
      </c>
      <c r="AA42" s="969">
        <f t="shared" si="3"/>
        <v>1</v>
      </c>
      <c r="AB42" s="969">
        <f t="shared" si="4"/>
        <v>1</v>
      </c>
      <c r="AC42" s="969">
        <f t="shared" si="5"/>
        <v>1</v>
      </c>
    </row>
    <row r="43" ht="15" spans="1:29">
      <c r="A43" s="823"/>
      <c r="B43" s="772" t="s">
        <v>1306</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1279</v>
      </c>
      <c r="S43" s="954">
        <f t="shared" si="12"/>
        <v>100</v>
      </c>
      <c r="T43" s="953" t="s">
        <v>1279</v>
      </c>
      <c r="U43" s="954">
        <f t="shared" si="13"/>
        <v>100</v>
      </c>
      <c r="V43" s="953" t="s">
        <v>1279</v>
      </c>
      <c r="W43" s="954">
        <f t="shared" si="14"/>
        <v>100</v>
      </c>
      <c r="X43" s="940"/>
      <c r="Y43" s="920"/>
      <c r="Z43" s="864" t="str">
        <f t="shared" si="15"/>
        <v>内部装修</v>
      </c>
      <c r="AA43" s="969">
        <f t="shared" si="3"/>
        <v>1</v>
      </c>
      <c r="AB43" s="969">
        <f t="shared" si="4"/>
        <v>1</v>
      </c>
      <c r="AC43" s="969">
        <f t="shared" si="5"/>
        <v>1</v>
      </c>
    </row>
    <row r="44" ht="15"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1279</v>
      </c>
      <c r="S44" s="954">
        <f t="shared" si="12"/>
        <v>100</v>
      </c>
      <c r="T44" s="953" t="s">
        <v>1279</v>
      </c>
      <c r="U44" s="954">
        <f t="shared" si="13"/>
        <v>100</v>
      </c>
      <c r="V44" s="953" t="s">
        <v>1279</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1279</v>
      </c>
      <c r="S45" s="949">
        <f t="shared" si="12"/>
        <v>100</v>
      </c>
      <c r="T45" s="948" t="s">
        <v>1279</v>
      </c>
      <c r="U45" s="949">
        <f t="shared" si="13"/>
        <v>100</v>
      </c>
      <c r="V45" s="948" t="s">
        <v>1279</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1279</v>
      </c>
      <c r="S46" s="954">
        <f t="shared" si="12"/>
        <v>100</v>
      </c>
      <c r="T46" s="953" t="s">
        <v>1279</v>
      </c>
      <c r="U46" s="954">
        <f t="shared" si="13"/>
        <v>100</v>
      </c>
      <c r="V46" s="953" t="s">
        <v>1279</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1279</v>
      </c>
      <c r="S47" s="954">
        <f t="shared" si="12"/>
        <v>100</v>
      </c>
      <c r="T47" s="953" t="s">
        <v>1279</v>
      </c>
      <c r="U47" s="954">
        <f t="shared" si="13"/>
        <v>100</v>
      </c>
      <c r="V47" s="953" t="s">
        <v>1279</v>
      </c>
      <c r="W47" s="954">
        <f t="shared" si="14"/>
        <v>100</v>
      </c>
      <c r="X47" s="940"/>
      <c r="Y47" s="1297"/>
      <c r="Z47" s="864">
        <f t="shared" si="15"/>
        <v>111</v>
      </c>
      <c r="AA47" s="969">
        <f t="shared" si="3"/>
        <v>1</v>
      </c>
      <c r="AB47" s="969">
        <f t="shared" si="4"/>
        <v>1</v>
      </c>
      <c r="AC47" s="969">
        <f t="shared" si="5"/>
        <v>1</v>
      </c>
    </row>
    <row r="48" ht="15" spans="1:29">
      <c r="A48" s="833" t="s">
        <v>1307</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75" spans="1:29">
      <c r="A49" s="841" t="s">
        <v>1308</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75" spans="1:29">
      <c r="A50" s="847" t="s">
        <v>1309</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1310</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1311</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1312</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 spans="1:17">
      <c r="A58" s="879" t="s">
        <v>1313</v>
      </c>
      <c r="B58" s="880"/>
      <c r="C58" s="881"/>
      <c r="D58" s="881"/>
      <c r="E58" s="881"/>
      <c r="F58" s="882"/>
      <c r="G58" s="882"/>
      <c r="H58" s="881"/>
      <c r="I58" s="881"/>
      <c r="J58" s="881"/>
      <c r="K58" s="1197"/>
      <c r="L58" s="1198"/>
      <c r="M58" s="881"/>
      <c r="N58" s="881"/>
      <c r="O58" s="881"/>
      <c r="P58" s="936"/>
      <c r="Q58" s="961"/>
    </row>
    <row r="59" s="727" customFormat="1" ht="15" spans="1:16">
      <c r="A59" s="1184" t="s">
        <v>1277</v>
      </c>
      <c r="B59" s="1185"/>
      <c r="C59" s="1186" t="str">
        <f>YEAR(C7)&amp;"-"&amp;MONTH(C7)</f>
        <v>2018-11</v>
      </c>
      <c r="D59" s="1187">
        <f>EDATE(C59,-1)</f>
        <v>43374</v>
      </c>
      <c r="E59" s="1187">
        <f t="shared" ref="E59:O59" si="16">EDATE(D59,-1)</f>
        <v>43344</v>
      </c>
      <c r="F59" s="1187">
        <f t="shared" si="16"/>
        <v>43313</v>
      </c>
      <c r="G59" s="1187">
        <f t="shared" si="16"/>
        <v>43282</v>
      </c>
      <c r="H59" s="1187">
        <f t="shared" si="16"/>
        <v>43252</v>
      </c>
      <c r="I59" s="1187">
        <f t="shared" si="16"/>
        <v>43221</v>
      </c>
      <c r="J59" s="1187">
        <f t="shared" si="16"/>
        <v>43191</v>
      </c>
      <c r="K59" s="1187">
        <f t="shared" si="16"/>
        <v>43160</v>
      </c>
      <c r="L59" s="1187">
        <f t="shared" si="16"/>
        <v>43132</v>
      </c>
      <c r="M59" s="1187">
        <f t="shared" si="16"/>
        <v>43101</v>
      </c>
      <c r="N59" s="1187">
        <f t="shared" si="16"/>
        <v>43070</v>
      </c>
      <c r="O59" s="1187">
        <f t="shared" si="16"/>
        <v>43040</v>
      </c>
      <c r="P59" s="1027"/>
    </row>
    <row r="60" s="722" customFormat="1" ht="15" spans="1:16">
      <c r="A60" s="1188"/>
      <c r="B60" s="983"/>
      <c r="C60" s="986">
        <v>100</v>
      </c>
      <c r="D60" s="987"/>
      <c r="E60" s="987"/>
      <c r="F60" s="987"/>
      <c r="G60" s="987"/>
      <c r="H60" s="987"/>
      <c r="I60" s="987"/>
      <c r="J60" s="987"/>
      <c r="K60" s="987"/>
      <c r="L60" s="987"/>
      <c r="M60" s="1199"/>
      <c r="N60" s="987"/>
      <c r="O60" s="1036"/>
      <c r="P60" s="961"/>
    </row>
    <row r="61" s="722" customFormat="1" ht="15.75" spans="1:17">
      <c r="A61" s="978" t="s">
        <v>1314</v>
      </c>
      <c r="B61" s="979"/>
      <c r="C61" s="980"/>
      <c r="D61" s="981"/>
      <c r="E61" s="981"/>
      <c r="F61" s="981"/>
      <c r="G61" s="981"/>
      <c r="H61" s="981"/>
      <c r="I61" s="981"/>
      <c r="J61" s="981"/>
      <c r="K61" s="981"/>
      <c r="L61" s="981"/>
      <c r="M61" s="1030"/>
      <c r="N61" s="981"/>
      <c r="O61" s="1200"/>
      <c r="P61" s="961"/>
      <c r="Q61" s="961"/>
    </row>
    <row r="62" s="722" customFormat="1" ht="15" spans="1:17">
      <c r="A62" s="982" t="s">
        <v>1280</v>
      </c>
      <c r="B62" s="983"/>
      <c r="C62" s="984" t="s">
        <v>1281</v>
      </c>
      <c r="D62" s="985"/>
      <c r="E62" s="985"/>
      <c r="F62" s="985"/>
      <c r="G62" s="985"/>
      <c r="H62" s="985"/>
      <c r="I62" s="985"/>
      <c r="J62" s="985"/>
      <c r="K62" s="985"/>
      <c r="L62" s="1032"/>
      <c r="M62" s="1033"/>
      <c r="N62" s="1034"/>
      <c r="O62" s="1034"/>
      <c r="P62" s="1035"/>
      <c r="Q62" s="961"/>
    </row>
    <row r="63" s="722" customFormat="1" ht="15.75" spans="1:17">
      <c r="A63" s="982"/>
      <c r="B63" s="983"/>
      <c r="C63" s="1304">
        <v>100</v>
      </c>
      <c r="D63" s="987"/>
      <c r="E63" s="987"/>
      <c r="F63" s="987"/>
      <c r="G63" s="987"/>
      <c r="H63" s="987"/>
      <c r="I63" s="987"/>
      <c r="J63" s="987"/>
      <c r="K63" s="987"/>
      <c r="L63" s="987"/>
      <c r="M63" s="1036"/>
      <c r="N63" s="1034"/>
      <c r="O63" s="1034"/>
      <c r="P63" s="961"/>
      <c r="Q63" s="961"/>
    </row>
    <row r="64" spans="1:17">
      <c r="A64" s="988" t="s">
        <v>1315</v>
      </c>
      <c r="B64" s="989" t="s">
        <v>1284</v>
      </c>
      <c r="C64" s="1011">
        <f>C9</f>
        <v>0</v>
      </c>
      <c r="D64" s="921"/>
      <c r="E64" s="921"/>
      <c r="F64" s="921"/>
      <c r="G64" s="921"/>
      <c r="H64" s="921"/>
      <c r="I64" s="921"/>
      <c r="J64" s="921"/>
      <c r="K64" s="1037"/>
      <c r="L64" s="1038"/>
      <c r="M64" s="1039"/>
      <c r="N64" s="1040"/>
      <c r="O64" s="1040"/>
      <c r="P64" s="1041"/>
      <c r="Q64" s="961"/>
    </row>
    <row r="65" ht="15.75" spans="1:17">
      <c r="A65" s="990"/>
      <c r="B65" s="991"/>
      <c r="C65" s="992">
        <v>100</v>
      </c>
      <c r="D65" s="992"/>
      <c r="E65" s="992"/>
      <c r="F65" s="992"/>
      <c r="G65" s="992"/>
      <c r="H65" s="992"/>
      <c r="I65" s="992"/>
      <c r="J65" s="992"/>
      <c r="K65" s="992"/>
      <c r="L65" s="992"/>
      <c r="M65" s="1042"/>
      <c r="N65" s="1043"/>
      <c r="O65" s="1043"/>
      <c r="P65" s="1041"/>
      <c r="Q65" s="961"/>
    </row>
    <row r="66" ht="27.75" spans="1:17">
      <c r="A66" s="990"/>
      <c r="B66" s="993" t="s">
        <v>1287</v>
      </c>
      <c r="C66" s="994" t="s">
        <v>1316</v>
      </c>
      <c r="D66" s="994" t="s">
        <v>1317</v>
      </c>
      <c r="E66" s="994" t="s">
        <v>1318</v>
      </c>
      <c r="F66" s="994" t="s">
        <v>1319</v>
      </c>
      <c r="G66" s="994" t="s">
        <v>1320</v>
      </c>
      <c r="H66" s="994" t="s">
        <v>1321</v>
      </c>
      <c r="I66" s="994" t="s">
        <v>1322</v>
      </c>
      <c r="J66" s="994"/>
      <c r="K66" s="1044"/>
      <c r="L66" s="1045"/>
      <c r="M66" s="1046"/>
      <c r="N66" s="1040"/>
      <c r="O66" s="1040"/>
      <c r="P66" s="1041"/>
      <c r="Q66" s="961"/>
    </row>
    <row r="67" ht="15.75" spans="1:17">
      <c r="A67" s="990"/>
      <c r="B67" s="995"/>
      <c r="C67" s="996" t="s">
        <v>1358</v>
      </c>
      <c r="D67" s="996" t="s">
        <v>1358</v>
      </c>
      <c r="E67" s="996">
        <v>100</v>
      </c>
      <c r="F67" s="996">
        <f>E67-$K10</f>
        <v>100</v>
      </c>
      <c r="G67" s="996">
        <f>F67-$K10</f>
        <v>100</v>
      </c>
      <c r="H67" s="996">
        <f>G67-$K10</f>
        <v>100</v>
      </c>
      <c r="I67" s="996">
        <f>H67-$K10</f>
        <v>100</v>
      </c>
      <c r="J67" s="996"/>
      <c r="K67" s="996"/>
      <c r="L67" s="996"/>
      <c r="M67" s="1047"/>
      <c r="N67" s="1043"/>
      <c r="O67" s="1043"/>
      <c r="P67" s="1041"/>
      <c r="Q67" s="961"/>
    </row>
    <row r="68" ht="15.75" spans="1:17">
      <c r="A68" s="990"/>
      <c r="B68" s="997" t="s">
        <v>1288</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ht="15" spans="1:17">
      <c r="A69" s="990"/>
      <c r="B69" s="999"/>
      <c r="C69" s="781"/>
      <c r="D69" s="781"/>
      <c r="E69" s="781"/>
      <c r="F69" s="781"/>
      <c r="G69" s="781"/>
      <c r="H69" s="781"/>
      <c r="I69" s="781"/>
      <c r="J69" s="781"/>
      <c r="K69" s="1048"/>
      <c r="L69" s="1049"/>
      <c r="M69" s="1050"/>
      <c r="N69" s="1040"/>
      <c r="O69" s="1040"/>
      <c r="P69" s="1041"/>
      <c r="Q69" s="961"/>
    </row>
    <row r="70" ht="15.7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5.75" spans="1:17">
      <c r="A71" s="1000"/>
      <c r="B71" s="993">
        <f>B12</f>
        <v>111</v>
      </c>
      <c r="C71" s="1001"/>
      <c r="D71" s="1001"/>
      <c r="E71" s="1001"/>
      <c r="F71" s="1001"/>
      <c r="G71" s="1001"/>
      <c r="H71" s="1002"/>
      <c r="I71" s="1002"/>
      <c r="J71" s="1002"/>
      <c r="K71" s="1002"/>
      <c r="L71" s="1051"/>
      <c r="M71" s="1052"/>
      <c r="N71" s="1053"/>
      <c r="O71" s="1053"/>
      <c r="P71" s="1054"/>
      <c r="Q71" s="1084"/>
    </row>
    <row r="72" s="724" customFormat="1" ht="15.75" spans="1:17">
      <c r="A72" s="1000"/>
      <c r="B72" s="995"/>
      <c r="C72" s="1003"/>
      <c r="D72" s="992"/>
      <c r="E72" s="992"/>
      <c r="F72" s="992"/>
      <c r="G72" s="992"/>
      <c r="H72" s="992"/>
      <c r="I72" s="992"/>
      <c r="J72" s="992"/>
      <c r="K72" s="992"/>
      <c r="L72" s="992"/>
      <c r="M72" s="1042"/>
      <c r="N72" s="1043"/>
      <c r="O72" s="1043"/>
      <c r="P72" s="1054"/>
      <c r="Q72" s="1084"/>
    </row>
    <row r="73" s="724" customFormat="1" ht="15.75" spans="1:17">
      <c r="A73" s="1000"/>
      <c r="B73" s="993">
        <f>B13</f>
        <v>111</v>
      </c>
      <c r="C73" s="1001"/>
      <c r="D73" s="1001"/>
      <c r="E73" s="1001"/>
      <c r="F73" s="1001"/>
      <c r="G73" s="1001"/>
      <c r="H73" s="1002"/>
      <c r="I73" s="1002"/>
      <c r="J73" s="1002"/>
      <c r="K73" s="1002"/>
      <c r="L73" s="1051"/>
      <c r="M73" s="1052"/>
      <c r="N73" s="1053"/>
      <c r="O73" s="1053"/>
      <c r="P73" s="1055"/>
      <c r="Q73" s="1085"/>
    </row>
    <row r="74" s="724" customFormat="1" ht="15.75" spans="1:17">
      <c r="A74" s="1000"/>
      <c r="B74" s="995"/>
      <c r="C74" s="1003"/>
      <c r="D74" s="1003"/>
      <c r="E74" s="1003"/>
      <c r="F74" s="1003"/>
      <c r="G74" s="1003"/>
      <c r="H74" s="1004"/>
      <c r="I74" s="1004"/>
      <c r="J74" s="1004"/>
      <c r="K74" s="1004"/>
      <c r="L74" s="1004"/>
      <c r="M74" s="1056"/>
      <c r="N74" s="1053"/>
      <c r="O74" s="1053"/>
      <c r="P74" s="1054"/>
      <c r="Q74" s="1084"/>
    </row>
    <row r="75" s="724" customFormat="1" ht="15.75" spans="1:17">
      <c r="A75" s="1000"/>
      <c r="B75" s="997">
        <f>B14</f>
        <v>111</v>
      </c>
      <c r="C75" s="985"/>
      <c r="D75" s="985"/>
      <c r="E75" s="985"/>
      <c r="F75" s="985"/>
      <c r="G75" s="985"/>
      <c r="H75" s="1005"/>
      <c r="I75" s="1005"/>
      <c r="J75" s="1005"/>
      <c r="K75" s="1005"/>
      <c r="L75" s="1057"/>
      <c r="M75" s="1058"/>
      <c r="N75" s="1053"/>
      <c r="O75" s="1053"/>
      <c r="P75" s="1059"/>
      <c r="Q75" s="1084"/>
    </row>
    <row r="76" s="724" customFormat="1" ht="15.75" spans="1:17">
      <c r="A76" s="1006"/>
      <c r="B76" s="1007"/>
      <c r="C76" s="1008"/>
      <c r="D76" s="1008"/>
      <c r="E76" s="1008"/>
      <c r="F76" s="1008"/>
      <c r="G76" s="1008"/>
      <c r="H76" s="1009"/>
      <c r="I76" s="1009"/>
      <c r="J76" s="1009"/>
      <c r="K76" s="1009"/>
      <c r="L76" s="1009"/>
      <c r="M76" s="1060"/>
      <c r="N76" s="1053"/>
      <c r="O76" s="1053"/>
      <c r="P76" s="1054"/>
      <c r="Q76" s="1084"/>
    </row>
    <row r="77" spans="1:17">
      <c r="A77" s="988" t="s">
        <v>1289</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5.7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7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5.7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7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5.7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75" spans="1:17">
      <c r="A83" s="990"/>
      <c r="B83" s="997" t="s">
        <v>214</v>
      </c>
      <c r="C83" s="994" t="s">
        <v>1323</v>
      </c>
      <c r="D83" s="994" t="s">
        <v>1324</v>
      </c>
      <c r="E83" s="994" t="s">
        <v>1325</v>
      </c>
      <c r="F83" s="994" t="s">
        <v>1326</v>
      </c>
      <c r="G83" s="994" t="s">
        <v>1327</v>
      </c>
      <c r="H83" s="994"/>
      <c r="I83" s="994"/>
      <c r="J83" s="994"/>
      <c r="K83" s="994"/>
      <c r="L83" s="994"/>
      <c r="M83" s="1126"/>
      <c r="N83" s="1043"/>
      <c r="O83" s="1043"/>
      <c r="P83" s="1041"/>
      <c r="Q83" s="961"/>
    </row>
    <row r="84" ht="15.7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7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7.75" spans="1:17">
      <c r="A87" s="1013"/>
      <c r="B87" s="993" t="s">
        <v>568</v>
      </c>
      <c r="C87" s="1001"/>
      <c r="D87" s="1001"/>
      <c r="E87" s="1001"/>
      <c r="F87" s="1001"/>
      <c r="G87" s="1001"/>
      <c r="H87" s="1001"/>
      <c r="I87" s="1001"/>
      <c r="J87" s="1001"/>
      <c r="K87" s="1001"/>
      <c r="L87" s="1205"/>
      <c r="M87" s="1206"/>
      <c r="N87" s="1034"/>
      <c r="O87" s="1034"/>
      <c r="P87" s="1041"/>
      <c r="Q87" s="961"/>
    </row>
    <row r="88" s="722" customFormat="1" ht="15.7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7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5.7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7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5.7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5.75" spans="1:17">
      <c r="A93" s="990"/>
      <c r="B93" s="993">
        <f>B29</f>
        <v>111</v>
      </c>
      <c r="C93" s="1001"/>
      <c r="D93" s="1001"/>
      <c r="E93" s="1001"/>
      <c r="F93" s="1001"/>
      <c r="G93" s="1001"/>
      <c r="H93" s="1001"/>
      <c r="I93" s="1001"/>
      <c r="J93" s="1001"/>
      <c r="K93" s="1001"/>
      <c r="L93" s="1205"/>
      <c r="M93" s="1206"/>
      <c r="N93" s="1040"/>
      <c r="O93" s="1040"/>
      <c r="P93" s="1041"/>
      <c r="Q93" s="961"/>
    </row>
    <row r="94" ht="15.75" spans="1:17">
      <c r="A94" s="990"/>
      <c r="B94" s="995"/>
      <c r="C94" s="1003"/>
      <c r="D94" s="992"/>
      <c r="E94" s="992"/>
      <c r="F94" s="992"/>
      <c r="G94" s="992"/>
      <c r="H94" s="992"/>
      <c r="I94" s="992"/>
      <c r="J94" s="992"/>
      <c r="K94" s="992"/>
      <c r="L94" s="992"/>
      <c r="M94" s="1042"/>
      <c r="N94" s="1043"/>
      <c r="O94" s="1043"/>
      <c r="P94" s="1041"/>
      <c r="Q94" s="961"/>
    </row>
    <row r="95" ht="15.75" spans="1:17">
      <c r="A95" s="990"/>
      <c r="B95" s="993">
        <f>B30</f>
        <v>111</v>
      </c>
      <c r="C95" s="1001"/>
      <c r="D95" s="1001"/>
      <c r="E95" s="1001"/>
      <c r="F95" s="1001"/>
      <c r="G95" s="1017"/>
      <c r="H95" s="1017"/>
      <c r="I95" s="1017"/>
      <c r="J95" s="1017"/>
      <c r="K95" s="1071"/>
      <c r="L95" s="1072"/>
      <c r="M95" s="1073"/>
      <c r="N95" s="1040"/>
      <c r="O95" s="1040"/>
      <c r="P95" s="1041"/>
      <c r="Q95" s="961"/>
    </row>
    <row r="96" ht="15.75" spans="1:17">
      <c r="A96" s="990"/>
      <c r="B96" s="995"/>
      <c r="C96" s="1003"/>
      <c r="D96" s="1003"/>
      <c r="E96" s="1003"/>
      <c r="F96" s="1003"/>
      <c r="G96" s="992"/>
      <c r="H96" s="992"/>
      <c r="I96" s="992"/>
      <c r="J96" s="992"/>
      <c r="K96" s="992"/>
      <c r="L96" s="992"/>
      <c r="M96" s="1042"/>
      <c r="N96" s="1043"/>
      <c r="O96" s="1043"/>
      <c r="P96" s="1041"/>
      <c r="Q96" s="961"/>
    </row>
    <row r="97" ht="15.75" spans="1:17">
      <c r="A97" s="990"/>
      <c r="B97" s="993">
        <f>B31</f>
        <v>111</v>
      </c>
      <c r="C97" s="1001"/>
      <c r="D97" s="1001"/>
      <c r="E97" s="1001"/>
      <c r="F97" s="1001"/>
      <c r="G97" s="1017"/>
      <c r="H97" s="1017"/>
      <c r="I97" s="1017"/>
      <c r="J97" s="1017"/>
      <c r="K97" s="1071"/>
      <c r="L97" s="1072"/>
      <c r="M97" s="1073"/>
      <c r="N97" s="1040"/>
      <c r="O97" s="1040"/>
      <c r="P97" s="1041"/>
      <c r="Q97" s="961"/>
    </row>
    <row r="98" ht="15.75" spans="1:17">
      <c r="A98" s="990"/>
      <c r="B98" s="995"/>
      <c r="C98" s="1003"/>
      <c r="D98" s="992"/>
      <c r="E98" s="992"/>
      <c r="F98" s="992"/>
      <c r="G98" s="992"/>
      <c r="H98" s="992"/>
      <c r="I98" s="992"/>
      <c r="J98" s="992"/>
      <c r="K98" s="992"/>
      <c r="L98" s="992"/>
      <c r="M98" s="1042"/>
      <c r="N98" s="1043"/>
      <c r="O98" s="1043"/>
      <c r="P98" s="1041"/>
      <c r="Q98" s="961"/>
    </row>
    <row r="99" ht="15.75" spans="1:17">
      <c r="A99" s="990"/>
      <c r="B99" s="997">
        <f>B32</f>
        <v>111</v>
      </c>
      <c r="C99" s="985"/>
      <c r="D99" s="985"/>
      <c r="E99" s="985"/>
      <c r="F99" s="985"/>
      <c r="G99" s="1018"/>
      <c r="H99" s="1018"/>
      <c r="I99" s="1018"/>
      <c r="J99" s="1018"/>
      <c r="K99" s="1074"/>
      <c r="L99" s="1075"/>
      <c r="M99" s="1076"/>
      <c r="N99" s="1040"/>
      <c r="O99" s="1040"/>
      <c r="P99" s="1041"/>
      <c r="Q99" s="961"/>
    </row>
    <row r="100" ht="15.75" spans="1:17">
      <c r="A100" s="1298"/>
      <c r="B100" s="1007"/>
      <c r="C100" s="1008"/>
      <c r="D100" s="1008"/>
      <c r="E100" s="1008"/>
      <c r="F100" s="1008"/>
      <c r="G100" s="1019"/>
      <c r="H100" s="1019"/>
      <c r="I100" s="1019"/>
      <c r="J100" s="1019"/>
      <c r="K100" s="1019"/>
      <c r="L100" s="1019"/>
      <c r="M100" s="1077"/>
      <c r="N100" s="1043"/>
      <c r="O100" s="1043"/>
      <c r="P100" s="1041"/>
      <c r="Q100" s="961"/>
    </row>
    <row r="101" spans="1:17">
      <c r="A101" s="988" t="s">
        <v>1294</v>
      </c>
      <c r="B101" s="989" t="s">
        <v>1295</v>
      </c>
      <c r="C101" s="921"/>
      <c r="D101" s="921"/>
      <c r="E101" s="921"/>
      <c r="F101" s="921"/>
      <c r="G101" s="921"/>
      <c r="H101" s="921"/>
      <c r="I101" s="921"/>
      <c r="J101" s="921"/>
      <c r="K101" s="1037"/>
      <c r="L101" s="1038"/>
      <c r="M101" s="1039"/>
      <c r="N101" s="1040"/>
      <c r="O101" s="1040"/>
      <c r="P101" s="1041"/>
      <c r="Q101" s="961"/>
    </row>
    <row r="102" ht="15.7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75" spans="1:17">
      <c r="A103" s="990"/>
      <c r="B103" s="993" t="s">
        <v>1297</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ht="15" spans="1:17">
      <c r="A104" s="1020"/>
      <c r="B104" s="1021"/>
      <c r="C104" s="977"/>
      <c r="D104" s="977"/>
      <c r="E104" s="977"/>
      <c r="F104" s="977"/>
      <c r="G104" s="977"/>
      <c r="H104" s="977"/>
      <c r="I104" s="977"/>
      <c r="J104" s="1078"/>
      <c r="K104" s="1078"/>
      <c r="L104" s="1079"/>
      <c r="M104" s="1080"/>
      <c r="N104" s="1053"/>
      <c r="O104" s="1053"/>
      <c r="P104" s="1054"/>
      <c r="Q104" s="1084"/>
    </row>
    <row r="105" s="724" customFormat="1" ht="15.75" spans="1:17">
      <c r="A105" s="1000"/>
      <c r="B105" s="995"/>
      <c r="C105" s="1003"/>
      <c r="D105" s="992"/>
      <c r="E105" s="992"/>
      <c r="F105" s="992"/>
      <c r="G105" s="992"/>
      <c r="H105" s="992"/>
      <c r="I105" s="992"/>
      <c r="J105" s="992"/>
      <c r="K105" s="992"/>
      <c r="L105" s="992"/>
      <c r="M105" s="1042"/>
      <c r="N105" s="1043"/>
      <c r="O105" s="1043"/>
      <c r="P105" s="1054"/>
      <c r="Q105" s="1084"/>
    </row>
    <row r="106" ht="15.75" spans="1:17">
      <c r="A106" s="1024"/>
      <c r="B106" s="993" t="s">
        <v>1298</v>
      </c>
      <c r="C106" s="1001"/>
      <c r="D106" s="1001"/>
      <c r="E106" s="1017"/>
      <c r="F106" s="1017"/>
      <c r="G106" s="1017"/>
      <c r="H106" s="1017"/>
      <c r="I106" s="1017"/>
      <c r="J106" s="1017"/>
      <c r="K106" s="1071"/>
      <c r="L106" s="1072"/>
      <c r="M106" s="1073"/>
      <c r="N106" s="1040"/>
      <c r="O106" s="1040"/>
      <c r="P106" s="1041"/>
      <c r="Q106" s="961"/>
    </row>
    <row r="107" ht="15.7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75" spans="1:17">
      <c r="A108" s="1024"/>
      <c r="B108" s="993" t="s">
        <v>1300</v>
      </c>
      <c r="C108" s="1001"/>
      <c r="D108" s="1001"/>
      <c r="E108" s="1001"/>
      <c r="F108" s="1017"/>
      <c r="G108" s="1017"/>
      <c r="H108" s="1017"/>
      <c r="I108" s="1017"/>
      <c r="J108" s="1017"/>
      <c r="K108" s="1071"/>
      <c r="L108" s="1072"/>
      <c r="M108" s="1073"/>
      <c r="N108" s="1040"/>
      <c r="O108" s="1040"/>
      <c r="P108" s="1041"/>
      <c r="Q108" s="961"/>
    </row>
    <row r="109" ht="15.7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75" spans="1:17">
      <c r="A110" s="1024"/>
      <c r="B110" s="993" t="s">
        <v>1301</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ht="15"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5.7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75" spans="1:17">
      <c r="A113" s="1020"/>
      <c r="B113" s="993" t="s">
        <v>1361</v>
      </c>
      <c r="C113" s="1001"/>
      <c r="D113" s="1001"/>
      <c r="E113" s="1001"/>
      <c r="F113" s="1001"/>
      <c r="G113" s="1001"/>
      <c r="H113" s="1017"/>
      <c r="I113" s="1017"/>
      <c r="J113" s="1017"/>
      <c r="K113" s="1071"/>
      <c r="L113" s="1072"/>
      <c r="M113" s="1073"/>
      <c r="N113" s="1053"/>
      <c r="O113" s="1053"/>
      <c r="P113" s="1054"/>
      <c r="Q113" s="1084"/>
    </row>
    <row r="114" s="724" customFormat="1" ht="15.7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75" spans="1:17">
      <c r="A115" s="1024"/>
      <c r="B115" s="993" t="s">
        <v>1302</v>
      </c>
      <c r="C115" s="1001"/>
      <c r="D115" s="1001"/>
      <c r="E115" s="1017"/>
      <c r="F115" s="1017"/>
      <c r="G115" s="1017"/>
      <c r="H115" s="1017"/>
      <c r="I115" s="1017"/>
      <c r="J115" s="1017"/>
      <c r="K115" s="1071"/>
      <c r="L115" s="1072"/>
      <c r="M115" s="1073"/>
      <c r="N115" s="1040"/>
      <c r="O115" s="1040"/>
      <c r="P115" s="1041"/>
      <c r="Q115" s="961"/>
    </row>
    <row r="116" ht="15.7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75" spans="1:17">
      <c r="A117" s="1024"/>
      <c r="B117" s="993" t="s">
        <v>1303</v>
      </c>
      <c r="C117" s="1001"/>
      <c r="D117" s="1001"/>
      <c r="E117" s="1001"/>
      <c r="F117" s="1001"/>
      <c r="G117" s="1001"/>
      <c r="H117" s="1017"/>
      <c r="I117" s="1017"/>
      <c r="J117" s="1017"/>
      <c r="K117" s="1071"/>
      <c r="L117" s="1072"/>
      <c r="M117" s="1073"/>
      <c r="N117" s="1040"/>
      <c r="O117" s="1040"/>
      <c r="P117" s="1041"/>
      <c r="Q117" s="961"/>
    </row>
    <row r="118" ht="15.7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75" spans="1:17">
      <c r="A119" s="1024"/>
      <c r="B119" s="1204" t="s">
        <v>1363</v>
      </c>
      <c r="C119" s="1017"/>
      <c r="D119" s="1017"/>
      <c r="E119" s="1017"/>
      <c r="F119" s="1017"/>
      <c r="G119" s="1017"/>
      <c r="H119" s="1017"/>
      <c r="I119" s="1017"/>
      <c r="J119" s="1017"/>
      <c r="K119" s="1017"/>
      <c r="L119" s="1316"/>
      <c r="M119" s="1317"/>
      <c r="N119" s="1043"/>
      <c r="O119" s="1043"/>
      <c r="P119" s="1210"/>
      <c r="Q119" s="1211"/>
    </row>
    <row r="120" ht="15.7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75" spans="1:17">
      <c r="A121" s="1020"/>
      <c r="B121" s="993" t="s">
        <v>1355</v>
      </c>
      <c r="C121" s="1001"/>
      <c r="D121" s="1001"/>
      <c r="E121" s="1001"/>
      <c r="F121" s="1017"/>
      <c r="G121" s="1002"/>
      <c r="H121" s="1002"/>
      <c r="I121" s="1002"/>
      <c r="J121" s="1002"/>
      <c r="K121" s="1002"/>
      <c r="L121" s="1051"/>
      <c r="M121" s="1052"/>
      <c r="N121" s="1053"/>
      <c r="O121" s="1053"/>
      <c r="P121" s="1054"/>
      <c r="Q121" s="1084"/>
    </row>
    <row r="122" s="724" customFormat="1" ht="15.75" spans="1:17">
      <c r="A122" s="1000"/>
      <c r="B122" s="991"/>
      <c r="C122" s="1003"/>
      <c r="D122" s="1003"/>
      <c r="E122" s="1003"/>
      <c r="F122" s="1003"/>
      <c r="G122" s="1003"/>
      <c r="H122" s="1003"/>
      <c r="I122" s="1003"/>
      <c r="J122" s="1003"/>
      <c r="K122" s="1003"/>
      <c r="L122" s="1003"/>
      <c r="M122" s="1003"/>
      <c r="N122" s="1053"/>
      <c r="O122" s="1053"/>
      <c r="P122" s="1054"/>
      <c r="Q122" s="1084"/>
    </row>
    <row r="123" ht="15.75" spans="1:17">
      <c r="A123" s="1024"/>
      <c r="B123" s="993" t="s">
        <v>1306</v>
      </c>
      <c r="C123" s="1001"/>
      <c r="D123" s="1001"/>
      <c r="E123" s="1001"/>
      <c r="F123" s="1017"/>
      <c r="G123" s="1017"/>
      <c r="H123" s="1017"/>
      <c r="I123" s="1017"/>
      <c r="J123" s="1017"/>
      <c r="K123" s="1071"/>
      <c r="L123" s="1072"/>
      <c r="M123" s="1073"/>
      <c r="N123" s="1040"/>
      <c r="O123" s="1040"/>
      <c r="P123" s="1041"/>
      <c r="Q123" s="961"/>
    </row>
    <row r="124" ht="15.7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15.7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5.7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5.7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5.75" spans="1:17">
      <c r="A128" s="1000"/>
      <c r="B128" s="995"/>
      <c r="C128" s="1003"/>
      <c r="D128" s="992"/>
      <c r="E128" s="992"/>
      <c r="F128" s="992"/>
      <c r="G128" s="1003"/>
      <c r="H128" s="1004"/>
      <c r="I128" s="1004"/>
      <c r="J128" s="1004"/>
      <c r="K128" s="1004"/>
      <c r="L128" s="1004"/>
      <c r="M128" s="1056"/>
      <c r="N128" s="1053"/>
      <c r="O128" s="1053"/>
      <c r="P128" s="1054"/>
      <c r="Q128" s="1084"/>
    </row>
    <row r="129" ht="15.75" spans="1:17">
      <c r="A129" s="1024"/>
      <c r="B129" s="993">
        <f>B46</f>
        <v>111</v>
      </c>
      <c r="C129" s="1001"/>
      <c r="D129" s="1001"/>
      <c r="E129" s="1001"/>
      <c r="F129" s="1001"/>
      <c r="G129" s="1017"/>
      <c r="H129" s="1017"/>
      <c r="I129" s="1017"/>
      <c r="J129" s="1017"/>
      <c r="K129" s="1071"/>
      <c r="L129" s="1072"/>
      <c r="M129" s="1073"/>
      <c r="N129" s="1040"/>
      <c r="O129" s="1040"/>
      <c r="P129" s="1041"/>
      <c r="Q129" s="961"/>
    </row>
    <row r="130" ht="15.75" spans="1:17">
      <c r="A130" s="990"/>
      <c r="B130" s="995"/>
      <c r="C130" s="1003"/>
      <c r="D130" s="1003"/>
      <c r="E130" s="1003"/>
      <c r="F130" s="1003"/>
      <c r="G130" s="992"/>
      <c r="H130" s="992"/>
      <c r="I130" s="992"/>
      <c r="J130" s="992"/>
      <c r="K130" s="992"/>
      <c r="L130" s="992"/>
      <c r="M130" s="1042"/>
      <c r="N130" s="1043"/>
      <c r="O130" s="1043"/>
      <c r="P130" s="1041"/>
      <c r="Q130" s="961"/>
    </row>
    <row r="131" ht="15.75" spans="1:17">
      <c r="A131" s="1024"/>
      <c r="B131" s="997">
        <f>B47</f>
        <v>111</v>
      </c>
      <c r="C131" s="985"/>
      <c r="D131" s="985"/>
      <c r="E131" s="985"/>
      <c r="F131" s="985"/>
      <c r="G131" s="1018"/>
      <c r="H131" s="1018"/>
      <c r="I131" s="1018"/>
      <c r="J131" s="1018"/>
      <c r="K131" s="985"/>
      <c r="L131" s="1032"/>
      <c r="M131" s="1076"/>
      <c r="N131" s="1040"/>
      <c r="O131" s="1040"/>
      <c r="P131" s="1041"/>
      <c r="Q131" s="961"/>
    </row>
    <row r="132" ht="15.7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1364</v>
      </c>
      <c r="C1" s="1288"/>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828</v>
      </c>
      <c r="B3" s="740" t="e">
        <f ca="1">ROUND(IF(D2="——",C43,IF(C2="万元",B2*10000/D3,B2/D3)),0)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1282</v>
      </c>
      <c r="Q8" s="951"/>
      <c r="R8" s="948" t="s">
        <v>1279</v>
      </c>
      <c r="S8" s="949">
        <f t="shared" si="0"/>
        <v>100</v>
      </c>
      <c r="T8" s="948" t="s">
        <v>1279</v>
      </c>
      <c r="U8" s="949">
        <f t="shared" si="1"/>
        <v>100</v>
      </c>
      <c r="V8" s="948" t="s">
        <v>1279</v>
      </c>
      <c r="W8" s="949">
        <f t="shared" si="2"/>
        <v>100</v>
      </c>
      <c r="X8" s="950"/>
      <c r="Y8" s="899" t="s">
        <v>1282</v>
      </c>
      <c r="Z8" s="951"/>
      <c r="AA8" s="967">
        <f t="shared" ref="AA8:AA40" si="3">D8/F8</f>
        <v>1</v>
      </c>
      <c r="AB8" s="967">
        <f t="shared" ref="AB8:AB40" si="4">D8/H8</f>
        <v>1</v>
      </c>
      <c r="AC8" s="967">
        <f t="shared" ref="AC8:AC40" si="5">D8/J8</f>
        <v>1</v>
      </c>
    </row>
    <row r="9" s="722" customFormat="1" spans="1:29">
      <c r="A9" s="767" t="s">
        <v>1283</v>
      </c>
      <c r="B9" s="768" t="s">
        <v>1284</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0.5"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27"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67.5"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1279</v>
      </c>
      <c r="S25" s="954">
        <f>F25</f>
        <v>100</v>
      </c>
      <c r="T25" s="953" t="s">
        <v>1279</v>
      </c>
      <c r="U25" s="954">
        <f>H25</f>
        <v>100</v>
      </c>
      <c r="V25" s="953" t="s">
        <v>1279</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1279</v>
      </c>
      <c r="S26" s="954">
        <f>F26</f>
        <v>100</v>
      </c>
      <c r="T26" s="953" t="s">
        <v>1279</v>
      </c>
      <c r="U26" s="954">
        <f>H26</f>
        <v>100</v>
      </c>
      <c r="V26" s="953" t="s">
        <v>1279</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1279</v>
      </c>
      <c r="S27" s="949">
        <f>F27</f>
        <v>100</v>
      </c>
      <c r="T27" s="948" t="s">
        <v>1279</v>
      </c>
      <c r="U27" s="949">
        <f>H27</f>
        <v>100</v>
      </c>
      <c r="V27" s="948" t="s">
        <v>1279</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1279</v>
      </c>
      <c r="S28" s="954">
        <f t="shared" ref="S28:S40" si="12">F28</f>
        <v>100</v>
      </c>
      <c r="T28" s="953" t="s">
        <v>1279</v>
      </c>
      <c r="U28" s="954">
        <f t="shared" ref="U28:U40" si="13">H28</f>
        <v>100</v>
      </c>
      <c r="V28" s="953" t="s">
        <v>1279</v>
      </c>
      <c r="W28" s="954">
        <f t="shared" ref="W28:W40" si="14">J28</f>
        <v>100</v>
      </c>
      <c r="X28" s="940"/>
      <c r="Y28" s="911"/>
      <c r="Z28" s="864">
        <f t="shared" ref="Z28:Z40" si="15">Q28</f>
        <v>111</v>
      </c>
      <c r="AA28" s="969">
        <f t="shared" si="3"/>
        <v>1</v>
      </c>
      <c r="AB28" s="969">
        <f t="shared" si="4"/>
        <v>1</v>
      </c>
      <c r="AC28" s="969">
        <f t="shared" si="5"/>
        <v>1</v>
      </c>
    </row>
    <row r="29" ht="28.5" spans="1:29">
      <c r="A29" s="1161" t="s">
        <v>1294</v>
      </c>
      <c r="B29" s="768" t="s">
        <v>1295</v>
      </c>
      <c r="C29" s="1162" t="s">
        <v>1365</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1296</v>
      </c>
      <c r="Q29" s="503" t="str">
        <f t="shared" si="11"/>
        <v>建筑类型</v>
      </c>
      <c r="R29" s="953" t="s">
        <v>1279</v>
      </c>
      <c r="S29" s="954">
        <f t="shared" si="12"/>
        <v>100</v>
      </c>
      <c r="T29" s="953" t="s">
        <v>1279</v>
      </c>
      <c r="U29" s="954">
        <f t="shared" si="13"/>
        <v>100</v>
      </c>
      <c r="V29" s="953" t="s">
        <v>1279</v>
      </c>
      <c r="W29" s="954">
        <f t="shared" si="14"/>
        <v>100</v>
      </c>
      <c r="X29" s="940"/>
      <c r="Y29" s="920" t="s">
        <v>1296</v>
      </c>
      <c r="Z29" s="864" t="str">
        <f t="shared" si="15"/>
        <v>建筑类型</v>
      </c>
      <c r="AA29" s="969">
        <f t="shared" si="3"/>
        <v>1</v>
      </c>
      <c r="AB29" s="969">
        <f t="shared" si="4"/>
        <v>1</v>
      </c>
      <c r="AC29" s="969">
        <f t="shared" si="5"/>
        <v>1</v>
      </c>
    </row>
    <row r="30" s="724" customFormat="1" ht="15" spans="1:29">
      <c r="A30" s="831"/>
      <c r="B30" s="772" t="s">
        <v>1297</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1279</v>
      </c>
      <c r="S30" s="956" t="e">
        <f t="shared" si="12"/>
        <v>#N/A</v>
      </c>
      <c r="T30" s="955" t="s">
        <v>1279</v>
      </c>
      <c r="U30" s="956" t="e">
        <f t="shared" si="13"/>
        <v>#N/A</v>
      </c>
      <c r="V30" s="955" t="s">
        <v>1279</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1298</v>
      </c>
      <c r="C31" s="1167" t="s">
        <v>1366</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1279</v>
      </c>
      <c r="S31" s="954">
        <f t="shared" si="12"/>
        <v>100</v>
      </c>
      <c r="T31" s="953" t="s">
        <v>1279</v>
      </c>
      <c r="U31" s="954">
        <f t="shared" si="13"/>
        <v>100</v>
      </c>
      <c r="V31" s="953" t="s">
        <v>1279</v>
      </c>
      <c r="W31" s="954">
        <f t="shared" si="14"/>
        <v>100</v>
      </c>
      <c r="X31" s="940"/>
      <c r="Y31" s="920"/>
      <c r="Z31" s="864" t="str">
        <f t="shared" si="15"/>
        <v>建筑结构</v>
      </c>
      <c r="AA31" s="969">
        <f t="shared" si="3"/>
        <v>1</v>
      </c>
      <c r="AB31" s="969">
        <f t="shared" si="4"/>
        <v>1</v>
      </c>
      <c r="AC31" s="969">
        <f t="shared" si="5"/>
        <v>1</v>
      </c>
    </row>
    <row r="32" ht="15" spans="1:29">
      <c r="A32" s="823"/>
      <c r="B32" s="772" t="s">
        <v>1300</v>
      </c>
      <c r="C32" s="1167" t="s">
        <v>1367</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1279</v>
      </c>
      <c r="S32" s="954">
        <f t="shared" si="12"/>
        <v>100</v>
      </c>
      <c r="T32" s="953" t="s">
        <v>1279</v>
      </c>
      <c r="U32" s="954">
        <f t="shared" si="13"/>
        <v>100</v>
      </c>
      <c r="V32" s="953" t="s">
        <v>1279</v>
      </c>
      <c r="W32" s="954">
        <f t="shared" si="14"/>
        <v>100</v>
      </c>
      <c r="X32" s="940"/>
      <c r="Y32" s="920"/>
      <c r="Z32" s="864" t="str">
        <f t="shared" si="15"/>
        <v>公共部分装修</v>
      </c>
      <c r="AA32" s="969">
        <f t="shared" si="3"/>
        <v>1</v>
      </c>
      <c r="AB32" s="969">
        <f t="shared" si="4"/>
        <v>1</v>
      </c>
      <c r="AC32" s="969">
        <f t="shared" si="5"/>
        <v>1</v>
      </c>
    </row>
    <row r="33" ht="15" spans="1:29">
      <c r="A33" s="823"/>
      <c r="B33" s="772" t="s">
        <v>1301</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1279</v>
      </c>
      <c r="S33" s="954" t="e">
        <f t="shared" si="12"/>
        <v>#N/A</v>
      </c>
      <c r="T33" s="953" t="s">
        <v>1279</v>
      </c>
      <c r="U33" s="954" t="e">
        <f t="shared" si="13"/>
        <v>#N/A</v>
      </c>
      <c r="V33" s="953" t="s">
        <v>1279</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1302</v>
      </c>
      <c r="C34" s="1167" t="s">
        <v>1368</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1279</v>
      </c>
      <c r="S34" s="949">
        <f t="shared" si="12"/>
        <v>100</v>
      </c>
      <c r="T34" s="948" t="s">
        <v>1279</v>
      </c>
      <c r="U34" s="949">
        <f t="shared" si="13"/>
        <v>100</v>
      </c>
      <c r="V34" s="948" t="s">
        <v>1279</v>
      </c>
      <c r="W34" s="949">
        <f t="shared" si="14"/>
        <v>100</v>
      </c>
      <c r="X34" s="950"/>
      <c r="Y34" s="920"/>
      <c r="Z34" s="968" t="str">
        <f t="shared" si="15"/>
        <v>物业管理</v>
      </c>
      <c r="AA34" s="967">
        <f t="shared" si="3"/>
        <v>1</v>
      </c>
      <c r="AB34" s="967">
        <f t="shared" si="4"/>
        <v>1</v>
      </c>
      <c r="AC34" s="967">
        <f t="shared" si="5"/>
        <v>1</v>
      </c>
    </row>
    <row r="35" ht="15" spans="1:29">
      <c r="A35" s="823"/>
      <c r="B35" s="772" t="s">
        <v>1303</v>
      </c>
      <c r="C35" s="1167" t="s">
        <v>1324</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1296</v>
      </c>
      <c r="Q35" s="503" t="str">
        <f t="shared" si="11"/>
        <v>市政基础设施</v>
      </c>
      <c r="R35" s="953" t="s">
        <v>1279</v>
      </c>
      <c r="S35" s="954">
        <f t="shared" si="12"/>
        <v>100</v>
      </c>
      <c r="T35" s="953" t="s">
        <v>1279</v>
      </c>
      <c r="U35" s="954">
        <f t="shared" si="13"/>
        <v>100</v>
      </c>
      <c r="V35" s="953" t="s">
        <v>1279</v>
      </c>
      <c r="W35" s="954">
        <f t="shared" si="14"/>
        <v>100</v>
      </c>
      <c r="X35" s="940"/>
      <c r="Y35" s="920" t="s">
        <v>1296</v>
      </c>
      <c r="Z35" s="864" t="str">
        <f t="shared" si="15"/>
        <v>市政基础设施</v>
      </c>
      <c r="AA35" s="969">
        <f t="shared" si="3"/>
        <v>1</v>
      </c>
      <c r="AB35" s="969">
        <f t="shared" si="4"/>
        <v>1</v>
      </c>
      <c r="AC35" s="969">
        <f t="shared" si="5"/>
        <v>1</v>
      </c>
    </row>
    <row r="36" ht="15" spans="1:29">
      <c r="A36" s="823"/>
      <c r="B36" s="772" t="s">
        <v>1306</v>
      </c>
      <c r="C36" s="1167" t="s">
        <v>1367</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1279</v>
      </c>
      <c r="S36" s="954">
        <f t="shared" si="12"/>
        <v>100</v>
      </c>
      <c r="T36" s="953" t="s">
        <v>1279</v>
      </c>
      <c r="U36" s="954">
        <f t="shared" si="13"/>
        <v>100</v>
      </c>
      <c r="V36" s="953" t="s">
        <v>1279</v>
      </c>
      <c r="W36" s="954">
        <f t="shared" si="14"/>
        <v>100</v>
      </c>
      <c r="X36" s="940"/>
      <c r="Y36" s="920"/>
      <c r="Z36" s="864" t="str">
        <f t="shared" si="15"/>
        <v>内部装修</v>
      </c>
      <c r="AA36" s="969">
        <f t="shared" si="3"/>
        <v>1</v>
      </c>
      <c r="AB36" s="969">
        <f t="shared" si="4"/>
        <v>1</v>
      </c>
      <c r="AC36" s="969">
        <f t="shared" si="5"/>
        <v>1</v>
      </c>
    </row>
    <row r="37" ht="15" spans="1:29">
      <c r="A37" s="823"/>
      <c r="B37" s="772" t="s">
        <v>1369</v>
      </c>
      <c r="C37" s="809" t="s">
        <v>1370</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1279</v>
      </c>
      <c r="S37" s="954">
        <f t="shared" si="12"/>
        <v>0</v>
      </c>
      <c r="T37" s="953" t="s">
        <v>1279</v>
      </c>
      <c r="U37" s="954">
        <f t="shared" si="13"/>
        <v>0</v>
      </c>
      <c r="V37" s="953" t="s">
        <v>1279</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1279</v>
      </c>
      <c r="S38" s="956">
        <f t="shared" si="12"/>
        <v>100</v>
      </c>
      <c r="T38" s="955" t="s">
        <v>1279</v>
      </c>
      <c r="U38" s="956">
        <f t="shared" si="13"/>
        <v>100</v>
      </c>
      <c r="V38" s="955" t="s">
        <v>1279</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1279</v>
      </c>
      <c r="S39" s="954">
        <f t="shared" si="12"/>
        <v>100</v>
      </c>
      <c r="T39" s="953" t="s">
        <v>1279</v>
      </c>
      <c r="U39" s="954">
        <f t="shared" si="13"/>
        <v>100</v>
      </c>
      <c r="V39" s="953" t="s">
        <v>1279</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1279</v>
      </c>
      <c r="S40" s="954">
        <f t="shared" si="12"/>
        <v>100</v>
      </c>
      <c r="T40" s="953" t="s">
        <v>1279</v>
      </c>
      <c r="U40" s="954">
        <f t="shared" si="13"/>
        <v>100</v>
      </c>
      <c r="V40" s="953" t="s">
        <v>1279</v>
      </c>
      <c r="W40" s="954">
        <f t="shared" si="14"/>
        <v>100</v>
      </c>
      <c r="X40" s="940"/>
      <c r="Y40" s="1297"/>
      <c r="Z40" s="864">
        <f t="shared" si="15"/>
        <v>111</v>
      </c>
      <c r="AA40" s="969">
        <f t="shared" si="3"/>
        <v>1</v>
      </c>
      <c r="AB40" s="969">
        <f t="shared" si="4"/>
        <v>1</v>
      </c>
      <c r="AC40" s="969">
        <f t="shared" si="5"/>
        <v>1</v>
      </c>
    </row>
    <row r="41" ht="15" spans="1:29">
      <c r="A41" s="833" t="s">
        <v>1307</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75" spans="1:29">
      <c r="A42" s="841" t="s">
        <v>1308</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75" spans="1:29">
      <c r="A43" s="847" t="s">
        <v>1309</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 spans="1:17">
      <c r="A51" s="879" t="s">
        <v>1313</v>
      </c>
      <c r="B51" s="880"/>
      <c r="C51" s="881"/>
      <c r="D51" s="881"/>
      <c r="E51" s="881"/>
      <c r="F51" s="882"/>
      <c r="G51" s="882"/>
      <c r="H51" s="881"/>
      <c r="I51" s="881"/>
      <c r="J51" s="881"/>
      <c r="K51" s="1197"/>
      <c r="L51" s="1198"/>
      <c r="M51" s="881"/>
      <c r="N51" s="881"/>
      <c r="O51" s="881"/>
      <c r="P51" s="936"/>
      <c r="Q51" s="961"/>
    </row>
    <row r="52" s="727" customFormat="1" ht="15" spans="1:16">
      <c r="A52" s="1184" t="s">
        <v>1277</v>
      </c>
      <c r="B52" s="1185"/>
      <c r="C52" s="1186" t="str">
        <f>YEAR(C7)&amp;"-"&amp;MONTH(C7)</f>
        <v>2018-11</v>
      </c>
      <c r="D52" s="1187">
        <f>EDATE(C52,-1)</f>
        <v>43374</v>
      </c>
      <c r="E52" s="1296">
        <f t="shared" ref="E52:O52" si="16">EDATE(D52,-1)</f>
        <v>43344</v>
      </c>
      <c r="F52" s="1296">
        <f t="shared" si="16"/>
        <v>43313</v>
      </c>
      <c r="G52" s="1296">
        <f t="shared" si="16"/>
        <v>43282</v>
      </c>
      <c r="H52" s="1296">
        <f t="shared" si="16"/>
        <v>43252</v>
      </c>
      <c r="I52" s="1296">
        <f t="shared" si="16"/>
        <v>43221</v>
      </c>
      <c r="J52" s="1296">
        <f t="shared" si="16"/>
        <v>43191</v>
      </c>
      <c r="K52" s="1296">
        <f t="shared" si="16"/>
        <v>43160</v>
      </c>
      <c r="L52" s="1296">
        <f t="shared" si="16"/>
        <v>43132</v>
      </c>
      <c r="M52" s="1296">
        <f t="shared" si="16"/>
        <v>43101</v>
      </c>
      <c r="N52" s="1296">
        <f t="shared" si="16"/>
        <v>43070</v>
      </c>
      <c r="O52" s="1296">
        <f t="shared" si="16"/>
        <v>43040</v>
      </c>
      <c r="P52" s="1027"/>
    </row>
    <row r="53" s="722" customFormat="1" ht="15" spans="1:16">
      <c r="A53" s="1188"/>
      <c r="B53" s="983"/>
      <c r="C53" s="986">
        <v>100</v>
      </c>
      <c r="D53" s="987"/>
      <c r="E53" s="987"/>
      <c r="F53" s="987"/>
      <c r="G53" s="987"/>
      <c r="H53" s="987"/>
      <c r="I53" s="987"/>
      <c r="J53" s="987"/>
      <c r="K53" s="987"/>
      <c r="L53" s="987"/>
      <c r="M53" s="1199"/>
      <c r="N53" s="987"/>
      <c r="O53" s="1036"/>
      <c r="P53" s="961"/>
    </row>
    <row r="54" s="722" customFormat="1" ht="15.75" spans="1:17">
      <c r="A54" s="978" t="s">
        <v>1314</v>
      </c>
      <c r="B54" s="979"/>
      <c r="C54" s="980"/>
      <c r="D54" s="981"/>
      <c r="E54" s="981"/>
      <c r="F54" s="981"/>
      <c r="G54" s="981"/>
      <c r="H54" s="981"/>
      <c r="I54" s="981"/>
      <c r="J54" s="981"/>
      <c r="K54" s="981"/>
      <c r="L54" s="981"/>
      <c r="M54" s="1030"/>
      <c r="N54" s="981"/>
      <c r="O54" s="1200"/>
      <c r="P54" s="961"/>
      <c r="Q54" s="961"/>
    </row>
    <row r="55" s="722" customFormat="1" ht="15" spans="1:17">
      <c r="A55" s="982" t="s">
        <v>1280</v>
      </c>
      <c r="B55" s="983"/>
      <c r="C55" s="984" t="s">
        <v>1281</v>
      </c>
      <c r="D55" s="985"/>
      <c r="E55" s="985"/>
      <c r="F55" s="985"/>
      <c r="G55" s="985"/>
      <c r="H55" s="985"/>
      <c r="I55" s="985"/>
      <c r="J55" s="985"/>
      <c r="K55" s="985"/>
      <c r="L55" s="1032"/>
      <c r="M55" s="1033"/>
      <c r="N55" s="1034"/>
      <c r="O55" s="1034"/>
      <c r="P55" s="1035"/>
      <c r="Q55" s="961"/>
    </row>
    <row r="56" s="722" customFormat="1" ht="15.75" spans="1:17">
      <c r="A56" s="982"/>
      <c r="B56" s="983"/>
      <c r="C56" s="986">
        <v>100</v>
      </c>
      <c r="D56" s="987"/>
      <c r="E56" s="987"/>
      <c r="F56" s="987"/>
      <c r="G56" s="987"/>
      <c r="H56" s="987"/>
      <c r="I56" s="987"/>
      <c r="J56" s="987"/>
      <c r="K56" s="987"/>
      <c r="L56" s="987"/>
      <c r="M56" s="1036"/>
      <c r="N56" s="1034"/>
      <c r="O56" s="1034"/>
      <c r="P56" s="961"/>
      <c r="Q56" s="961"/>
    </row>
    <row r="57" spans="1:17">
      <c r="A57" s="988" t="s">
        <v>1315</v>
      </c>
      <c r="B57" s="989" t="s">
        <v>1284</v>
      </c>
      <c r="C57" s="1011">
        <f>C9</f>
        <v>0</v>
      </c>
      <c r="D57" s="921"/>
      <c r="E57" s="921"/>
      <c r="F57" s="921"/>
      <c r="G57" s="921"/>
      <c r="H57" s="921"/>
      <c r="I57" s="921"/>
      <c r="J57" s="921"/>
      <c r="K57" s="1037"/>
      <c r="L57" s="1038"/>
      <c r="M57" s="1039"/>
      <c r="N57" s="1040"/>
      <c r="O57" s="1040"/>
      <c r="P57" s="1041"/>
      <c r="Q57" s="961"/>
    </row>
    <row r="58" ht="15.75" spans="1:17">
      <c r="A58" s="990"/>
      <c r="B58" s="991"/>
      <c r="C58" s="992">
        <v>100</v>
      </c>
      <c r="D58" s="992"/>
      <c r="E58" s="992"/>
      <c r="F58" s="992"/>
      <c r="G58" s="992"/>
      <c r="H58" s="992"/>
      <c r="I58" s="992"/>
      <c r="J58" s="992"/>
      <c r="K58" s="992"/>
      <c r="L58" s="992"/>
      <c r="M58" s="1042"/>
      <c r="N58" s="1043"/>
      <c r="O58" s="1043"/>
      <c r="P58" s="1041"/>
      <c r="Q58" s="961"/>
    </row>
    <row r="59" ht="27.75" spans="1:17">
      <c r="A59" s="990"/>
      <c r="B59" s="993" t="s">
        <v>1287</v>
      </c>
      <c r="C59" s="994" t="s">
        <v>1316</v>
      </c>
      <c r="D59" s="994" t="s">
        <v>1317</v>
      </c>
      <c r="E59" s="994" t="s">
        <v>1318</v>
      </c>
      <c r="F59" s="994" t="s">
        <v>1319</v>
      </c>
      <c r="G59" s="994" t="s">
        <v>1320</v>
      </c>
      <c r="H59" s="994" t="s">
        <v>1321</v>
      </c>
      <c r="I59" s="994" t="s">
        <v>1322</v>
      </c>
      <c r="J59" s="994"/>
      <c r="K59" s="1044"/>
      <c r="L59" s="1045"/>
      <c r="M59" s="1046"/>
      <c r="N59" s="1040"/>
      <c r="O59" s="1040"/>
      <c r="P59" s="1041"/>
      <c r="Q59" s="961"/>
    </row>
    <row r="60" ht="15.75" spans="1:17">
      <c r="A60" s="990"/>
      <c r="B60" s="995"/>
      <c r="C60" s="996" t="s">
        <v>1358</v>
      </c>
      <c r="D60" s="996" t="s">
        <v>1358</v>
      </c>
      <c r="E60" s="996">
        <v>100</v>
      </c>
      <c r="F60" s="996">
        <f>E60-$K10</f>
        <v>100</v>
      </c>
      <c r="G60" s="996">
        <f>F60-$K10</f>
        <v>100</v>
      </c>
      <c r="H60" s="996">
        <f>G60-$K10</f>
        <v>100</v>
      </c>
      <c r="I60" s="996">
        <f>H60-$K10</f>
        <v>100</v>
      </c>
      <c r="J60" s="996"/>
      <c r="K60" s="996"/>
      <c r="L60" s="996"/>
      <c r="M60" s="1047"/>
      <c r="N60" s="1043"/>
      <c r="O60" s="1043"/>
      <c r="P60" s="1041"/>
      <c r="Q60" s="961"/>
    </row>
    <row r="61" ht="15.75" spans="1:17">
      <c r="A61" s="990"/>
      <c r="B61" s="997" t="s">
        <v>1288</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ht="15" spans="1:17">
      <c r="A62" s="990"/>
      <c r="B62" s="999"/>
      <c r="C62" s="781"/>
      <c r="D62" s="781"/>
      <c r="E62" s="781"/>
      <c r="F62" s="781"/>
      <c r="G62" s="781"/>
      <c r="H62" s="781"/>
      <c r="I62" s="781"/>
      <c r="J62" s="781"/>
      <c r="K62" s="1048"/>
      <c r="L62" s="1049"/>
      <c r="M62" s="1050"/>
      <c r="N62" s="1040"/>
      <c r="O62" s="1040"/>
      <c r="P62" s="1041"/>
      <c r="Q62" s="961"/>
    </row>
    <row r="63" ht="15.7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5.75" spans="1:17">
      <c r="A64" s="1000"/>
      <c r="B64" s="993">
        <f>B12</f>
        <v>111</v>
      </c>
      <c r="C64" s="1001"/>
      <c r="D64" s="1001"/>
      <c r="E64" s="1001"/>
      <c r="F64" s="1001"/>
      <c r="G64" s="1001"/>
      <c r="H64" s="1002"/>
      <c r="I64" s="1002"/>
      <c r="J64" s="1002"/>
      <c r="K64" s="1002"/>
      <c r="L64" s="1051"/>
      <c r="M64" s="1052"/>
      <c r="N64" s="1053"/>
      <c r="O64" s="1053"/>
      <c r="P64" s="1054"/>
      <c r="Q64" s="1084"/>
    </row>
    <row r="65" s="724" customFormat="1" ht="15.75" spans="1:17">
      <c r="A65" s="1000"/>
      <c r="B65" s="995"/>
      <c r="C65" s="1003"/>
      <c r="D65" s="992"/>
      <c r="E65" s="992"/>
      <c r="F65" s="992"/>
      <c r="G65" s="992"/>
      <c r="H65" s="992"/>
      <c r="I65" s="992"/>
      <c r="J65" s="992"/>
      <c r="K65" s="992"/>
      <c r="L65" s="992"/>
      <c r="M65" s="1042"/>
      <c r="N65" s="1043"/>
      <c r="O65" s="1043"/>
      <c r="P65" s="1054"/>
      <c r="Q65" s="1084"/>
    </row>
    <row r="66" s="724" customFormat="1" ht="15.75" spans="1:17">
      <c r="A66" s="1000"/>
      <c r="B66" s="993">
        <f>B13</f>
        <v>111</v>
      </c>
      <c r="C66" s="1001"/>
      <c r="D66" s="1001"/>
      <c r="E66" s="1001"/>
      <c r="F66" s="1001"/>
      <c r="G66" s="1001"/>
      <c r="H66" s="1002"/>
      <c r="I66" s="1002"/>
      <c r="J66" s="1002"/>
      <c r="K66" s="1002"/>
      <c r="L66" s="1051"/>
      <c r="M66" s="1052"/>
      <c r="N66" s="1053"/>
      <c r="O66" s="1053"/>
      <c r="P66" s="1055"/>
      <c r="Q66" s="1085"/>
    </row>
    <row r="67" s="724" customFormat="1" ht="15.75" spans="1:17">
      <c r="A67" s="1000"/>
      <c r="B67" s="995"/>
      <c r="C67" s="1003"/>
      <c r="D67" s="992"/>
      <c r="E67" s="992"/>
      <c r="F67" s="992"/>
      <c r="G67" s="1003"/>
      <c r="H67" s="1004"/>
      <c r="I67" s="1004"/>
      <c r="J67" s="1004"/>
      <c r="K67" s="1004"/>
      <c r="L67" s="1004"/>
      <c r="M67" s="1056"/>
      <c r="N67" s="1053"/>
      <c r="O67" s="1053"/>
      <c r="P67" s="1054"/>
      <c r="Q67" s="1084"/>
    </row>
    <row r="68" s="724" customFormat="1" ht="15.75" spans="1:17">
      <c r="A68" s="1000"/>
      <c r="B68" s="997">
        <f>B14</f>
        <v>111</v>
      </c>
      <c r="C68" s="985"/>
      <c r="D68" s="985"/>
      <c r="E68" s="985"/>
      <c r="F68" s="985"/>
      <c r="G68" s="985"/>
      <c r="H68" s="1005"/>
      <c r="I68" s="1005"/>
      <c r="J68" s="1005"/>
      <c r="K68" s="1005"/>
      <c r="L68" s="1057"/>
      <c r="M68" s="1058"/>
      <c r="N68" s="1053"/>
      <c r="O68" s="1053"/>
      <c r="P68" s="1059"/>
      <c r="Q68" s="1084"/>
    </row>
    <row r="69" s="724" customFormat="1" ht="15.75" spans="1:17">
      <c r="A69" s="1006"/>
      <c r="B69" s="1007"/>
      <c r="C69" s="1008"/>
      <c r="D69" s="1008"/>
      <c r="E69" s="1008"/>
      <c r="F69" s="1008"/>
      <c r="G69" s="1008"/>
      <c r="H69" s="1009"/>
      <c r="I69" s="1009"/>
      <c r="J69" s="1009"/>
      <c r="K69" s="1009"/>
      <c r="L69" s="1009"/>
      <c r="M69" s="1060"/>
      <c r="N69" s="1053"/>
      <c r="O69" s="1053"/>
      <c r="P69" s="1054"/>
      <c r="Q69" s="1084"/>
    </row>
    <row r="70" spans="1:17">
      <c r="A70" s="988" t="s">
        <v>1289</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5.7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7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5.7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7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5.7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75" spans="1:17">
      <c r="A76" s="990"/>
      <c r="B76" s="997" t="s">
        <v>214</v>
      </c>
      <c r="C76" s="994" t="s">
        <v>1323</v>
      </c>
      <c r="D76" s="994" t="s">
        <v>1324</v>
      </c>
      <c r="E76" s="994" t="s">
        <v>1325</v>
      </c>
      <c r="F76" s="994" t="s">
        <v>1326</v>
      </c>
      <c r="G76" s="994" t="s">
        <v>1327</v>
      </c>
      <c r="H76" s="994"/>
      <c r="I76" s="994"/>
      <c r="J76" s="994"/>
      <c r="K76" s="994"/>
      <c r="L76" s="994"/>
      <c r="M76" s="1126"/>
      <c r="N76" s="1043"/>
      <c r="O76" s="1043"/>
      <c r="P76" s="1041"/>
      <c r="Q76" s="961"/>
    </row>
    <row r="77" ht="15.7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7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5.7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5.75" spans="1:17">
      <c r="A80" s="1013"/>
      <c r="B80" s="993">
        <f>B25</f>
        <v>111</v>
      </c>
      <c r="C80" s="1001"/>
      <c r="D80" s="1001"/>
      <c r="E80" s="1001"/>
      <c r="F80" s="1001"/>
      <c r="G80" s="1001"/>
      <c r="H80" s="1001"/>
      <c r="I80" s="1001"/>
      <c r="J80" s="1001"/>
      <c r="K80" s="1001"/>
      <c r="L80" s="1205"/>
      <c r="M80" s="1206"/>
      <c r="N80" s="1034"/>
      <c r="O80" s="1034"/>
      <c r="P80" s="1041"/>
      <c r="Q80" s="961"/>
    </row>
    <row r="81" s="722" customFormat="1" ht="15.75" spans="1:17">
      <c r="A81" s="1013"/>
      <c r="B81" s="995"/>
      <c r="C81" s="1003"/>
      <c r="D81" s="992"/>
      <c r="E81" s="992"/>
      <c r="F81" s="992"/>
      <c r="G81" s="992"/>
      <c r="H81" s="992"/>
      <c r="I81" s="992"/>
      <c r="J81" s="992"/>
      <c r="K81" s="992"/>
      <c r="L81" s="992"/>
      <c r="M81" s="1042"/>
      <c r="N81" s="1043"/>
      <c r="O81" s="1043"/>
      <c r="P81" s="1041"/>
      <c r="Q81" s="961"/>
    </row>
    <row r="82" s="722" customFormat="1" ht="15.75" spans="1:17">
      <c r="A82" s="1013"/>
      <c r="B82" s="993">
        <f>B26</f>
        <v>111</v>
      </c>
      <c r="C82" s="1001"/>
      <c r="D82" s="1001"/>
      <c r="E82" s="1001"/>
      <c r="F82" s="1001"/>
      <c r="G82" s="1001"/>
      <c r="H82" s="1001"/>
      <c r="I82" s="1001"/>
      <c r="J82" s="1001"/>
      <c r="K82" s="1001"/>
      <c r="L82" s="1205"/>
      <c r="M82" s="1206"/>
      <c r="N82" s="1034"/>
      <c r="O82" s="1034"/>
      <c r="P82" s="1041"/>
      <c r="Q82" s="961"/>
    </row>
    <row r="83" s="722" customFormat="1" ht="15.75" spans="1:17">
      <c r="A83" s="1013"/>
      <c r="B83" s="995"/>
      <c r="C83" s="1003"/>
      <c r="D83" s="992"/>
      <c r="E83" s="992"/>
      <c r="F83" s="992"/>
      <c r="G83" s="992"/>
      <c r="H83" s="992"/>
      <c r="I83" s="992"/>
      <c r="J83" s="992"/>
      <c r="K83" s="992"/>
      <c r="L83" s="992"/>
      <c r="M83" s="1042"/>
      <c r="N83" s="1043"/>
      <c r="O83" s="1043"/>
      <c r="P83" s="1041"/>
      <c r="Q83" s="961"/>
    </row>
    <row r="84" s="724" customFormat="1" ht="15.75" spans="1:17">
      <c r="A84" s="1000"/>
      <c r="B84" s="993">
        <f>B27</f>
        <v>111</v>
      </c>
      <c r="C84" s="1001"/>
      <c r="D84" s="1001"/>
      <c r="E84" s="1001"/>
      <c r="F84" s="1001"/>
      <c r="G84" s="1001"/>
      <c r="H84" s="1001"/>
      <c r="I84" s="1001"/>
      <c r="J84" s="1001"/>
      <c r="K84" s="1001"/>
      <c r="L84" s="1205"/>
      <c r="M84" s="1206"/>
      <c r="N84" s="1053"/>
      <c r="O84" s="1053"/>
      <c r="P84" s="1054"/>
      <c r="Q84" s="1084"/>
    </row>
    <row r="85" s="724" customFormat="1" ht="15.75" spans="1:17">
      <c r="A85" s="1000"/>
      <c r="B85" s="995"/>
      <c r="C85" s="1003"/>
      <c r="D85" s="992"/>
      <c r="E85" s="992"/>
      <c r="F85" s="992"/>
      <c r="G85" s="992"/>
      <c r="H85" s="992"/>
      <c r="I85" s="992"/>
      <c r="J85" s="992"/>
      <c r="K85" s="992"/>
      <c r="L85" s="992"/>
      <c r="M85" s="1042"/>
      <c r="N85" s="1053"/>
      <c r="O85" s="1053"/>
      <c r="P85" s="1054"/>
      <c r="Q85" s="1084"/>
    </row>
    <row r="86" ht="15.75" spans="1:17">
      <c r="A86" s="990"/>
      <c r="B86" s="997">
        <f>B28</f>
        <v>111</v>
      </c>
      <c r="C86" s="985"/>
      <c r="D86" s="985"/>
      <c r="E86" s="985"/>
      <c r="F86" s="985"/>
      <c r="G86" s="1018"/>
      <c r="H86" s="1018"/>
      <c r="I86" s="1018"/>
      <c r="J86" s="1018"/>
      <c r="K86" s="1074"/>
      <c r="L86" s="1075"/>
      <c r="M86" s="1076"/>
      <c r="N86" s="1040"/>
      <c r="O86" s="1040"/>
      <c r="P86" s="1041"/>
      <c r="Q86" s="961"/>
    </row>
    <row r="87" ht="15.75" spans="1:17">
      <c r="A87" s="1298"/>
      <c r="B87" s="1007"/>
      <c r="C87" s="1008"/>
      <c r="D87" s="1008"/>
      <c r="E87" s="1008"/>
      <c r="F87" s="1008"/>
      <c r="G87" s="1019"/>
      <c r="H87" s="1019"/>
      <c r="I87" s="1019"/>
      <c r="J87" s="1019"/>
      <c r="K87" s="1019"/>
      <c r="L87" s="1019"/>
      <c r="M87" s="1077"/>
      <c r="N87" s="1043"/>
      <c r="O87" s="1043"/>
      <c r="P87" s="1041"/>
      <c r="Q87" s="961"/>
    </row>
    <row r="88" spans="1:17">
      <c r="A88" s="988" t="s">
        <v>1294</v>
      </c>
      <c r="B88" s="989" t="s">
        <v>1295</v>
      </c>
      <c r="C88" s="921"/>
      <c r="D88" s="921"/>
      <c r="E88" s="921"/>
      <c r="F88" s="921"/>
      <c r="G88" s="921"/>
      <c r="H88" s="921"/>
      <c r="I88" s="921"/>
      <c r="J88" s="921"/>
      <c r="K88" s="1037"/>
      <c r="L88" s="1038"/>
      <c r="M88" s="1039"/>
      <c r="N88" s="1040"/>
      <c r="O88" s="1040"/>
      <c r="P88" s="1041"/>
      <c r="Q88" s="961"/>
    </row>
    <row r="89" ht="15.7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75" spans="1:17">
      <c r="A90" s="990"/>
      <c r="B90" s="993" t="s">
        <v>1297</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ht="15" spans="1:17">
      <c r="A91" s="1020"/>
      <c r="B91" s="1021"/>
      <c r="C91" s="977"/>
      <c r="D91" s="977"/>
      <c r="E91" s="977"/>
      <c r="F91" s="977"/>
      <c r="G91" s="977"/>
      <c r="H91" s="977"/>
      <c r="I91" s="977"/>
      <c r="J91" s="1078"/>
      <c r="K91" s="1078"/>
      <c r="L91" s="1079"/>
      <c r="M91" s="1080"/>
      <c r="N91" s="1053"/>
      <c r="O91" s="1053"/>
      <c r="P91" s="1054"/>
      <c r="Q91" s="1084"/>
    </row>
    <row r="92" s="724" customFormat="1" ht="15.75" spans="1:17">
      <c r="A92" s="1000"/>
      <c r="B92" s="995"/>
      <c r="C92" s="1003"/>
      <c r="D92" s="992"/>
      <c r="E92" s="992"/>
      <c r="F92" s="992"/>
      <c r="G92" s="992"/>
      <c r="H92" s="992"/>
      <c r="I92" s="992"/>
      <c r="J92" s="992"/>
      <c r="K92" s="992"/>
      <c r="L92" s="992"/>
      <c r="M92" s="1042"/>
      <c r="N92" s="1043"/>
      <c r="O92" s="1043"/>
      <c r="P92" s="1054"/>
      <c r="Q92" s="1084"/>
    </row>
    <row r="93" ht="15.75" spans="1:17">
      <c r="A93" s="1024"/>
      <c r="B93" s="993" t="s">
        <v>1298</v>
      </c>
      <c r="C93" s="1001"/>
      <c r="D93" s="1001"/>
      <c r="E93" s="1017"/>
      <c r="F93" s="1017"/>
      <c r="G93" s="1017"/>
      <c r="H93" s="1017"/>
      <c r="I93" s="1017"/>
      <c r="J93" s="1017"/>
      <c r="K93" s="1071"/>
      <c r="L93" s="1072"/>
      <c r="M93" s="1073"/>
      <c r="N93" s="1040"/>
      <c r="O93" s="1040"/>
      <c r="P93" s="1041"/>
      <c r="Q93" s="961"/>
    </row>
    <row r="94" ht="15.7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75" spans="1:17">
      <c r="A95" s="1024"/>
      <c r="B95" s="993" t="s">
        <v>1300</v>
      </c>
      <c r="C95" s="1001"/>
      <c r="D95" s="1001"/>
      <c r="E95" s="1001"/>
      <c r="F95" s="1017"/>
      <c r="G95" s="1017"/>
      <c r="H95" s="1017"/>
      <c r="I95" s="1017"/>
      <c r="J95" s="1017"/>
      <c r="K95" s="1071"/>
      <c r="L95" s="1072"/>
      <c r="M95" s="1073"/>
      <c r="N95" s="1040"/>
      <c r="O95" s="1040"/>
      <c r="P95" s="1041"/>
      <c r="Q95" s="961"/>
    </row>
    <row r="96" ht="15.7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75" spans="1:17">
      <c r="A97" s="1024"/>
      <c r="B97" s="993" t="s">
        <v>1301</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ht="15" spans="1:17">
      <c r="A98" s="1024"/>
      <c r="B98" s="997"/>
      <c r="C98" s="370">
        <v>0.5</v>
      </c>
      <c r="D98" s="370">
        <v>0.6</v>
      </c>
      <c r="E98" s="370">
        <v>0.7</v>
      </c>
      <c r="F98" s="370">
        <v>0.8</v>
      </c>
      <c r="G98" s="370">
        <v>0.9</v>
      </c>
      <c r="H98" s="370">
        <v>1</v>
      </c>
      <c r="I98" s="1284"/>
      <c r="J98" s="1284"/>
      <c r="K98" s="1285"/>
      <c r="L98" s="1286"/>
      <c r="M98" s="1287"/>
      <c r="N98" s="1040"/>
      <c r="O98" s="1040"/>
      <c r="P98" s="1041"/>
      <c r="Q98" s="961"/>
    </row>
    <row r="99" ht="15.7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75" spans="1:17">
      <c r="A100" s="1020"/>
      <c r="B100" s="993" t="s">
        <v>1302</v>
      </c>
      <c r="C100" s="1001"/>
      <c r="D100" s="1001"/>
      <c r="E100" s="1001"/>
      <c r="F100" s="1001"/>
      <c r="G100" s="1001"/>
      <c r="H100" s="1017"/>
      <c r="I100" s="1017"/>
      <c r="J100" s="1017"/>
      <c r="K100" s="1071"/>
      <c r="L100" s="1072"/>
      <c r="M100" s="1073"/>
      <c r="N100" s="1053"/>
      <c r="O100" s="1053"/>
      <c r="P100" s="1054"/>
      <c r="Q100" s="1084"/>
    </row>
    <row r="101" s="724" customFormat="1" ht="15.7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75" spans="1:17">
      <c r="A102" s="1024"/>
      <c r="B102" s="993" t="s">
        <v>1303</v>
      </c>
      <c r="C102" s="1001"/>
      <c r="D102" s="1001"/>
      <c r="E102" s="1001"/>
      <c r="F102" s="1001"/>
      <c r="G102" s="1001"/>
      <c r="H102" s="1017"/>
      <c r="I102" s="1017"/>
      <c r="J102" s="1017"/>
      <c r="K102" s="1071"/>
      <c r="L102" s="1072"/>
      <c r="M102" s="1073"/>
      <c r="N102" s="1040"/>
      <c r="O102" s="1040"/>
      <c r="P102" s="1041"/>
      <c r="Q102" s="961"/>
    </row>
    <row r="103" ht="15.7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75" spans="1:17">
      <c r="A104" s="1024"/>
      <c r="B104" s="993" t="s">
        <v>1306</v>
      </c>
      <c r="C104" s="1001"/>
      <c r="D104" s="1001"/>
      <c r="E104" s="1001"/>
      <c r="F104" s="1001"/>
      <c r="G104" s="1001"/>
      <c r="H104" s="1017"/>
      <c r="I104" s="1017"/>
      <c r="J104" s="1017"/>
      <c r="K104" s="1071"/>
      <c r="L104" s="1072"/>
      <c r="M104" s="1073"/>
      <c r="N104" s="1040"/>
      <c r="O104" s="1040"/>
      <c r="P104" s="1041"/>
      <c r="Q104" s="961"/>
    </row>
    <row r="105" ht="15.7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15.75" spans="1:17">
      <c r="A106" s="1024"/>
      <c r="B106" s="1204" t="s">
        <v>1371</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5.7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5.7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5.75" spans="1:17">
      <c r="A109" s="1000"/>
      <c r="B109" s="991"/>
      <c r="C109" s="1003"/>
      <c r="D109" s="992"/>
      <c r="E109" s="992"/>
      <c r="F109" s="992"/>
      <c r="G109" s="1003"/>
      <c r="H109" s="1004"/>
      <c r="I109" s="1004"/>
      <c r="J109" s="1004"/>
      <c r="K109" s="1004"/>
      <c r="L109" s="1004"/>
      <c r="M109" s="1056"/>
      <c r="N109" s="1053"/>
      <c r="O109" s="1053"/>
      <c r="P109" s="1054"/>
      <c r="Q109" s="1084"/>
    </row>
    <row r="110" ht="15.75" spans="1:17">
      <c r="A110" s="1024"/>
      <c r="B110" s="993">
        <f>B39</f>
        <v>111</v>
      </c>
      <c r="C110" s="1001"/>
      <c r="D110" s="1001"/>
      <c r="E110" s="1001"/>
      <c r="F110" s="1001"/>
      <c r="G110" s="1001"/>
      <c r="H110" s="1002"/>
      <c r="I110" s="1002"/>
      <c r="J110" s="1002"/>
      <c r="K110" s="1002"/>
      <c r="L110" s="1051"/>
      <c r="M110" s="1052"/>
      <c r="N110" s="1040"/>
      <c r="O110" s="1040"/>
      <c r="P110" s="1041"/>
      <c r="Q110" s="961"/>
    </row>
    <row r="111" ht="15.75" spans="1:17">
      <c r="A111" s="990"/>
      <c r="B111" s="995"/>
      <c r="C111" s="1003"/>
      <c r="D111" s="992"/>
      <c r="E111" s="992"/>
      <c r="F111" s="992"/>
      <c r="G111" s="1003"/>
      <c r="H111" s="1004"/>
      <c r="I111" s="1004"/>
      <c r="J111" s="1004"/>
      <c r="K111" s="1004"/>
      <c r="L111" s="1004"/>
      <c r="M111" s="1056"/>
      <c r="N111" s="1043"/>
      <c r="O111" s="1043"/>
      <c r="P111" s="1041"/>
      <c r="Q111" s="961"/>
    </row>
    <row r="112" ht="15.75" spans="1:17">
      <c r="A112" s="1024"/>
      <c r="B112" s="997">
        <f>B40</f>
        <v>111</v>
      </c>
      <c r="C112" s="985"/>
      <c r="D112" s="985"/>
      <c r="E112" s="985"/>
      <c r="F112" s="985"/>
      <c r="G112" s="1018"/>
      <c r="H112" s="1018"/>
      <c r="I112" s="1018"/>
      <c r="J112" s="1018"/>
      <c r="K112" s="985"/>
      <c r="L112" s="1032"/>
      <c r="M112" s="1076"/>
      <c r="N112" s="1040"/>
      <c r="O112" s="1040"/>
      <c r="P112" s="1041"/>
      <c r="Q112" s="961"/>
    </row>
    <row r="113" ht="15.7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5.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212"/>
      <c r="E1" s="1133"/>
      <c r="F1" s="1213" t="s">
        <v>1262</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828</v>
      </c>
      <c r="B3" s="740" t="e">
        <f>IF(AND(D2="——",B37="元/平方米"),C39,ROUND(F3*C39/D3,0))</f>
        <v>#DIV/0!</v>
      </c>
      <c r="C3" s="1142" t="s">
        <v>1263</v>
      </c>
      <c r="D3" s="1143">
        <f>IF(C1="仅计算典型户型",'数据-取费表'!E5,'数据-取费表'!B5)</f>
        <v>223.88</v>
      </c>
      <c r="E3" s="1215" t="s">
        <v>1373</v>
      </c>
      <c r="F3" s="1142">
        <f>'数据-取费表'!B41</f>
        <v>0</v>
      </c>
      <c r="G3" s="738"/>
      <c r="H3" s="738"/>
      <c r="I3" s="738"/>
      <c r="J3" s="738"/>
      <c r="K3" s="887"/>
      <c r="L3" s="1257"/>
      <c r="M3" s="886"/>
      <c r="N3" s="886"/>
      <c r="O3" s="886"/>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1258"/>
      <c r="M4" s="1151"/>
      <c r="N4" s="1151"/>
      <c r="O4" s="1151"/>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1258"/>
      <c r="M5" s="1151"/>
      <c r="N5" s="1151"/>
      <c r="O5" s="1151"/>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1258"/>
      <c r="M6" s="1151"/>
      <c r="N6" s="1151"/>
      <c r="O6" s="1151"/>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1282</v>
      </c>
      <c r="Q8" s="951"/>
      <c r="R8" s="948" t="s">
        <v>1279</v>
      </c>
      <c r="S8" s="949">
        <f t="shared" si="0"/>
        <v>0</v>
      </c>
      <c r="T8" s="948" t="s">
        <v>1279</v>
      </c>
      <c r="U8" s="949">
        <f t="shared" si="1"/>
        <v>0</v>
      </c>
      <c r="V8" s="948" t="s">
        <v>1279</v>
      </c>
      <c r="W8" s="949">
        <f t="shared" si="2"/>
        <v>0</v>
      </c>
      <c r="X8" s="950"/>
      <c r="Y8" s="899" t="s">
        <v>1282</v>
      </c>
      <c r="Z8" s="951"/>
      <c r="AA8" s="967" t="e">
        <f t="shared" ref="AA8:AA36" si="3">D8/F8</f>
        <v>#DIV/0!</v>
      </c>
      <c r="AB8" s="967" t="e">
        <f t="shared" ref="AB8:AB36" si="4">D8/H8</f>
        <v>#DIV/0!</v>
      </c>
      <c r="AC8" s="967" t="e">
        <f t="shared" ref="AC8:AC36" si="5">D8/J8</f>
        <v>#DIV/0!</v>
      </c>
    </row>
    <row r="9" s="722" customFormat="1" spans="1:29">
      <c r="A9" s="1216" t="s">
        <v>1283</v>
      </c>
      <c r="B9" s="1217" t="s">
        <v>1284</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1219"/>
      <c r="B10" s="1220" t="s">
        <v>1287</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41" t="s">
        <v>1289</v>
      </c>
      <c r="B14" s="790" t="s">
        <v>211</v>
      </c>
      <c r="C14" s="1225" t="str">
        <f>IF(B1="工业",估价对象房地状况!G4,估价对象房地状况!C6)</f>
        <v>估价对象周边道路状况、公共交通通达情况、停车便捷程度，综合评价交通便捷度好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40.5" spans="1:29">
      <c r="A16" s="747"/>
      <c r="B16" s="799" t="s">
        <v>213</v>
      </c>
      <c r="C16" s="1230" t="str">
        <f>IF(B1="工业",估价对象房地状况!G5,估价对象房地状况!C7)</f>
        <v>估价对象所在区域公共配套设施完备程度好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40.5" spans="1:29">
      <c r="A18" s="747"/>
      <c r="B18" s="807" t="s">
        <v>214</v>
      </c>
      <c r="C18" s="1230" t="str">
        <f>IF(B1="工业",估价对象房地状况!G6,估价对象房地状况!C8)</f>
        <v>估价对象所在区域红线外基础设施水平六通一平</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122.25" spans="1:29">
      <c r="A20" s="747"/>
      <c r="B20" s="799" t="s">
        <v>566</v>
      </c>
      <c r="C20" s="1230" t="str">
        <f>IF(B1="工业",估价对象房地状况!G7,估价对象房地状况!C9)</f>
        <v>区域自然环境：CBD历史文化公园、呼家楼社区公园、联馨园；人文环境韩国文化院、考文垂大学、北京今日美术馆：综合评价环境状况好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1351</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245" t="s">
        <v>1294</v>
      </c>
      <c r="B26" s="1246" t="s">
        <v>1374</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1296</v>
      </c>
      <c r="Q26" s="503" t="str">
        <f t="shared" si="11"/>
        <v>配套类型</v>
      </c>
      <c r="R26" s="953" t="s">
        <v>1279</v>
      </c>
      <c r="S26" s="954">
        <f t="shared" ref="S26:S36" si="12">F26</f>
        <v>100</v>
      </c>
      <c r="T26" s="953" t="s">
        <v>1279</v>
      </c>
      <c r="U26" s="954">
        <f t="shared" ref="U26:U36" si="13">H26</f>
        <v>100</v>
      </c>
      <c r="V26" s="953" t="s">
        <v>1279</v>
      </c>
      <c r="W26" s="954">
        <f t="shared" ref="W26:W36" si="14">J26</f>
        <v>100</v>
      </c>
      <c r="X26" s="940"/>
      <c r="Y26" s="920" t="s">
        <v>1296</v>
      </c>
      <c r="Z26" s="864" t="str">
        <f t="shared" ref="Z26:Z36" si="15">Q26</f>
        <v>配套类型</v>
      </c>
      <c r="AA26" s="969">
        <f t="shared" si="3"/>
        <v>1</v>
      </c>
      <c r="AB26" s="969">
        <f t="shared" si="4"/>
        <v>1</v>
      </c>
      <c r="AC26" s="969">
        <f t="shared" si="5"/>
        <v>1</v>
      </c>
    </row>
    <row r="27" s="724" customFormat="1" ht="15" spans="1:29">
      <c r="A27" s="1248"/>
      <c r="B27" s="812" t="s">
        <v>1375</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1279</v>
      </c>
      <c r="S27" s="956">
        <f t="shared" si="12"/>
        <v>100</v>
      </c>
      <c r="T27" s="955" t="s">
        <v>1279</v>
      </c>
      <c r="U27" s="956">
        <f t="shared" si="13"/>
        <v>100</v>
      </c>
      <c r="V27" s="955" t="s">
        <v>1279</v>
      </c>
      <c r="W27" s="956">
        <f t="shared" si="14"/>
        <v>100</v>
      </c>
      <c r="X27" s="957"/>
      <c r="Y27" s="920"/>
      <c r="Z27" s="970" t="str">
        <f t="shared" si="15"/>
        <v>项目停车位配比</v>
      </c>
      <c r="AA27" s="969">
        <f t="shared" si="3"/>
        <v>1</v>
      </c>
      <c r="AB27" s="969">
        <f t="shared" si="4"/>
        <v>1</v>
      </c>
      <c r="AC27" s="969">
        <f t="shared" si="5"/>
        <v>1</v>
      </c>
    </row>
    <row r="28" ht="15" spans="1:29">
      <c r="A28" s="1250"/>
      <c r="B28" s="812" t="s">
        <v>1300</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1279</v>
      </c>
      <c r="S28" s="954">
        <f t="shared" si="12"/>
        <v>100</v>
      </c>
      <c r="T28" s="953" t="s">
        <v>1279</v>
      </c>
      <c r="U28" s="954">
        <f t="shared" si="13"/>
        <v>100</v>
      </c>
      <c r="V28" s="953" t="s">
        <v>1279</v>
      </c>
      <c r="W28" s="954">
        <f t="shared" si="14"/>
        <v>100</v>
      </c>
      <c r="X28" s="940"/>
      <c r="Y28" s="920"/>
      <c r="Z28" s="864" t="str">
        <f t="shared" si="15"/>
        <v>公共部分装修</v>
      </c>
      <c r="AA28" s="969">
        <f t="shared" si="3"/>
        <v>1</v>
      </c>
      <c r="AB28" s="969">
        <f t="shared" si="4"/>
        <v>1</v>
      </c>
      <c r="AC28" s="969">
        <f t="shared" si="5"/>
        <v>1</v>
      </c>
    </row>
    <row r="29" ht="15" spans="1:29">
      <c r="A29" s="1250"/>
      <c r="B29" s="812" t="s">
        <v>1376</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1279</v>
      </c>
      <c r="S29" s="954" t="e">
        <f t="shared" si="12"/>
        <v>#N/A</v>
      </c>
      <c r="T29" s="953" t="s">
        <v>1279</v>
      </c>
      <c r="U29" s="954" t="e">
        <f t="shared" si="13"/>
        <v>#N/A</v>
      </c>
      <c r="V29" s="953" t="s">
        <v>1279</v>
      </c>
      <c r="W29" s="954" t="e">
        <f t="shared" si="14"/>
        <v>#N/A</v>
      </c>
      <c r="X29" s="940"/>
      <c r="Y29" s="920"/>
      <c r="Z29" s="864" t="str">
        <f t="shared" si="15"/>
        <v>成新率</v>
      </c>
      <c r="AA29" s="969" t="e">
        <f t="shared" si="3"/>
        <v>#N/A</v>
      </c>
      <c r="AB29" s="969" t="e">
        <f t="shared" si="4"/>
        <v>#N/A</v>
      </c>
      <c r="AC29" s="969" t="e">
        <f t="shared" si="5"/>
        <v>#N/A</v>
      </c>
    </row>
    <row r="30" ht="15" spans="1:29">
      <c r="A30" s="1250"/>
      <c r="B30" s="812" t="s">
        <v>1377</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1279</v>
      </c>
      <c r="S30" s="954">
        <f t="shared" si="12"/>
        <v>100</v>
      </c>
      <c r="T30" s="953" t="s">
        <v>1279</v>
      </c>
      <c r="U30" s="954">
        <f t="shared" si="13"/>
        <v>100</v>
      </c>
      <c r="V30" s="953" t="s">
        <v>1279</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1378</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1279</v>
      </c>
      <c r="S31" s="949" t="e">
        <f t="shared" si="12"/>
        <v>#N/A</v>
      </c>
      <c r="T31" s="948" t="s">
        <v>1279</v>
      </c>
      <c r="U31" s="949" t="e">
        <f t="shared" si="13"/>
        <v>#N/A</v>
      </c>
      <c r="V31" s="948" t="s">
        <v>1279</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1379</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1296</v>
      </c>
      <c r="Q32" s="503" t="str">
        <f t="shared" si="11"/>
        <v>车位类型</v>
      </c>
      <c r="R32" s="953" t="s">
        <v>1279</v>
      </c>
      <c r="S32" s="954">
        <f t="shared" si="12"/>
        <v>100</v>
      </c>
      <c r="T32" s="953" t="s">
        <v>1279</v>
      </c>
      <c r="U32" s="954">
        <f t="shared" si="13"/>
        <v>100</v>
      </c>
      <c r="V32" s="953" t="s">
        <v>1279</v>
      </c>
      <c r="W32" s="954">
        <f t="shared" si="14"/>
        <v>100</v>
      </c>
      <c r="X32" s="940"/>
      <c r="Y32" s="920" t="s">
        <v>1296</v>
      </c>
      <c r="Z32" s="864" t="str">
        <f t="shared" si="15"/>
        <v>车位类型</v>
      </c>
      <c r="AA32" s="969">
        <f t="shared" si="3"/>
        <v>1</v>
      </c>
      <c r="AB32" s="969">
        <f t="shared" si="4"/>
        <v>1</v>
      </c>
      <c r="AC32" s="969">
        <f t="shared" si="5"/>
        <v>1</v>
      </c>
    </row>
    <row r="33" ht="15" spans="1:29">
      <c r="A33" s="1250"/>
      <c r="B33" s="812" t="s">
        <v>1380</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1279</v>
      </c>
      <c r="S33" s="954">
        <f t="shared" si="12"/>
        <v>100</v>
      </c>
      <c r="T33" s="953" t="s">
        <v>1279</v>
      </c>
      <c r="U33" s="954">
        <f t="shared" si="13"/>
        <v>100</v>
      </c>
      <c r="V33" s="953" t="s">
        <v>1279</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1279</v>
      </c>
      <c r="S35" s="956">
        <f t="shared" si="12"/>
        <v>100</v>
      </c>
      <c r="T35" s="955" t="s">
        <v>1279</v>
      </c>
      <c r="U35" s="956">
        <f t="shared" si="13"/>
        <v>100</v>
      </c>
      <c r="V35" s="955" t="s">
        <v>1279</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1279</v>
      </c>
      <c r="S36" s="954">
        <f t="shared" si="12"/>
        <v>100</v>
      </c>
      <c r="T36" s="953" t="s">
        <v>1279</v>
      </c>
      <c r="U36" s="954">
        <f t="shared" si="13"/>
        <v>100</v>
      </c>
      <c r="V36" s="953" t="s">
        <v>1279</v>
      </c>
      <c r="W36" s="954">
        <f t="shared" si="14"/>
        <v>100</v>
      </c>
      <c r="X36" s="940"/>
      <c r="Y36" s="920"/>
      <c r="Z36" s="864">
        <f t="shared" si="15"/>
        <v>111</v>
      </c>
      <c r="AA36" s="969">
        <f t="shared" si="3"/>
        <v>1</v>
      </c>
      <c r="AB36" s="969">
        <f t="shared" si="4"/>
        <v>1</v>
      </c>
      <c r="AC36" s="969">
        <f t="shared" si="5"/>
        <v>1</v>
      </c>
    </row>
    <row r="37" ht="15" spans="1:29">
      <c r="A37" s="833" t="s">
        <v>1381</v>
      </c>
      <c r="B37" s="1253" t="s">
        <v>1382</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75" spans="1:29">
      <c r="A38" s="841" t="s">
        <v>1383</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75" spans="1:29">
      <c r="A39" s="847" t="s">
        <v>1309</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1310</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1311</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1312</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 spans="1:29">
      <c r="A47" s="1254" t="s">
        <v>1313</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5" spans="1:16">
      <c r="A48" s="1184" t="s">
        <v>1277</v>
      </c>
      <c r="B48" s="1185"/>
      <c r="C48" s="1186" t="str">
        <f>YEAR(C7)&amp;"-"&amp;MONTH(C7)</f>
        <v>2018-11</v>
      </c>
      <c r="D48" s="1187">
        <f>EDATE(C48,-1)</f>
        <v>43374</v>
      </c>
      <c r="E48" s="1187">
        <f t="shared" ref="E48:O48" si="16">EDATE(D48,-1)</f>
        <v>43344</v>
      </c>
      <c r="F48" s="1187">
        <f t="shared" si="16"/>
        <v>43313</v>
      </c>
      <c r="G48" s="1187">
        <f t="shared" si="16"/>
        <v>43282</v>
      </c>
      <c r="H48" s="1187">
        <f t="shared" si="16"/>
        <v>43252</v>
      </c>
      <c r="I48" s="1187">
        <f t="shared" si="16"/>
        <v>43221</v>
      </c>
      <c r="J48" s="1187">
        <f t="shared" si="16"/>
        <v>43191</v>
      </c>
      <c r="K48" s="1187">
        <f t="shared" si="16"/>
        <v>43160</v>
      </c>
      <c r="L48" s="1187">
        <f t="shared" si="16"/>
        <v>43132</v>
      </c>
      <c r="M48" s="1187">
        <f t="shared" si="16"/>
        <v>43101</v>
      </c>
      <c r="N48" s="1187">
        <f t="shared" si="16"/>
        <v>43070</v>
      </c>
      <c r="O48" s="1187">
        <f t="shared" si="16"/>
        <v>43040</v>
      </c>
      <c r="P48" s="1027"/>
    </row>
    <row r="49" s="722" customFormat="1" ht="15" spans="1:16">
      <c r="A49" s="1188"/>
      <c r="B49" s="983"/>
      <c r="C49" s="1189">
        <v>100</v>
      </c>
      <c r="D49" s="987"/>
      <c r="E49" s="987"/>
      <c r="F49" s="987"/>
      <c r="G49" s="987"/>
      <c r="H49" s="987"/>
      <c r="I49" s="987"/>
      <c r="J49" s="987"/>
      <c r="K49" s="987"/>
      <c r="L49" s="987"/>
      <c r="M49" s="1199"/>
      <c r="N49" s="987"/>
      <c r="O49" s="1036"/>
      <c r="P49" s="961"/>
    </row>
    <row r="50" s="722" customFormat="1" ht="15.75" spans="1:17">
      <c r="A50" s="978" t="s">
        <v>1314</v>
      </c>
      <c r="B50" s="979"/>
      <c r="C50" s="980"/>
      <c r="D50" s="981"/>
      <c r="E50" s="981"/>
      <c r="F50" s="981"/>
      <c r="G50" s="981"/>
      <c r="H50" s="981"/>
      <c r="I50" s="981"/>
      <c r="J50" s="981"/>
      <c r="K50" s="981"/>
      <c r="L50" s="981"/>
      <c r="M50" s="1030"/>
      <c r="N50" s="981"/>
      <c r="O50" s="1200"/>
      <c r="P50" s="961"/>
      <c r="Q50" s="961"/>
    </row>
    <row r="51" s="722" customFormat="1" ht="15" spans="1:17">
      <c r="A51" s="982" t="s">
        <v>1280</v>
      </c>
      <c r="B51" s="983"/>
      <c r="C51" s="984" t="s">
        <v>1281</v>
      </c>
      <c r="D51" s="985"/>
      <c r="E51" s="985"/>
      <c r="F51" s="985"/>
      <c r="G51" s="985"/>
      <c r="H51" s="985"/>
      <c r="I51" s="985"/>
      <c r="J51" s="985"/>
      <c r="K51" s="985"/>
      <c r="L51" s="1032"/>
      <c r="M51" s="1033"/>
      <c r="N51" s="1275"/>
      <c r="O51" s="1275"/>
      <c r="P51" s="1035"/>
      <c r="Q51" s="961"/>
    </row>
    <row r="52" s="722" customFormat="1" ht="15.75" spans="1:17">
      <c r="A52" s="982"/>
      <c r="B52" s="983"/>
      <c r="C52" s="986">
        <v>100</v>
      </c>
      <c r="D52" s="987"/>
      <c r="E52" s="987"/>
      <c r="F52" s="987"/>
      <c r="G52" s="987"/>
      <c r="H52" s="987"/>
      <c r="I52" s="987"/>
      <c r="J52" s="987"/>
      <c r="K52" s="987"/>
      <c r="L52" s="987"/>
      <c r="M52" s="1036"/>
      <c r="N52" s="1275"/>
      <c r="O52" s="1275"/>
      <c r="P52" s="961"/>
      <c r="Q52" s="961"/>
    </row>
    <row r="53" spans="1:17">
      <c r="A53" s="988" t="s">
        <v>1315</v>
      </c>
      <c r="B53" s="989" t="s">
        <v>1284</v>
      </c>
      <c r="C53" s="1011">
        <f>C9</f>
        <v>0</v>
      </c>
      <c r="D53" s="921"/>
      <c r="E53" s="921"/>
      <c r="F53" s="921"/>
      <c r="G53" s="921"/>
      <c r="H53" s="921"/>
      <c r="I53" s="921"/>
      <c r="J53" s="921"/>
      <c r="K53" s="1037"/>
      <c r="L53" s="1038"/>
      <c r="M53" s="1039"/>
      <c r="N53" s="1276"/>
      <c r="O53" s="1276"/>
      <c r="P53" s="1041"/>
      <c r="Q53" s="961"/>
    </row>
    <row r="54" ht="15.75" spans="1:17">
      <c r="A54" s="990"/>
      <c r="B54" s="991"/>
      <c r="C54" s="992">
        <v>100</v>
      </c>
      <c r="D54" s="992"/>
      <c r="E54" s="992"/>
      <c r="F54" s="992"/>
      <c r="G54" s="992"/>
      <c r="H54" s="992"/>
      <c r="I54" s="992"/>
      <c r="J54" s="992"/>
      <c r="K54" s="992"/>
      <c r="L54" s="992"/>
      <c r="M54" s="1042"/>
      <c r="N54" s="1277"/>
      <c r="O54" s="1277"/>
      <c r="P54" s="1041"/>
      <c r="Q54" s="961"/>
    </row>
    <row r="55" ht="27.75" spans="1:17">
      <c r="A55" s="990"/>
      <c r="B55" s="993" t="s">
        <v>1287</v>
      </c>
      <c r="C55" s="994" t="s">
        <v>1316</v>
      </c>
      <c r="D55" s="994" t="s">
        <v>1317</v>
      </c>
      <c r="E55" s="994" t="s">
        <v>1318</v>
      </c>
      <c r="F55" s="994" t="s">
        <v>1319</v>
      </c>
      <c r="G55" s="994" t="s">
        <v>1320</v>
      </c>
      <c r="H55" s="994" t="s">
        <v>1321</v>
      </c>
      <c r="I55" s="994" t="s">
        <v>1322</v>
      </c>
      <c r="J55" s="994"/>
      <c r="K55" s="1044"/>
      <c r="L55" s="1045"/>
      <c r="M55" s="1046"/>
      <c r="N55" s="1276"/>
      <c r="O55" s="1276"/>
      <c r="P55" s="1041"/>
      <c r="Q55" s="961"/>
    </row>
    <row r="56" ht="15.75" spans="1:17">
      <c r="A56" s="990"/>
      <c r="B56" s="995"/>
      <c r="C56" s="996" t="s">
        <v>1358</v>
      </c>
      <c r="D56" s="996" t="s">
        <v>1358</v>
      </c>
      <c r="E56" s="996">
        <v>100</v>
      </c>
      <c r="F56" s="996">
        <f>E56-$K10</f>
        <v>100</v>
      </c>
      <c r="G56" s="996">
        <f>F56-$K10</f>
        <v>100</v>
      </c>
      <c r="H56" s="996">
        <f>G56-$K10</f>
        <v>100</v>
      </c>
      <c r="I56" s="996">
        <f>H56-$K10</f>
        <v>100</v>
      </c>
      <c r="J56" s="996"/>
      <c r="K56" s="996"/>
      <c r="L56" s="996"/>
      <c r="M56" s="1047"/>
      <c r="N56" s="1277"/>
      <c r="O56" s="1277"/>
      <c r="P56" s="1041"/>
      <c r="Q56" s="961"/>
    </row>
    <row r="57" ht="15.75" spans="1:17">
      <c r="A57" s="990"/>
      <c r="B57" s="1124">
        <f>B11</f>
        <v>111</v>
      </c>
      <c r="C57" s="781"/>
      <c r="D57" s="781"/>
      <c r="E57" s="781"/>
      <c r="F57" s="781"/>
      <c r="G57" s="781"/>
      <c r="H57" s="781"/>
      <c r="I57" s="781"/>
      <c r="J57" s="781"/>
      <c r="K57" s="1048"/>
      <c r="L57" s="1049"/>
      <c r="M57" s="1050"/>
      <c r="N57" s="1276"/>
      <c r="O57" s="1276"/>
      <c r="P57" s="1041"/>
      <c r="Q57" s="961"/>
    </row>
    <row r="58" ht="15.75" spans="1:17">
      <c r="A58" s="990"/>
      <c r="B58" s="991"/>
      <c r="C58" s="1003"/>
      <c r="D58" s="992"/>
      <c r="E58" s="992"/>
      <c r="F58" s="992"/>
      <c r="G58" s="992"/>
      <c r="H58" s="992"/>
      <c r="I58" s="992"/>
      <c r="J58" s="992"/>
      <c r="K58" s="992"/>
      <c r="L58" s="992"/>
      <c r="M58" s="1042"/>
      <c r="N58" s="1277"/>
      <c r="O58" s="1277"/>
      <c r="P58" s="1041"/>
      <c r="Q58" s="961"/>
    </row>
    <row r="59" s="724" customFormat="1" ht="15.75" spans="1:17">
      <c r="A59" s="1000"/>
      <c r="B59" s="993">
        <f>B12</f>
        <v>111</v>
      </c>
      <c r="C59" s="781"/>
      <c r="D59" s="781"/>
      <c r="E59" s="781"/>
      <c r="F59" s="781"/>
      <c r="G59" s="1001"/>
      <c r="H59" s="1002"/>
      <c r="I59" s="1002"/>
      <c r="J59" s="1002"/>
      <c r="K59" s="1002"/>
      <c r="L59" s="1051"/>
      <c r="M59" s="1052"/>
      <c r="N59" s="1278"/>
      <c r="O59" s="1278"/>
      <c r="P59" s="1054"/>
      <c r="Q59" s="1084"/>
    </row>
    <row r="60" s="724" customFormat="1" ht="15.75" spans="1:17">
      <c r="A60" s="1000"/>
      <c r="B60" s="995"/>
      <c r="C60" s="1003"/>
      <c r="D60" s="992"/>
      <c r="E60" s="992"/>
      <c r="F60" s="992"/>
      <c r="G60" s="992"/>
      <c r="H60" s="992"/>
      <c r="I60" s="992"/>
      <c r="J60" s="992"/>
      <c r="K60" s="992"/>
      <c r="L60" s="992"/>
      <c r="M60" s="1042"/>
      <c r="N60" s="1277"/>
      <c r="O60" s="1277"/>
      <c r="P60" s="1054"/>
      <c r="Q60" s="1084"/>
    </row>
    <row r="61" s="724" customFormat="1" ht="15.75" spans="1:17">
      <c r="A61" s="1000"/>
      <c r="B61" s="993">
        <f>B13</f>
        <v>111</v>
      </c>
      <c r="C61" s="1001"/>
      <c r="D61" s="1001"/>
      <c r="E61" s="1001"/>
      <c r="F61" s="1001"/>
      <c r="G61" s="1001"/>
      <c r="H61" s="1002"/>
      <c r="I61" s="1002"/>
      <c r="J61" s="1002"/>
      <c r="K61" s="1002"/>
      <c r="L61" s="1051"/>
      <c r="M61" s="1052"/>
      <c r="N61" s="1278"/>
      <c r="O61" s="1278"/>
      <c r="P61" s="1055"/>
      <c r="Q61" s="1085"/>
    </row>
    <row r="62" s="724" customFormat="1" ht="15.75" spans="1:17">
      <c r="A62" s="1000"/>
      <c r="B62" s="995"/>
      <c r="C62" s="1003"/>
      <c r="D62" s="1003"/>
      <c r="E62" s="1003"/>
      <c r="F62" s="1003"/>
      <c r="G62" s="1003"/>
      <c r="H62" s="1004"/>
      <c r="I62" s="1004"/>
      <c r="J62" s="1004"/>
      <c r="K62" s="1004"/>
      <c r="L62" s="1004"/>
      <c r="M62" s="1056"/>
      <c r="N62" s="1278"/>
      <c r="O62" s="1278"/>
      <c r="P62" s="1054"/>
      <c r="Q62" s="1084"/>
    </row>
    <row r="63" ht="15" spans="1:17">
      <c r="A63" s="988" t="s">
        <v>1289</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5.7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7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5.7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75" spans="1:17">
      <c r="A67" s="990"/>
      <c r="B67" s="997" t="s">
        <v>214</v>
      </c>
      <c r="C67" s="994" t="s">
        <v>1323</v>
      </c>
      <c r="D67" s="994" t="s">
        <v>1324</v>
      </c>
      <c r="E67" s="994" t="s">
        <v>1325</v>
      </c>
      <c r="F67" s="994" t="s">
        <v>1326</v>
      </c>
      <c r="G67" s="994" t="s">
        <v>1327</v>
      </c>
      <c r="H67" s="994"/>
      <c r="I67" s="994"/>
      <c r="J67" s="994"/>
      <c r="K67" s="994"/>
      <c r="L67" s="994"/>
      <c r="M67" s="1126"/>
      <c r="N67" s="1277"/>
      <c r="O67" s="1277"/>
      <c r="P67" s="1041"/>
      <c r="Q67" s="961"/>
    </row>
    <row r="68" ht="15.7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75" spans="1:17">
      <c r="A69" s="990"/>
      <c r="B69" s="993" t="s">
        <v>566</v>
      </c>
      <c r="C69" s="1012" t="s">
        <v>228</v>
      </c>
      <c r="D69" s="1012" t="s">
        <v>240</v>
      </c>
      <c r="E69" s="1012" t="s">
        <v>251</v>
      </c>
      <c r="F69" s="1012" t="s">
        <v>261</v>
      </c>
      <c r="G69" s="1012" t="s">
        <v>268</v>
      </c>
      <c r="H69" s="994"/>
      <c r="I69" s="994"/>
      <c r="J69" s="994"/>
      <c r="K69" s="1044"/>
      <c r="L69" s="1045"/>
      <c r="M69" s="1046"/>
      <c r="N69" s="1276"/>
      <c r="O69" s="1276"/>
      <c r="P69" s="1041"/>
      <c r="Q69" s="961"/>
    </row>
    <row r="70" ht="15.7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75" spans="1:17">
      <c r="A71" s="990"/>
      <c r="B71" s="993" t="s">
        <v>1351</v>
      </c>
      <c r="C71" s="1001"/>
      <c r="D71" s="1001"/>
      <c r="E71" s="1001"/>
      <c r="F71" s="1001"/>
      <c r="G71" s="1001"/>
      <c r="H71" s="1017"/>
      <c r="I71" s="1017"/>
      <c r="J71" s="1017"/>
      <c r="K71" s="1071"/>
      <c r="L71" s="1072"/>
      <c r="M71" s="1073"/>
      <c r="N71" s="1276"/>
      <c r="O71" s="1276"/>
      <c r="P71" s="1041"/>
      <c r="Q71" s="961"/>
    </row>
    <row r="72" ht="15.7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5.75" spans="1:17">
      <c r="A73" s="1013"/>
      <c r="B73" s="993">
        <f>B23</f>
        <v>111</v>
      </c>
      <c r="C73" s="781"/>
      <c r="D73" s="781"/>
      <c r="E73" s="781"/>
      <c r="F73" s="781"/>
      <c r="G73" s="1001"/>
      <c r="H73" s="1001"/>
      <c r="I73" s="1001"/>
      <c r="J73" s="1001"/>
      <c r="K73" s="1001"/>
      <c r="L73" s="1205"/>
      <c r="M73" s="1206"/>
      <c r="N73" s="1275"/>
      <c r="O73" s="1275"/>
      <c r="P73" s="1041"/>
      <c r="Q73" s="961"/>
    </row>
    <row r="74" s="722" customFormat="1" ht="15.75" spans="1:17">
      <c r="A74" s="1013"/>
      <c r="B74" s="995"/>
      <c r="C74" s="1003"/>
      <c r="D74" s="992"/>
      <c r="E74" s="992"/>
      <c r="F74" s="992"/>
      <c r="G74" s="992"/>
      <c r="H74" s="992"/>
      <c r="I74" s="992"/>
      <c r="J74" s="992"/>
      <c r="K74" s="992"/>
      <c r="L74" s="992"/>
      <c r="M74" s="1042"/>
      <c r="N74" s="1277"/>
      <c r="O74" s="1277"/>
      <c r="P74" s="1041"/>
      <c r="Q74" s="961"/>
    </row>
    <row r="75" s="722" customFormat="1" ht="15.75" spans="1:17">
      <c r="A75" s="1013"/>
      <c r="B75" s="993">
        <f>B24</f>
        <v>111</v>
      </c>
      <c r="C75" s="781"/>
      <c r="D75" s="781"/>
      <c r="E75" s="781"/>
      <c r="F75" s="781"/>
      <c r="G75" s="1001"/>
      <c r="H75" s="1001"/>
      <c r="I75" s="1001"/>
      <c r="J75" s="1001"/>
      <c r="K75" s="1001"/>
      <c r="L75" s="1001"/>
      <c r="M75" s="1206"/>
      <c r="N75" s="1275"/>
      <c r="O75" s="1275"/>
      <c r="P75" s="1041"/>
      <c r="Q75" s="961"/>
    </row>
    <row r="76" s="722" customFormat="1" ht="15.75" spans="1:17">
      <c r="A76" s="1013"/>
      <c r="B76" s="995"/>
      <c r="C76" s="1003"/>
      <c r="D76" s="992"/>
      <c r="E76" s="992"/>
      <c r="F76" s="992"/>
      <c r="G76" s="992"/>
      <c r="H76" s="992"/>
      <c r="I76" s="992"/>
      <c r="J76" s="992"/>
      <c r="K76" s="992"/>
      <c r="L76" s="992"/>
      <c r="M76" s="1042"/>
      <c r="N76" s="1277"/>
      <c r="O76" s="1277"/>
      <c r="P76" s="1041"/>
      <c r="Q76" s="961"/>
    </row>
    <row r="77" s="724" customFormat="1" ht="15.75" spans="1:17">
      <c r="A77" s="1000"/>
      <c r="B77" s="993">
        <f>B25</f>
        <v>111</v>
      </c>
      <c r="C77" s="1001"/>
      <c r="D77" s="1001"/>
      <c r="E77" s="1001"/>
      <c r="F77" s="1001"/>
      <c r="G77" s="1001"/>
      <c r="H77" s="1002"/>
      <c r="I77" s="1002"/>
      <c r="J77" s="1002"/>
      <c r="K77" s="1002"/>
      <c r="L77" s="1051"/>
      <c r="M77" s="1052"/>
      <c r="N77" s="1278"/>
      <c r="O77" s="1278"/>
      <c r="P77" s="1054"/>
      <c r="Q77" s="1084"/>
    </row>
    <row r="78" s="724" customFormat="1" ht="15.75" spans="1:17">
      <c r="A78" s="1000"/>
      <c r="B78" s="995"/>
      <c r="C78" s="1003"/>
      <c r="D78" s="1003"/>
      <c r="E78" s="1003"/>
      <c r="F78" s="1003"/>
      <c r="G78" s="992"/>
      <c r="H78" s="992"/>
      <c r="I78" s="992"/>
      <c r="J78" s="992"/>
      <c r="K78" s="992"/>
      <c r="L78" s="992"/>
      <c r="M78" s="1042"/>
      <c r="N78" s="1278"/>
      <c r="O78" s="1278"/>
      <c r="P78" s="1054"/>
      <c r="Q78" s="1084"/>
    </row>
    <row r="79" ht="27.75" spans="1:17">
      <c r="A79" s="988" t="s">
        <v>1294</v>
      </c>
      <c r="B79" s="989" t="s">
        <v>1384</v>
      </c>
      <c r="C79" s="1011">
        <f>C26</f>
        <v>0</v>
      </c>
      <c r="D79" s="921"/>
      <c r="E79" s="921"/>
      <c r="F79" s="921"/>
      <c r="G79" s="921"/>
      <c r="H79" s="921"/>
      <c r="I79" s="921"/>
      <c r="J79" s="921"/>
      <c r="K79" s="1037"/>
      <c r="L79" s="1038"/>
      <c r="M79" s="1039"/>
      <c r="N79" s="1276"/>
      <c r="O79" s="1276"/>
      <c r="P79" s="1041"/>
      <c r="Q79" s="961"/>
    </row>
    <row r="80" ht="15.7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75" spans="1:17">
      <c r="A81" s="990"/>
      <c r="B81" s="993" t="s">
        <v>1375</v>
      </c>
      <c r="C81" s="1280"/>
      <c r="D81" s="1280"/>
      <c r="E81" s="1280"/>
      <c r="F81" s="1280"/>
      <c r="G81" s="1280"/>
      <c r="H81" s="1280"/>
      <c r="I81" s="1280"/>
      <c r="J81" s="1280"/>
      <c r="K81" s="1281"/>
      <c r="L81" s="1282"/>
      <c r="M81" s="1283"/>
      <c r="N81" s="1275"/>
      <c r="O81" s="1275"/>
      <c r="P81" s="1041"/>
      <c r="Q81" s="961"/>
    </row>
    <row r="82" s="724" customFormat="1" ht="15.75" spans="1:17">
      <c r="A82" s="1000"/>
      <c r="B82" s="995"/>
      <c r="C82" s="1003"/>
      <c r="D82" s="992"/>
      <c r="E82" s="992"/>
      <c r="F82" s="992"/>
      <c r="G82" s="992"/>
      <c r="H82" s="992"/>
      <c r="I82" s="992"/>
      <c r="J82" s="992"/>
      <c r="K82" s="992"/>
      <c r="L82" s="992"/>
      <c r="M82" s="1042"/>
      <c r="N82" s="1277"/>
      <c r="O82" s="1277"/>
      <c r="P82" s="1054"/>
      <c r="Q82" s="1084"/>
    </row>
    <row r="83" ht="15.75" spans="1:17">
      <c r="A83" s="1024"/>
      <c r="B83" s="993" t="s">
        <v>1300</v>
      </c>
      <c r="C83" s="1001"/>
      <c r="D83" s="1001"/>
      <c r="E83" s="1017"/>
      <c r="F83" s="1017"/>
      <c r="G83" s="1017"/>
      <c r="H83" s="1017"/>
      <c r="I83" s="1017"/>
      <c r="J83" s="1017"/>
      <c r="K83" s="1071"/>
      <c r="L83" s="1072"/>
      <c r="M83" s="1073"/>
      <c r="N83" s="1276"/>
      <c r="O83" s="1276"/>
      <c r="P83" s="1041"/>
      <c r="Q83" s="961"/>
    </row>
    <row r="84" ht="15.7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75" spans="1:17">
      <c r="A85" s="1024"/>
      <c r="B85" s="993" t="s">
        <v>1376</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ht="15" spans="1:17">
      <c r="A86" s="1024"/>
      <c r="B86" s="997"/>
      <c r="C86" s="370">
        <v>0.5</v>
      </c>
      <c r="D86" s="370">
        <v>0.6</v>
      </c>
      <c r="E86" s="370">
        <v>0.7</v>
      </c>
      <c r="F86" s="370">
        <v>0.8</v>
      </c>
      <c r="G86" s="370">
        <v>0.9</v>
      </c>
      <c r="H86" s="370">
        <v>1</v>
      </c>
      <c r="I86" s="1284"/>
      <c r="J86" s="1284"/>
      <c r="K86" s="1285"/>
      <c r="L86" s="1286"/>
      <c r="M86" s="1287"/>
      <c r="N86" s="1276"/>
      <c r="O86" s="1276"/>
      <c r="P86" s="1041"/>
      <c r="Q86" s="961"/>
    </row>
    <row r="87" ht="15.7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75" spans="1:17">
      <c r="A88" s="1024"/>
      <c r="B88" s="997" t="s">
        <v>1377</v>
      </c>
      <c r="C88" s="921"/>
      <c r="D88" s="921"/>
      <c r="E88" s="921"/>
      <c r="F88" s="921"/>
      <c r="G88" s="921"/>
      <c r="H88" s="921"/>
      <c r="I88" s="921"/>
      <c r="J88" s="921"/>
      <c r="K88" s="1037"/>
      <c r="L88" s="1038"/>
      <c r="M88" s="1039"/>
      <c r="N88" s="1276"/>
      <c r="O88" s="1276"/>
      <c r="P88" s="1041"/>
      <c r="Q88" s="961"/>
    </row>
    <row r="89" ht="15.7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75" spans="1:17">
      <c r="A90" s="1020"/>
      <c r="B90" s="993" t="s">
        <v>1378</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ht="15" spans="1:17">
      <c r="A91" s="1020"/>
      <c r="B91" s="997"/>
      <c r="C91" s="977"/>
      <c r="D91" s="977"/>
      <c r="E91" s="977"/>
      <c r="F91" s="977"/>
      <c r="G91" s="977"/>
      <c r="H91" s="977"/>
      <c r="I91" s="977"/>
      <c r="J91" s="1078"/>
      <c r="K91" s="1078"/>
      <c r="L91" s="1079"/>
      <c r="M91" s="1080"/>
      <c r="N91" s="1278"/>
      <c r="O91" s="1278"/>
      <c r="P91" s="1054"/>
      <c r="Q91" s="1084"/>
    </row>
    <row r="92" s="724" customFormat="1" ht="15.75" spans="1:17">
      <c r="A92" s="1000"/>
      <c r="B92" s="995"/>
      <c r="C92" s="1003"/>
      <c r="D92" s="992"/>
      <c r="E92" s="992"/>
      <c r="F92" s="992"/>
      <c r="G92" s="992"/>
      <c r="H92" s="992"/>
      <c r="I92" s="992"/>
      <c r="J92" s="992"/>
      <c r="K92" s="992"/>
      <c r="L92" s="992"/>
      <c r="M92" s="1042"/>
      <c r="N92" s="1278"/>
      <c r="O92" s="1278"/>
      <c r="P92" s="1054"/>
      <c r="Q92" s="1084"/>
    </row>
    <row r="93" ht="15.75" spans="1:17">
      <c r="A93" s="1024"/>
      <c r="B93" s="993" t="s">
        <v>1379</v>
      </c>
      <c r="C93" s="1001"/>
      <c r="D93" s="1001"/>
      <c r="E93" s="1017"/>
      <c r="F93" s="1017"/>
      <c r="G93" s="1017"/>
      <c r="H93" s="1017"/>
      <c r="I93" s="1017"/>
      <c r="J93" s="1017"/>
      <c r="K93" s="1071"/>
      <c r="L93" s="1072"/>
      <c r="M93" s="1073"/>
      <c r="N93" s="1276"/>
      <c r="O93" s="1276"/>
      <c r="P93" s="1041"/>
      <c r="Q93" s="961"/>
    </row>
    <row r="94" ht="15.7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75" spans="1:17">
      <c r="A95" s="1024"/>
      <c r="B95" s="993" t="s">
        <v>1380</v>
      </c>
      <c r="C95" s="921"/>
      <c r="D95" s="921"/>
      <c r="E95" s="921"/>
      <c r="F95" s="921"/>
      <c r="G95" s="921"/>
      <c r="H95" s="921"/>
      <c r="I95" s="921"/>
      <c r="J95" s="921"/>
      <c r="K95" s="1037"/>
      <c r="L95" s="1038"/>
      <c r="M95" s="1039"/>
      <c r="N95" s="1276"/>
      <c r="O95" s="1276"/>
      <c r="P95" s="1041"/>
      <c r="Q95" s="961"/>
    </row>
    <row r="96" ht="15.7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5.75" spans="1:17">
      <c r="A97" s="1024"/>
      <c r="B97" s="1204">
        <f>B34</f>
        <v>111</v>
      </c>
      <c r="C97" s="781"/>
      <c r="D97" s="781"/>
      <c r="E97" s="781"/>
      <c r="F97" s="781"/>
      <c r="G97" s="1001"/>
      <c r="H97" s="1002"/>
      <c r="I97" s="1002"/>
      <c r="J97" s="1002"/>
      <c r="K97" s="1002"/>
      <c r="L97" s="1051"/>
      <c r="M97" s="1052"/>
      <c r="N97" s="1277"/>
      <c r="O97" s="1277"/>
      <c r="P97" s="1210"/>
      <c r="Q97" s="1211"/>
    </row>
    <row r="98" ht="15.75" spans="1:17">
      <c r="A98" s="990"/>
      <c r="B98" s="995"/>
      <c r="C98" s="1003"/>
      <c r="D98" s="992"/>
      <c r="E98" s="992"/>
      <c r="F98" s="992"/>
      <c r="G98" s="1003"/>
      <c r="H98" s="1004"/>
      <c r="I98" s="1004"/>
      <c r="J98" s="1004"/>
      <c r="K98" s="1004"/>
      <c r="L98" s="1004"/>
      <c r="M98" s="1056"/>
      <c r="N98" s="1277"/>
      <c r="O98" s="1277"/>
      <c r="P98" s="1041"/>
      <c r="Q98" s="961"/>
    </row>
    <row r="99" s="724" customFormat="1" ht="15.75" spans="1:17">
      <c r="A99" s="1020"/>
      <c r="B99" s="993">
        <f>B35</f>
        <v>111</v>
      </c>
      <c r="C99" s="781"/>
      <c r="D99" s="781"/>
      <c r="E99" s="781"/>
      <c r="F99" s="781"/>
      <c r="G99" s="1001"/>
      <c r="H99" s="1002"/>
      <c r="I99" s="1002"/>
      <c r="J99" s="1002"/>
      <c r="K99" s="1002"/>
      <c r="L99" s="1051"/>
      <c r="M99" s="1052"/>
      <c r="N99" s="1278"/>
      <c r="O99" s="1278"/>
      <c r="P99" s="1054"/>
      <c r="Q99" s="1084"/>
    </row>
    <row r="100" s="724" customFormat="1" ht="15.75" spans="1:17">
      <c r="A100" s="1000"/>
      <c r="B100" s="991"/>
      <c r="C100" s="1003"/>
      <c r="D100" s="992"/>
      <c r="E100" s="992"/>
      <c r="F100" s="992"/>
      <c r="G100" s="1003"/>
      <c r="H100" s="1004"/>
      <c r="I100" s="1004"/>
      <c r="J100" s="1004"/>
      <c r="K100" s="1004"/>
      <c r="L100" s="1004"/>
      <c r="M100" s="1056"/>
      <c r="N100" s="1278"/>
      <c r="O100" s="1278"/>
      <c r="P100" s="1054"/>
      <c r="Q100" s="1084"/>
    </row>
    <row r="101" ht="15.75" spans="1:17">
      <c r="A101" s="1024"/>
      <c r="B101" s="993">
        <f>B36</f>
        <v>111</v>
      </c>
      <c r="C101" s="1001"/>
      <c r="D101" s="1001"/>
      <c r="E101" s="1001"/>
      <c r="F101" s="1001"/>
      <c r="G101" s="1001"/>
      <c r="H101" s="1002"/>
      <c r="I101" s="1002"/>
      <c r="J101" s="1002"/>
      <c r="K101" s="1002"/>
      <c r="L101" s="1051"/>
      <c r="M101" s="1052"/>
      <c r="N101" s="1276"/>
      <c r="O101" s="1276"/>
      <c r="P101" s="1041"/>
      <c r="Q101" s="961"/>
    </row>
    <row r="102" ht="15.75" spans="1:17">
      <c r="A102" s="990"/>
      <c r="B102" s="995"/>
      <c r="C102" s="1003"/>
      <c r="D102" s="1003"/>
      <c r="E102" s="1003"/>
      <c r="F102" s="1003"/>
      <c r="G102" s="1003"/>
      <c r="H102" s="1004"/>
      <c r="I102" s="1004"/>
      <c r="J102" s="1004"/>
      <c r="K102" s="1004"/>
      <c r="L102" s="1004"/>
      <c r="M102" s="1056"/>
      <c r="N102" s="1277"/>
      <c r="O102" s="1277"/>
      <c r="P102" s="1041"/>
      <c r="Q10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 ca="1">ROUND(IF(D2="——",C37,IF(C2="万元",B2*10000/D3,B2/D3)),0)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34" si="3">D8/F8</f>
        <v>#DIV/0!</v>
      </c>
      <c r="AB8" s="967" t="e">
        <f t="shared" ref="AB8:AB34" si="4">D8/H8</f>
        <v>#DIV/0!</v>
      </c>
      <c r="AC8" s="967" t="e">
        <f t="shared" ref="AC8:AC34" si="5">D8/J8</f>
        <v>#DIV/0!</v>
      </c>
    </row>
    <row r="9" s="722" customFormat="1" spans="1:29">
      <c r="A9" s="767" t="s">
        <v>1283</v>
      </c>
      <c r="B9" s="768" t="s">
        <v>1284</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771"/>
      <c r="B10" s="772" t="s">
        <v>1287</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89" t="s">
        <v>1289</v>
      </c>
      <c r="B14" s="1149" t="s">
        <v>211</v>
      </c>
      <c r="C14" s="791" t="str">
        <f>IF(B1="工业",估价对象房地状况!G4,估价对象房地状况!C6)</f>
        <v>估价对象周边道路状况、公共交通通达情况、停车便捷程度，综合评价交通便捷度好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40.5" spans="1:29">
      <c r="A16" s="775"/>
      <c r="B16" s="799" t="s">
        <v>213</v>
      </c>
      <c r="C16" s="800" t="str">
        <f>IF(B1="工业",估价对象房地状况!G5,估价对象房地状况!C7)</f>
        <v>估价对象所在区域公共配套设施完备程度好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40.5" spans="1:29">
      <c r="A18" s="775"/>
      <c r="B18" s="807" t="s">
        <v>214</v>
      </c>
      <c r="C18" s="800" t="str">
        <f>IF(B1="工业",估价对象房地状况!G6,估价对象房地状况!C8)</f>
        <v>估价对象所在区域红线外基础设施水平六通一平</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122.25" spans="1:29">
      <c r="A20" s="775"/>
      <c r="B20" s="1155" t="s">
        <v>566</v>
      </c>
      <c r="C20" s="800" t="str">
        <f>IF(B1="工业",估价对象房地状况!G7,估价对象房地状况!C9)</f>
        <v>区域自然环境：CBD历史文化公园、呼家楼社区公园、联馨园；人文环境韩国文化院、考文垂大学、北京今日美术馆：综合评价环境状况好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1351</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161" t="s">
        <v>1294</v>
      </c>
      <c r="B26" s="768" t="s">
        <v>1300</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1296</v>
      </c>
      <c r="Q26" s="503" t="str">
        <f t="shared" si="11"/>
        <v>公共部分装修</v>
      </c>
      <c r="R26" s="953" t="s">
        <v>1279</v>
      </c>
      <c r="S26" s="954">
        <f t="shared" ref="S26:S34" si="12">F26</f>
        <v>100</v>
      </c>
      <c r="T26" s="953" t="s">
        <v>1279</v>
      </c>
      <c r="U26" s="954">
        <f t="shared" ref="U26:U34" si="13">H26</f>
        <v>100</v>
      </c>
      <c r="V26" s="953" t="s">
        <v>1279</v>
      </c>
      <c r="W26" s="954">
        <f t="shared" ref="W26:W34" si="14">J26</f>
        <v>100</v>
      </c>
      <c r="X26" s="940"/>
      <c r="Y26" s="920" t="s">
        <v>1296</v>
      </c>
      <c r="Z26" s="864" t="str">
        <f t="shared" ref="Z26:Z34" si="15">Q26</f>
        <v>公共部分装修</v>
      </c>
      <c r="AA26" s="969">
        <f t="shared" si="3"/>
        <v>1</v>
      </c>
      <c r="AB26" s="969">
        <f t="shared" si="4"/>
        <v>1</v>
      </c>
      <c r="AC26" s="969">
        <f t="shared" si="5"/>
        <v>1</v>
      </c>
    </row>
    <row r="27" s="724" customFormat="1" ht="15" spans="1:29">
      <c r="A27" s="831"/>
      <c r="B27" s="772" t="s">
        <v>1376</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1279</v>
      </c>
      <c r="S27" s="956" t="e">
        <f t="shared" si="12"/>
        <v>#N/A</v>
      </c>
      <c r="T27" s="955" t="s">
        <v>1279</v>
      </c>
      <c r="U27" s="956" t="e">
        <f t="shared" si="13"/>
        <v>#N/A</v>
      </c>
      <c r="V27" s="955" t="s">
        <v>1279</v>
      </c>
      <c r="W27" s="956" t="e">
        <f t="shared" si="14"/>
        <v>#N/A</v>
      </c>
      <c r="X27" s="957"/>
      <c r="Y27" s="920"/>
      <c r="Z27" s="970" t="str">
        <f t="shared" si="15"/>
        <v>成新率</v>
      </c>
      <c r="AA27" s="969" t="e">
        <f t="shared" si="3"/>
        <v>#N/A</v>
      </c>
      <c r="AB27" s="969" t="e">
        <f t="shared" si="4"/>
        <v>#N/A</v>
      </c>
      <c r="AC27" s="969" t="e">
        <f t="shared" si="5"/>
        <v>#N/A</v>
      </c>
    </row>
    <row r="28" ht="15" spans="1:29">
      <c r="A28" s="823"/>
      <c r="B28" s="772" t="s">
        <v>1377</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1279</v>
      </c>
      <c r="S28" s="954">
        <f t="shared" si="12"/>
        <v>100</v>
      </c>
      <c r="T28" s="953" t="s">
        <v>1279</v>
      </c>
      <c r="U28" s="954">
        <f t="shared" si="13"/>
        <v>100</v>
      </c>
      <c r="V28" s="953" t="s">
        <v>1279</v>
      </c>
      <c r="W28" s="954">
        <f t="shared" si="14"/>
        <v>100</v>
      </c>
      <c r="X28" s="940"/>
      <c r="Y28" s="920"/>
      <c r="Z28" s="864" t="str">
        <f t="shared" si="15"/>
        <v>物业等级</v>
      </c>
      <c r="AA28" s="969">
        <f t="shared" si="3"/>
        <v>1</v>
      </c>
      <c r="AB28" s="969">
        <f t="shared" si="4"/>
        <v>1</v>
      </c>
      <c r="AC28" s="969">
        <f t="shared" si="5"/>
        <v>1</v>
      </c>
    </row>
    <row r="29" ht="15" spans="1:29">
      <c r="A29" s="823"/>
      <c r="B29" s="772" t="s">
        <v>1385</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1279</v>
      </c>
      <c r="S29" s="954">
        <f t="shared" si="12"/>
        <v>100</v>
      </c>
      <c r="T29" s="953" t="s">
        <v>1279</v>
      </c>
      <c r="U29" s="954">
        <f t="shared" si="13"/>
        <v>100</v>
      </c>
      <c r="V29" s="953" t="s">
        <v>1279</v>
      </c>
      <c r="W29" s="954">
        <f t="shared" si="14"/>
        <v>100</v>
      </c>
      <c r="X29" s="940"/>
      <c r="Y29" s="920"/>
      <c r="Z29" s="864" t="str">
        <f t="shared" si="15"/>
        <v>有无电梯</v>
      </c>
      <c r="AA29" s="969">
        <f t="shared" si="3"/>
        <v>1</v>
      </c>
      <c r="AB29" s="969">
        <f t="shared" si="4"/>
        <v>1</v>
      </c>
      <c r="AC29" s="969">
        <f t="shared" si="5"/>
        <v>1</v>
      </c>
    </row>
    <row r="30" ht="15" spans="1:29">
      <c r="A30" s="823"/>
      <c r="B30" s="772" t="s">
        <v>800</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1279</v>
      </c>
      <c r="S30" s="954" t="e">
        <f t="shared" si="12"/>
        <v>#N/A</v>
      </c>
      <c r="T30" s="953" t="s">
        <v>1279</v>
      </c>
      <c r="U30" s="954" t="e">
        <f t="shared" si="13"/>
        <v>#N/A</v>
      </c>
      <c r="V30" s="953" t="s">
        <v>1279</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1386</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1279</v>
      </c>
      <c r="S31" s="949">
        <f t="shared" si="12"/>
        <v>100</v>
      </c>
      <c r="T31" s="948" t="s">
        <v>1279</v>
      </c>
      <c r="U31" s="949">
        <f t="shared" si="13"/>
        <v>100</v>
      </c>
      <c r="V31" s="948" t="s">
        <v>1279</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1296</v>
      </c>
      <c r="Q32" s="503">
        <f t="shared" si="11"/>
        <v>111</v>
      </c>
      <c r="R32" s="953" t="s">
        <v>1279</v>
      </c>
      <c r="S32" s="954">
        <f t="shared" si="12"/>
        <v>100</v>
      </c>
      <c r="T32" s="953" t="s">
        <v>1279</v>
      </c>
      <c r="U32" s="954">
        <f t="shared" si="13"/>
        <v>100</v>
      </c>
      <c r="V32" s="953" t="s">
        <v>1279</v>
      </c>
      <c r="W32" s="954">
        <f t="shared" si="14"/>
        <v>100</v>
      </c>
      <c r="X32" s="940"/>
      <c r="Y32" s="920" t="s">
        <v>1296</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1279</v>
      </c>
      <c r="S33" s="954">
        <f t="shared" si="12"/>
        <v>100</v>
      </c>
      <c r="T33" s="953" t="s">
        <v>1279</v>
      </c>
      <c r="U33" s="954">
        <f t="shared" si="13"/>
        <v>100</v>
      </c>
      <c r="V33" s="953" t="s">
        <v>1279</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ht="15" spans="1:29">
      <c r="A35" s="833" t="s">
        <v>1307</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75" spans="1:29">
      <c r="A36" s="841" t="s">
        <v>1308</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75" spans="1:29">
      <c r="A37" s="847" t="s">
        <v>1309</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1310</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1311</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1312</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 spans="1:17">
      <c r="A45" s="879" t="s">
        <v>1313</v>
      </c>
      <c r="B45" s="880"/>
      <c r="C45" s="881"/>
      <c r="D45" s="881"/>
      <c r="E45" s="881"/>
      <c r="F45" s="882"/>
      <c r="G45" s="882"/>
      <c r="H45" s="881"/>
      <c r="I45" s="881"/>
      <c r="J45" s="881"/>
      <c r="K45" s="1197"/>
      <c r="L45" s="1198"/>
      <c r="M45" s="881"/>
      <c r="N45" s="881"/>
      <c r="O45" s="881"/>
      <c r="P45" s="936"/>
      <c r="Q45" s="961"/>
    </row>
    <row r="46" s="727" customFormat="1" ht="15" spans="1:16">
      <c r="A46" s="1184" t="s">
        <v>1277</v>
      </c>
      <c r="B46" s="1185"/>
      <c r="C46" s="1186" t="str">
        <f>YEAR(C7)&amp;"-"&amp;MONTH(C7)</f>
        <v>2018-11</v>
      </c>
      <c r="D46" s="1187">
        <f>EDATE(C46,-1)</f>
        <v>43374</v>
      </c>
      <c r="E46" s="1187">
        <f t="shared" ref="E46:O46" si="16">EDATE(D46,-1)</f>
        <v>43344</v>
      </c>
      <c r="F46" s="1187">
        <f t="shared" si="16"/>
        <v>43313</v>
      </c>
      <c r="G46" s="1187">
        <f t="shared" si="16"/>
        <v>43282</v>
      </c>
      <c r="H46" s="1187">
        <f t="shared" si="16"/>
        <v>43252</v>
      </c>
      <c r="I46" s="1187">
        <f t="shared" si="16"/>
        <v>43221</v>
      </c>
      <c r="J46" s="1187">
        <f t="shared" si="16"/>
        <v>43191</v>
      </c>
      <c r="K46" s="1187">
        <f t="shared" si="16"/>
        <v>43160</v>
      </c>
      <c r="L46" s="1187">
        <f t="shared" si="16"/>
        <v>43132</v>
      </c>
      <c r="M46" s="1187">
        <f t="shared" si="16"/>
        <v>43101</v>
      </c>
      <c r="N46" s="1187">
        <f t="shared" si="16"/>
        <v>43070</v>
      </c>
      <c r="O46" s="1187">
        <f t="shared" si="16"/>
        <v>43040</v>
      </c>
      <c r="P46" s="1027"/>
    </row>
    <row r="47" s="722" customFormat="1" ht="15" spans="1:16">
      <c r="A47" s="1188"/>
      <c r="B47" s="983"/>
      <c r="C47" s="1189">
        <v>100</v>
      </c>
      <c r="D47" s="987"/>
      <c r="E47" s="987"/>
      <c r="F47" s="987"/>
      <c r="G47" s="987"/>
      <c r="H47" s="987"/>
      <c r="I47" s="987"/>
      <c r="J47" s="987"/>
      <c r="K47" s="987"/>
      <c r="L47" s="987"/>
      <c r="M47" s="1199"/>
      <c r="N47" s="987"/>
      <c r="O47" s="1036"/>
      <c r="P47" s="961"/>
    </row>
    <row r="48" s="722" customFormat="1" ht="15.75" spans="1:17">
      <c r="A48" s="978" t="s">
        <v>1314</v>
      </c>
      <c r="B48" s="979"/>
      <c r="C48" s="980"/>
      <c r="D48" s="981"/>
      <c r="E48" s="981"/>
      <c r="F48" s="981"/>
      <c r="G48" s="981"/>
      <c r="H48" s="981"/>
      <c r="I48" s="981"/>
      <c r="J48" s="981"/>
      <c r="K48" s="981"/>
      <c r="L48" s="981"/>
      <c r="M48" s="1030"/>
      <c r="N48" s="981"/>
      <c r="O48" s="1200"/>
      <c r="P48" s="961"/>
      <c r="Q48" s="961"/>
    </row>
    <row r="49" s="722" customFormat="1" ht="15" spans="1:17">
      <c r="A49" s="982" t="s">
        <v>1280</v>
      </c>
      <c r="B49" s="983"/>
      <c r="C49" s="984" t="s">
        <v>1281</v>
      </c>
      <c r="D49" s="985"/>
      <c r="E49" s="985"/>
      <c r="F49" s="985"/>
      <c r="G49" s="985"/>
      <c r="H49" s="985"/>
      <c r="I49" s="985"/>
      <c r="J49" s="985"/>
      <c r="K49" s="985"/>
      <c r="L49" s="1032"/>
      <c r="M49" s="1033"/>
      <c r="N49" s="1034"/>
      <c r="O49" s="1034"/>
      <c r="P49" s="1035"/>
      <c r="Q49" s="961"/>
    </row>
    <row r="50" s="722" customFormat="1" ht="15.75" spans="1:17">
      <c r="A50" s="982"/>
      <c r="B50" s="983"/>
      <c r="C50" s="986">
        <v>100</v>
      </c>
      <c r="D50" s="987"/>
      <c r="E50" s="987"/>
      <c r="F50" s="987"/>
      <c r="G50" s="987"/>
      <c r="H50" s="987"/>
      <c r="I50" s="987"/>
      <c r="J50" s="987"/>
      <c r="K50" s="987"/>
      <c r="L50" s="987"/>
      <c r="M50" s="1036"/>
      <c r="N50" s="1034"/>
      <c r="O50" s="1034"/>
      <c r="P50" s="961"/>
      <c r="Q50" s="961"/>
    </row>
    <row r="51" spans="1:17">
      <c r="A51" s="988" t="s">
        <v>1315</v>
      </c>
      <c r="B51" s="989" t="s">
        <v>1284</v>
      </c>
      <c r="C51" s="1011">
        <f>C9</f>
        <v>0</v>
      </c>
      <c r="D51" s="921"/>
      <c r="E51" s="921"/>
      <c r="F51" s="921"/>
      <c r="G51" s="921"/>
      <c r="H51" s="921"/>
      <c r="I51" s="921"/>
      <c r="J51" s="921"/>
      <c r="K51" s="1037"/>
      <c r="L51" s="1038"/>
      <c r="M51" s="1039"/>
      <c r="N51" s="1040"/>
      <c r="O51" s="1040"/>
      <c r="P51" s="1041"/>
      <c r="Q51" s="961"/>
    </row>
    <row r="52" ht="15.75" spans="1:17">
      <c r="A52" s="990"/>
      <c r="B52" s="991"/>
      <c r="C52" s="992">
        <v>100</v>
      </c>
      <c r="D52" s="992"/>
      <c r="E52" s="992"/>
      <c r="F52" s="992"/>
      <c r="G52" s="992"/>
      <c r="H52" s="992"/>
      <c r="I52" s="992"/>
      <c r="J52" s="992"/>
      <c r="K52" s="992"/>
      <c r="L52" s="992"/>
      <c r="M52" s="1042"/>
      <c r="N52" s="1043"/>
      <c r="O52" s="1043"/>
      <c r="P52" s="1041"/>
      <c r="Q52" s="961"/>
    </row>
    <row r="53" ht="27.75" spans="1:17">
      <c r="A53" s="990"/>
      <c r="B53" s="993" t="s">
        <v>1287</v>
      </c>
      <c r="C53" s="994" t="s">
        <v>1316</v>
      </c>
      <c r="D53" s="994" t="s">
        <v>1317</v>
      </c>
      <c r="E53" s="994" t="s">
        <v>1318</v>
      </c>
      <c r="F53" s="994" t="s">
        <v>1319</v>
      </c>
      <c r="G53" s="994" t="s">
        <v>1320</v>
      </c>
      <c r="H53" s="994" t="s">
        <v>1321</v>
      </c>
      <c r="I53" s="994" t="s">
        <v>1322</v>
      </c>
      <c r="J53" s="994"/>
      <c r="K53" s="1044"/>
      <c r="L53" s="1045"/>
      <c r="M53" s="1046"/>
      <c r="N53" s="1040"/>
      <c r="O53" s="1040"/>
      <c r="P53" s="1041"/>
      <c r="Q53" s="961"/>
    </row>
    <row r="54" ht="15.75" spans="1:17">
      <c r="A54" s="990"/>
      <c r="B54" s="995"/>
      <c r="C54" s="996" t="s">
        <v>1358</v>
      </c>
      <c r="D54" s="996" t="s">
        <v>1358</v>
      </c>
      <c r="E54" s="996">
        <v>100</v>
      </c>
      <c r="F54" s="996">
        <f>E54-$K10</f>
        <v>100</v>
      </c>
      <c r="G54" s="996">
        <f>F54-$K10</f>
        <v>100</v>
      </c>
      <c r="H54" s="996">
        <f>G54-$K10</f>
        <v>100</v>
      </c>
      <c r="I54" s="996">
        <f>H54-$K10</f>
        <v>100</v>
      </c>
      <c r="J54" s="996"/>
      <c r="K54" s="996"/>
      <c r="L54" s="996"/>
      <c r="M54" s="1047"/>
      <c r="N54" s="1043"/>
      <c r="O54" s="1043"/>
      <c r="P54" s="1041"/>
      <c r="Q54" s="961"/>
    </row>
    <row r="55" ht="15.75" spans="1:17">
      <c r="A55" s="990"/>
      <c r="B55" s="1124">
        <f>B11</f>
        <v>111</v>
      </c>
      <c r="C55" s="781"/>
      <c r="D55" s="781"/>
      <c r="E55" s="781"/>
      <c r="F55" s="781"/>
      <c r="G55" s="781"/>
      <c r="H55" s="781"/>
      <c r="I55" s="781"/>
      <c r="J55" s="781"/>
      <c r="K55" s="1048"/>
      <c r="L55" s="1049"/>
      <c r="M55" s="1050"/>
      <c r="N55" s="1040"/>
      <c r="O55" s="1040"/>
      <c r="P55" s="1041"/>
      <c r="Q55" s="961"/>
    </row>
    <row r="56" ht="15.75" spans="1:17">
      <c r="A56" s="990"/>
      <c r="B56" s="991"/>
      <c r="C56" s="1003"/>
      <c r="D56" s="992"/>
      <c r="E56" s="992"/>
      <c r="F56" s="992"/>
      <c r="G56" s="992"/>
      <c r="H56" s="992"/>
      <c r="I56" s="992"/>
      <c r="J56" s="992"/>
      <c r="K56" s="992"/>
      <c r="L56" s="992"/>
      <c r="M56" s="1042"/>
      <c r="N56" s="1043"/>
      <c r="O56" s="1043"/>
      <c r="P56" s="1041"/>
      <c r="Q56" s="961"/>
    </row>
    <row r="57" s="724" customFormat="1" ht="15.75" spans="1:17">
      <c r="A57" s="1000"/>
      <c r="B57" s="993">
        <f>B12</f>
        <v>111</v>
      </c>
      <c r="C57" s="781"/>
      <c r="D57" s="781"/>
      <c r="E57" s="781"/>
      <c r="F57" s="781"/>
      <c r="G57" s="1001"/>
      <c r="H57" s="1002"/>
      <c r="I57" s="1002"/>
      <c r="J57" s="1002"/>
      <c r="K57" s="1002"/>
      <c r="L57" s="1051"/>
      <c r="M57" s="1052"/>
      <c r="N57" s="1053"/>
      <c r="O57" s="1053"/>
      <c r="P57" s="1054"/>
      <c r="Q57" s="1084"/>
    </row>
    <row r="58" s="724" customFormat="1" ht="15.75" spans="1:17">
      <c r="A58" s="1000"/>
      <c r="B58" s="995"/>
      <c r="C58" s="1003"/>
      <c r="D58" s="992"/>
      <c r="E58" s="992"/>
      <c r="F58" s="992"/>
      <c r="G58" s="992"/>
      <c r="H58" s="992"/>
      <c r="I58" s="992"/>
      <c r="J58" s="992"/>
      <c r="K58" s="992"/>
      <c r="L58" s="992"/>
      <c r="M58" s="1042"/>
      <c r="N58" s="1043"/>
      <c r="O58" s="1043"/>
      <c r="P58" s="1054"/>
      <c r="Q58" s="1084"/>
    </row>
    <row r="59" s="724" customFormat="1" ht="15.75" spans="1:17">
      <c r="A59" s="1000"/>
      <c r="B59" s="993">
        <f>B13</f>
        <v>111</v>
      </c>
      <c r="C59" s="781"/>
      <c r="D59" s="781"/>
      <c r="E59" s="781"/>
      <c r="F59" s="781"/>
      <c r="G59" s="1001"/>
      <c r="H59" s="1002"/>
      <c r="I59" s="1002"/>
      <c r="J59" s="1002"/>
      <c r="K59" s="1002"/>
      <c r="L59" s="1051"/>
      <c r="M59" s="1052"/>
      <c r="N59" s="1053"/>
      <c r="O59" s="1053"/>
      <c r="P59" s="1055"/>
      <c r="Q59" s="1085"/>
    </row>
    <row r="60" s="724" customFormat="1" ht="15.75" spans="1:17">
      <c r="A60" s="1000"/>
      <c r="B60" s="995"/>
      <c r="C60" s="1003"/>
      <c r="D60" s="1003"/>
      <c r="E60" s="1003"/>
      <c r="F60" s="1003"/>
      <c r="G60" s="1003"/>
      <c r="H60" s="1004"/>
      <c r="I60" s="1004"/>
      <c r="J60" s="1004"/>
      <c r="K60" s="1004"/>
      <c r="L60" s="1004"/>
      <c r="M60" s="1056"/>
      <c r="N60" s="1053"/>
      <c r="O60" s="1053"/>
      <c r="P60" s="1054"/>
      <c r="Q60" s="1084"/>
    </row>
    <row r="61" ht="15" spans="1:17">
      <c r="A61" s="988" t="s">
        <v>1289</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5.7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7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5.7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75" spans="1:17">
      <c r="A65" s="990"/>
      <c r="B65" s="997" t="s">
        <v>214</v>
      </c>
      <c r="C65" s="994" t="s">
        <v>1323</v>
      </c>
      <c r="D65" s="994" t="s">
        <v>1324</v>
      </c>
      <c r="E65" s="994" t="s">
        <v>1325</v>
      </c>
      <c r="F65" s="994" t="s">
        <v>1326</v>
      </c>
      <c r="G65" s="994" t="s">
        <v>1327</v>
      </c>
      <c r="H65" s="994"/>
      <c r="I65" s="994"/>
      <c r="J65" s="994"/>
      <c r="K65" s="994"/>
      <c r="L65" s="994"/>
      <c r="M65" s="1126"/>
      <c r="N65" s="1043"/>
      <c r="O65" s="1043"/>
      <c r="P65" s="1041"/>
      <c r="Q65" s="961"/>
    </row>
    <row r="66" ht="15.7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75" spans="1:17">
      <c r="A67" s="990"/>
      <c r="B67" s="993" t="s">
        <v>566</v>
      </c>
      <c r="C67" s="1012" t="s">
        <v>228</v>
      </c>
      <c r="D67" s="1012" t="s">
        <v>240</v>
      </c>
      <c r="E67" s="1012" t="s">
        <v>251</v>
      </c>
      <c r="F67" s="1012" t="s">
        <v>261</v>
      </c>
      <c r="G67" s="1012" t="s">
        <v>268</v>
      </c>
      <c r="H67" s="994"/>
      <c r="I67" s="994"/>
      <c r="J67" s="994"/>
      <c r="K67" s="1044"/>
      <c r="L67" s="1045"/>
      <c r="M67" s="1046"/>
      <c r="N67" s="1040"/>
      <c r="O67" s="1040"/>
      <c r="P67" s="1041"/>
      <c r="Q67" s="961"/>
    </row>
    <row r="68" ht="15.7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75" spans="1:17">
      <c r="A69" s="990"/>
      <c r="B69" s="993" t="s">
        <v>1351</v>
      </c>
      <c r="C69" s="1001"/>
      <c r="D69" s="1001"/>
      <c r="E69" s="1001"/>
      <c r="F69" s="1001"/>
      <c r="G69" s="1001"/>
      <c r="H69" s="1017"/>
      <c r="I69" s="1017"/>
      <c r="J69" s="1017"/>
      <c r="K69" s="1071"/>
      <c r="L69" s="1072"/>
      <c r="M69" s="1073"/>
      <c r="N69" s="1040"/>
      <c r="O69" s="1040"/>
      <c r="P69" s="1041"/>
      <c r="Q69" s="961"/>
    </row>
    <row r="70" ht="15.75" spans="1:17">
      <c r="A70" s="990"/>
      <c r="B70" s="995"/>
      <c r="C70" s="996">
        <v>100</v>
      </c>
      <c r="D70" s="996">
        <f>C70-$K22</f>
        <v>100</v>
      </c>
      <c r="E70" s="996"/>
      <c r="F70" s="996"/>
      <c r="G70" s="996"/>
      <c r="H70" s="996"/>
      <c r="I70" s="996"/>
      <c r="J70" s="996"/>
      <c r="K70" s="996"/>
      <c r="L70" s="996"/>
      <c r="M70" s="1047"/>
      <c r="N70" s="1043"/>
      <c r="O70" s="1043"/>
      <c r="P70" s="1041"/>
      <c r="Q70" s="961"/>
    </row>
    <row r="71" s="722" customFormat="1" ht="15.75" spans="1:17">
      <c r="A71" s="1013"/>
      <c r="B71" s="993">
        <f>B23</f>
        <v>111</v>
      </c>
      <c r="C71" s="781"/>
      <c r="D71" s="781"/>
      <c r="E71" s="781"/>
      <c r="F71" s="781"/>
      <c r="G71" s="1001"/>
      <c r="H71" s="1001"/>
      <c r="I71" s="1001"/>
      <c r="J71" s="1001"/>
      <c r="K71" s="1001"/>
      <c r="L71" s="1205"/>
      <c r="M71" s="1206"/>
      <c r="N71" s="1034"/>
      <c r="O71" s="1034"/>
      <c r="P71" s="1041"/>
      <c r="Q71" s="961"/>
    </row>
    <row r="72" s="722" customFormat="1" ht="15.75" spans="1:17">
      <c r="A72" s="1013"/>
      <c r="B72" s="995"/>
      <c r="C72" s="1003"/>
      <c r="D72" s="992"/>
      <c r="E72" s="992"/>
      <c r="F72" s="992"/>
      <c r="G72" s="992"/>
      <c r="H72" s="992"/>
      <c r="I72" s="992"/>
      <c r="J72" s="992"/>
      <c r="K72" s="992"/>
      <c r="L72" s="992"/>
      <c r="M72" s="1042"/>
      <c r="N72" s="1043"/>
      <c r="O72" s="1043"/>
      <c r="P72" s="1041"/>
      <c r="Q72" s="961"/>
    </row>
    <row r="73" s="722" customFormat="1" ht="15.75" spans="1:17">
      <c r="A73" s="1013"/>
      <c r="B73" s="993">
        <f>B24</f>
        <v>111</v>
      </c>
      <c r="C73" s="781"/>
      <c r="D73" s="781"/>
      <c r="E73" s="781"/>
      <c r="F73" s="781"/>
      <c r="G73" s="1001"/>
      <c r="H73" s="1001"/>
      <c r="I73" s="1001"/>
      <c r="J73" s="1001"/>
      <c r="K73" s="1001"/>
      <c r="L73" s="1001"/>
      <c r="M73" s="1206"/>
      <c r="N73" s="1034"/>
      <c r="O73" s="1034"/>
      <c r="P73" s="1041"/>
      <c r="Q73" s="961"/>
    </row>
    <row r="74" s="722" customFormat="1" ht="15.75" spans="1:17">
      <c r="A74" s="1013"/>
      <c r="B74" s="995"/>
      <c r="C74" s="1003"/>
      <c r="D74" s="992"/>
      <c r="E74" s="992"/>
      <c r="F74" s="992"/>
      <c r="G74" s="992"/>
      <c r="H74" s="992"/>
      <c r="I74" s="992"/>
      <c r="J74" s="992"/>
      <c r="K74" s="992"/>
      <c r="L74" s="992"/>
      <c r="M74" s="1042"/>
      <c r="N74" s="1043"/>
      <c r="O74" s="1043"/>
      <c r="P74" s="1041"/>
      <c r="Q74" s="961"/>
    </row>
    <row r="75" s="724" customFormat="1" ht="15.75" spans="1:17">
      <c r="A75" s="1000"/>
      <c r="B75" s="993">
        <f>B25</f>
        <v>111</v>
      </c>
      <c r="C75" s="781"/>
      <c r="D75" s="781"/>
      <c r="E75" s="781"/>
      <c r="F75" s="781"/>
      <c r="G75" s="1001"/>
      <c r="H75" s="1002"/>
      <c r="I75" s="1002"/>
      <c r="J75" s="1002"/>
      <c r="K75" s="1002"/>
      <c r="L75" s="1051"/>
      <c r="M75" s="1052"/>
      <c r="N75" s="1053"/>
      <c r="O75" s="1053"/>
      <c r="P75" s="1054"/>
      <c r="Q75" s="1084"/>
    </row>
    <row r="76" s="724" customFormat="1" ht="15.75" spans="1:17">
      <c r="A76" s="1000"/>
      <c r="B76" s="995"/>
      <c r="C76" s="1003"/>
      <c r="D76" s="1003"/>
      <c r="E76" s="1003"/>
      <c r="F76" s="1003"/>
      <c r="G76" s="992"/>
      <c r="H76" s="992"/>
      <c r="I76" s="992"/>
      <c r="J76" s="992"/>
      <c r="K76" s="992"/>
      <c r="L76" s="992"/>
      <c r="M76" s="1042"/>
      <c r="N76" s="1053"/>
      <c r="O76" s="1053"/>
      <c r="P76" s="1054"/>
      <c r="Q76" s="1084"/>
    </row>
    <row r="77" ht="15" spans="1:17">
      <c r="A77" s="988" t="s">
        <v>1294</v>
      </c>
      <c r="B77" s="989" t="s">
        <v>1300</v>
      </c>
      <c r="C77" s="1001"/>
      <c r="D77" s="1001"/>
      <c r="E77" s="921"/>
      <c r="F77" s="921"/>
      <c r="G77" s="921"/>
      <c r="H77" s="921"/>
      <c r="I77" s="921"/>
      <c r="J77" s="921"/>
      <c r="K77" s="1037"/>
      <c r="L77" s="1038"/>
      <c r="M77" s="1039"/>
      <c r="N77" s="1040"/>
      <c r="O77" s="1040"/>
      <c r="P77" s="1041"/>
      <c r="Q77" s="961"/>
    </row>
    <row r="78" ht="15.7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75" spans="1:17">
      <c r="A79" s="990"/>
      <c r="B79" s="993" t="s">
        <v>1376</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ht="15"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5.7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75" spans="1:17">
      <c r="A82" s="1024"/>
      <c r="B82" s="997" t="s">
        <v>1377</v>
      </c>
      <c r="C82" s="1001"/>
      <c r="D82" s="1001"/>
      <c r="E82" s="1017"/>
      <c r="F82" s="1017"/>
      <c r="G82" s="1017"/>
      <c r="H82" s="1017"/>
      <c r="I82" s="1017"/>
      <c r="J82" s="1017"/>
      <c r="K82" s="1071"/>
      <c r="L82" s="1072"/>
      <c r="M82" s="1073"/>
      <c r="N82" s="1040"/>
      <c r="O82" s="1040"/>
      <c r="P82" s="1041"/>
      <c r="Q82" s="961"/>
    </row>
    <row r="83" ht="15.7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75" spans="1:17">
      <c r="A84" s="1024"/>
      <c r="B84" s="993" t="s">
        <v>1385</v>
      </c>
      <c r="C84" s="1001"/>
      <c r="D84" s="1001"/>
      <c r="E84" s="1001"/>
      <c r="F84" s="1001"/>
      <c r="G84" s="1001"/>
      <c r="H84" s="1001"/>
      <c r="I84" s="1017"/>
      <c r="J84" s="1017"/>
      <c r="K84" s="1071"/>
      <c r="L84" s="1072"/>
      <c r="M84" s="1073"/>
      <c r="N84" s="1040"/>
      <c r="O84" s="1040"/>
      <c r="P84" s="1041"/>
      <c r="Q84" s="961"/>
    </row>
    <row r="85" ht="15.7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75" spans="1:17">
      <c r="A86" s="1024"/>
      <c r="B86" s="997" t="s">
        <v>800</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ht="15" spans="1:17">
      <c r="A87" s="1024"/>
      <c r="B87" s="997"/>
      <c r="C87" s="977"/>
      <c r="D87" s="977"/>
      <c r="E87" s="977"/>
      <c r="F87" s="977"/>
      <c r="G87" s="977"/>
      <c r="H87" s="977"/>
      <c r="I87" s="977"/>
      <c r="J87" s="1078"/>
      <c r="K87" s="1078"/>
      <c r="L87" s="1079"/>
      <c r="M87" s="1080"/>
      <c r="N87" s="1040"/>
      <c r="O87" s="1040"/>
      <c r="P87" s="1041"/>
      <c r="Q87" s="961"/>
    </row>
    <row r="88" ht="15.75" spans="1:17">
      <c r="A88" s="990"/>
      <c r="B88" s="995"/>
      <c r="C88" s="1003"/>
      <c r="D88" s="992"/>
      <c r="E88" s="992"/>
      <c r="F88" s="992"/>
      <c r="G88" s="992"/>
      <c r="H88" s="992"/>
      <c r="I88" s="992"/>
      <c r="J88" s="992"/>
      <c r="K88" s="992"/>
      <c r="L88" s="992"/>
      <c r="M88" s="992"/>
      <c r="N88" s="1043"/>
      <c r="O88" s="1043"/>
      <c r="P88" s="1041"/>
      <c r="Q88" s="961"/>
    </row>
    <row r="89" s="724" customFormat="1" ht="15.75" spans="1:17">
      <c r="A89" s="1020"/>
      <c r="B89" s="993" t="s">
        <v>1386</v>
      </c>
      <c r="C89" s="1001"/>
      <c r="D89" s="1001"/>
      <c r="E89" s="1001"/>
      <c r="F89" s="1001"/>
      <c r="G89" s="1001"/>
      <c r="H89" s="1001"/>
      <c r="I89" s="1001"/>
      <c r="J89" s="1001"/>
      <c r="K89" s="1001"/>
      <c r="L89" s="1001"/>
      <c r="M89" s="1206"/>
      <c r="N89" s="1053"/>
      <c r="O89" s="1053"/>
      <c r="P89" s="1054"/>
      <c r="Q89" s="1084"/>
    </row>
    <row r="90" s="724" customFormat="1" ht="15.75" spans="1:17">
      <c r="A90" s="1000"/>
      <c r="B90" s="995"/>
      <c r="C90" s="1003"/>
      <c r="D90" s="992"/>
      <c r="E90" s="992"/>
      <c r="F90" s="992"/>
      <c r="G90" s="992"/>
      <c r="H90" s="992"/>
      <c r="I90" s="992"/>
      <c r="J90" s="992"/>
      <c r="K90" s="992"/>
      <c r="L90" s="992"/>
      <c r="M90" s="1042"/>
      <c r="N90" s="1053"/>
      <c r="O90" s="1053"/>
      <c r="P90" s="1054"/>
      <c r="Q90" s="1084"/>
    </row>
    <row r="91" ht="15.75" spans="1:17">
      <c r="A91" s="1024"/>
      <c r="B91" s="993">
        <f>B32</f>
        <v>111</v>
      </c>
      <c r="C91" s="781"/>
      <c r="D91" s="781"/>
      <c r="E91" s="781"/>
      <c r="F91" s="781"/>
      <c r="G91" s="1001"/>
      <c r="H91" s="1002"/>
      <c r="I91" s="1002"/>
      <c r="J91" s="1002"/>
      <c r="K91" s="1002"/>
      <c r="L91" s="1051"/>
      <c r="M91" s="1052"/>
      <c r="N91" s="1040"/>
      <c r="O91" s="1040"/>
      <c r="P91" s="1041"/>
      <c r="Q91" s="961"/>
    </row>
    <row r="92" ht="15.75" spans="1:17">
      <c r="A92" s="990"/>
      <c r="B92" s="995"/>
      <c r="C92" s="1003"/>
      <c r="D92" s="992"/>
      <c r="E92" s="992"/>
      <c r="F92" s="992"/>
      <c r="G92" s="1003"/>
      <c r="H92" s="1004"/>
      <c r="I92" s="1004"/>
      <c r="J92" s="1004"/>
      <c r="K92" s="1004"/>
      <c r="L92" s="1004"/>
      <c r="M92" s="1056"/>
      <c r="N92" s="1043"/>
      <c r="O92" s="1043"/>
      <c r="P92" s="1041"/>
      <c r="Q92" s="961"/>
    </row>
    <row r="93" ht="15.75" spans="1:17">
      <c r="A93" s="1024"/>
      <c r="B93" s="993">
        <f>B33</f>
        <v>111</v>
      </c>
      <c r="C93" s="781"/>
      <c r="D93" s="781"/>
      <c r="E93" s="781"/>
      <c r="F93" s="781"/>
      <c r="G93" s="1001"/>
      <c r="H93" s="1002"/>
      <c r="I93" s="1002"/>
      <c r="J93" s="1002"/>
      <c r="K93" s="1002"/>
      <c r="L93" s="1051"/>
      <c r="M93" s="1052"/>
      <c r="N93" s="1040"/>
      <c r="O93" s="1040"/>
      <c r="P93" s="1041"/>
      <c r="Q93" s="961"/>
    </row>
    <row r="94" ht="15.75" spans="1:17">
      <c r="A94" s="990"/>
      <c r="B94" s="995"/>
      <c r="C94" s="1003"/>
      <c r="D94" s="992"/>
      <c r="E94" s="992"/>
      <c r="F94" s="992"/>
      <c r="G94" s="1003"/>
      <c r="H94" s="1004"/>
      <c r="I94" s="1004"/>
      <c r="J94" s="1004"/>
      <c r="K94" s="1004"/>
      <c r="L94" s="1004"/>
      <c r="M94" s="1056"/>
      <c r="N94" s="1043"/>
      <c r="O94" s="1043"/>
      <c r="P94" s="1041"/>
      <c r="Q94" s="961"/>
    </row>
    <row r="95" ht="15.75" spans="1:17">
      <c r="A95" s="1024"/>
      <c r="B95" s="1204">
        <f>B34</f>
        <v>111</v>
      </c>
      <c r="C95" s="781"/>
      <c r="D95" s="781"/>
      <c r="E95" s="781"/>
      <c r="F95" s="781"/>
      <c r="G95" s="1001"/>
      <c r="H95" s="1002"/>
      <c r="I95" s="1002"/>
      <c r="J95" s="1002"/>
      <c r="K95" s="1002"/>
      <c r="L95" s="1051"/>
      <c r="M95" s="1052"/>
      <c r="N95" s="1043"/>
      <c r="O95" s="1043"/>
      <c r="P95" s="1210"/>
      <c r="Q95" s="1211"/>
    </row>
    <row r="96" ht="15.75" spans="1:17">
      <c r="A96" s="990"/>
      <c r="B96" s="995"/>
      <c r="C96" s="1003"/>
      <c r="D96" s="1003"/>
      <c r="E96" s="1003"/>
      <c r="F96" s="1003"/>
      <c r="G96" s="1003"/>
      <c r="H96" s="1004"/>
      <c r="I96" s="1004"/>
      <c r="J96" s="1004"/>
      <c r="K96" s="1004"/>
      <c r="L96" s="1004"/>
      <c r="M96" s="1056"/>
      <c r="N96" s="1043"/>
      <c r="O96" s="1043"/>
      <c r="P96" s="1041"/>
      <c r="Q96"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30">
      <c r="A1" s="731" t="s">
        <v>1387</v>
      </c>
      <c r="B1" s="732"/>
      <c r="C1" s="733" t="s">
        <v>1388</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827</v>
      </c>
      <c r="B2" s="736" t="e">
        <f>F66</f>
        <v>#DIV/0!</v>
      </c>
      <c r="C2" s="737" t="s">
        <v>1389</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5" si="3">D8/F8</f>
        <v>#DIV/0!</v>
      </c>
      <c r="AB8" s="967" t="e">
        <f t="shared" ref="AB8:AB45" si="4">D8/H8</f>
        <v>#DIV/0!</v>
      </c>
      <c r="AC8" s="967" t="e">
        <f t="shared" ref="AC8:AC45" si="5">D8/J8</f>
        <v>#DIV/0!</v>
      </c>
    </row>
    <row r="9" s="722" customFormat="1" spans="1:29">
      <c r="A9" s="767" t="s">
        <v>1283</v>
      </c>
      <c r="B9" s="768" t="s">
        <v>1284</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1089"/>
      <c r="F10" s="774">
        <f>ROUND(100/'数据-取费表'!B14,0)</f>
        <v>115</v>
      </c>
      <c r="G10" s="1090"/>
      <c r="H10" s="774">
        <f>ROUND(100/'数据-取费表'!B14,0)</f>
        <v>115</v>
      </c>
      <c r="I10" s="1090"/>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1390</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1279</v>
      </c>
      <c r="S12" s="949">
        <f t="shared" si="0"/>
        <v>100</v>
      </c>
      <c r="T12" s="948" t="s">
        <v>1279</v>
      </c>
      <c r="U12" s="949">
        <f t="shared" si="1"/>
        <v>100</v>
      </c>
      <c r="V12" s="948" t="s">
        <v>1279</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41" t="s">
        <v>1289</v>
      </c>
      <c r="B15" s="1091" t="s">
        <v>207</v>
      </c>
      <c r="C15" s="1092" t="str">
        <f>估价对象房地状况!C15</f>
        <v>估价对象位于CBD商圈，周边办公楼项目成熟度好，办公集聚程度好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47"/>
      <c r="B17" s="1094" t="s">
        <v>208</v>
      </c>
      <c r="C17" s="1095" t="str">
        <f>估价对象房地状况!C16</f>
        <v>估价对象周边道路状况、公共交通通达情况、停车便捷程度，综合评价交通便捷度好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1279</v>
      </c>
      <c r="S17" s="954">
        <f>F17</f>
        <v>100</v>
      </c>
      <c r="T17" s="953" t="s">
        <v>1279</v>
      </c>
      <c r="U17" s="954">
        <f>H17</f>
        <v>100</v>
      </c>
      <c r="V17" s="953" t="s">
        <v>1279</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68.25" spans="1:29">
      <c r="A19" s="747"/>
      <c r="B19" s="1094" t="s">
        <v>209</v>
      </c>
      <c r="C19" s="1095" t="str">
        <f>估价对象房地状况!C17</f>
        <v>估价对象位于CBD商圈，周边办公楼项目成熟度好，办公集聚程度好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1279</v>
      </c>
      <c r="S19" s="954">
        <f>F19</f>
        <v>100</v>
      </c>
      <c r="T19" s="953" t="s">
        <v>1279</v>
      </c>
      <c r="U19" s="954">
        <f>H19</f>
        <v>100</v>
      </c>
      <c r="V19" s="953" t="s">
        <v>1279</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81" spans="1:29">
      <c r="A21" s="747"/>
      <c r="B21" s="1094" t="s">
        <v>211</v>
      </c>
      <c r="C21" s="1100" t="str">
        <f>估价对象房地状况!C18</f>
        <v>估价对象周边道路状况、公共交通通达情况、停车便捷程度，综合评价交通便捷度好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1279</v>
      </c>
      <c r="S21" s="954">
        <f>F21</f>
        <v>100</v>
      </c>
      <c r="T21" s="953" t="s">
        <v>1279</v>
      </c>
      <c r="U21" s="954">
        <f>H21</f>
        <v>100</v>
      </c>
      <c r="V21" s="953" t="s">
        <v>1279</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15"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1279</v>
      </c>
      <c r="S23" s="954">
        <f>F23</f>
        <v>100</v>
      </c>
      <c r="T23" s="953" t="s">
        <v>1279</v>
      </c>
      <c r="U23" s="954">
        <f>H23</f>
        <v>100</v>
      </c>
      <c r="V23" s="953" t="s">
        <v>1279</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122.25" spans="1:29">
      <c r="A25" s="747"/>
      <c r="B25" s="1101" t="s">
        <v>571</v>
      </c>
      <c r="C25" s="1095" t="str">
        <f>估价对象房地状况!C20</f>
        <v>区域自然环境：CBD历史文化公园、呼家楼社区公园、联馨园；人文环境韩国文化院、考文垂大学、北京今日美术馆：综合评价环境状况好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1279</v>
      </c>
      <c r="S25" s="954">
        <f>F25</f>
        <v>100</v>
      </c>
      <c r="T25" s="953" t="s">
        <v>1279</v>
      </c>
      <c r="U25" s="954">
        <f>H25</f>
        <v>100</v>
      </c>
      <c r="V25" s="953" t="s">
        <v>1279</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40.5" spans="1:29">
      <c r="A27" s="747"/>
      <c r="B27" s="1101" t="s">
        <v>213</v>
      </c>
      <c r="C27" s="1100" t="str">
        <f>估价对象房地状况!C21</f>
        <v>估价对象所在区域公共配套设施完备程度好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1279</v>
      </c>
      <c r="S27" s="949">
        <f>F27</f>
        <v>100</v>
      </c>
      <c r="T27" s="948" t="s">
        <v>1279</v>
      </c>
      <c r="U27" s="949">
        <f>H27</f>
        <v>100</v>
      </c>
      <c r="V27" s="948" t="s">
        <v>1279</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40.5" spans="1:29">
      <c r="A29" s="805"/>
      <c r="B29" s="1101" t="s">
        <v>214</v>
      </c>
      <c r="C29" s="1105" t="str">
        <f>估价对象房地状况!C22</f>
        <v>估价对象所在区域红线外基础设施水平六通一平</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1279</v>
      </c>
      <c r="S29" s="949">
        <f>F29</f>
        <v>100</v>
      </c>
      <c r="T29" s="948" t="s">
        <v>1279</v>
      </c>
      <c r="U29" s="949">
        <f>H29</f>
        <v>100</v>
      </c>
      <c r="V29" s="948" t="s">
        <v>1279</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1279</v>
      </c>
      <c r="S31" s="954">
        <f t="shared" ref="S31:S45" si="10">F31</f>
        <v>100</v>
      </c>
      <c r="T31" s="953" t="s">
        <v>1279</v>
      </c>
      <c r="U31" s="954">
        <f t="shared" ref="U31:U45" si="11">H31</f>
        <v>100</v>
      </c>
      <c r="V31" s="953" t="s">
        <v>1279</v>
      </c>
      <c r="W31" s="954">
        <f t="shared" ref="W31:W45" si="12">J31</f>
        <v>100</v>
      </c>
      <c r="X31" s="940"/>
      <c r="Y31" s="911"/>
      <c r="Z31" s="864" t="str">
        <f t="shared" ref="Z31:Z45" si="13">Q31</f>
        <v>临街状况</v>
      </c>
      <c r="AA31" s="969">
        <f t="shared" si="3"/>
        <v>1</v>
      </c>
      <c r="AB31" s="969">
        <f t="shared" si="4"/>
        <v>1</v>
      </c>
      <c r="AC31" s="969">
        <f t="shared" si="5"/>
        <v>1</v>
      </c>
    </row>
    <row r="32" ht="27" spans="1:29">
      <c r="A32" s="747"/>
      <c r="B32" s="1101" t="s">
        <v>568</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1279</v>
      </c>
      <c r="S32" s="954">
        <f t="shared" si="10"/>
        <v>100</v>
      </c>
      <c r="T32" s="953" t="s">
        <v>1279</v>
      </c>
      <c r="U32" s="954">
        <f t="shared" si="11"/>
        <v>100</v>
      </c>
      <c r="V32" s="953" t="s">
        <v>1279</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572</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1279</v>
      </c>
      <c r="S34" s="954">
        <f t="shared" si="10"/>
        <v>100</v>
      </c>
      <c r="T34" s="953" t="s">
        <v>1279</v>
      </c>
      <c r="U34" s="954">
        <f t="shared" si="11"/>
        <v>100</v>
      </c>
      <c r="V34" s="953" t="s">
        <v>1279</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1279</v>
      </c>
      <c r="S35" s="954">
        <f t="shared" si="10"/>
        <v>100</v>
      </c>
      <c r="T35" s="953" t="s">
        <v>1279</v>
      </c>
      <c r="U35" s="954">
        <f t="shared" si="11"/>
        <v>100</v>
      </c>
      <c r="V35" s="953" t="s">
        <v>1279</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1296</v>
      </c>
      <c r="Q36" s="503">
        <f t="shared" si="8"/>
        <v>111</v>
      </c>
      <c r="R36" s="953" t="s">
        <v>1279</v>
      </c>
      <c r="S36" s="954">
        <f t="shared" si="10"/>
        <v>100</v>
      </c>
      <c r="T36" s="953" t="s">
        <v>1279</v>
      </c>
      <c r="U36" s="954">
        <f t="shared" si="11"/>
        <v>100</v>
      </c>
      <c r="V36" s="953" t="s">
        <v>1279</v>
      </c>
      <c r="W36" s="954">
        <f t="shared" si="12"/>
        <v>100</v>
      </c>
      <c r="X36" s="940"/>
      <c r="Y36" s="920" t="s">
        <v>1296</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1279</v>
      </c>
      <c r="S37" s="956">
        <f t="shared" si="10"/>
        <v>100</v>
      </c>
      <c r="T37" s="955" t="s">
        <v>1279</v>
      </c>
      <c r="U37" s="956">
        <f t="shared" si="11"/>
        <v>100</v>
      </c>
      <c r="V37" s="955" t="s">
        <v>1279</v>
      </c>
      <c r="W37" s="956">
        <f t="shared" si="12"/>
        <v>100</v>
      </c>
      <c r="X37" s="957"/>
      <c r="Y37" s="920"/>
      <c r="Z37" s="970">
        <f t="shared" si="13"/>
        <v>111</v>
      </c>
      <c r="AA37" s="969">
        <f t="shared" si="3"/>
        <v>1</v>
      </c>
      <c r="AB37" s="969">
        <f t="shared" si="4"/>
        <v>1</v>
      </c>
      <c r="AC37" s="969">
        <f t="shared" si="5"/>
        <v>1</v>
      </c>
    </row>
    <row r="38" ht="15" spans="1:29">
      <c r="A38" s="741" t="s">
        <v>1294</v>
      </c>
      <c r="B38" s="824" t="s">
        <v>1391</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1279</v>
      </c>
      <c r="S38" s="954" t="e">
        <f t="shared" si="10"/>
        <v>#N/A</v>
      </c>
      <c r="T38" s="953" t="s">
        <v>1279</v>
      </c>
      <c r="U38" s="954" t="e">
        <f t="shared" si="11"/>
        <v>#N/A</v>
      </c>
      <c r="V38" s="953" t="s">
        <v>1279</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1392</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1279</v>
      </c>
      <c r="S39" s="954">
        <f t="shared" si="10"/>
        <v>100</v>
      </c>
      <c r="T39" s="953" t="s">
        <v>1279</v>
      </c>
      <c r="U39" s="954">
        <f t="shared" si="11"/>
        <v>100</v>
      </c>
      <c r="V39" s="953" t="s">
        <v>1279</v>
      </c>
      <c r="W39" s="954">
        <f t="shared" si="12"/>
        <v>100</v>
      </c>
      <c r="X39" s="940"/>
      <c r="Y39" s="920"/>
      <c r="Z39" s="864" t="str">
        <f t="shared" si="13"/>
        <v>宗地形状</v>
      </c>
      <c r="AA39" s="969">
        <f t="shared" si="3"/>
        <v>1</v>
      </c>
      <c r="AB39" s="969">
        <f t="shared" si="4"/>
        <v>1</v>
      </c>
      <c r="AC39" s="969">
        <f t="shared" si="5"/>
        <v>1</v>
      </c>
    </row>
    <row r="40" ht="15" spans="1:29">
      <c r="A40" s="823"/>
      <c r="B40" s="772" t="s">
        <v>1393</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1279</v>
      </c>
      <c r="S40" s="954">
        <f t="shared" si="10"/>
        <v>100</v>
      </c>
      <c r="T40" s="953" t="s">
        <v>1279</v>
      </c>
      <c r="U40" s="954">
        <f t="shared" si="11"/>
        <v>100</v>
      </c>
      <c r="V40" s="953" t="s">
        <v>1279</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1394</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1279</v>
      </c>
      <c r="S41" s="949">
        <f t="shared" si="10"/>
        <v>100</v>
      </c>
      <c r="T41" s="948" t="s">
        <v>1279</v>
      </c>
      <c r="U41" s="949">
        <f t="shared" si="11"/>
        <v>100</v>
      </c>
      <c r="V41" s="948" t="s">
        <v>1279</v>
      </c>
      <c r="W41" s="949">
        <f t="shared" si="12"/>
        <v>100</v>
      </c>
      <c r="X41" s="950"/>
      <c r="Y41" s="920"/>
      <c r="Z41" s="968" t="str">
        <f t="shared" si="13"/>
        <v>宗地开发程度</v>
      </c>
      <c r="AA41" s="967">
        <f t="shared" si="3"/>
        <v>1</v>
      </c>
      <c r="AB41" s="967">
        <f t="shared" si="4"/>
        <v>1</v>
      </c>
      <c r="AC41" s="967">
        <f t="shared" si="5"/>
        <v>1</v>
      </c>
    </row>
    <row r="42" ht="15" spans="1:29">
      <c r="A42" s="823"/>
      <c r="B42" s="772" t="s">
        <v>1395</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1296</v>
      </c>
      <c r="Q42" s="503" t="str">
        <f t="shared" si="14"/>
        <v>工程地质条件</v>
      </c>
      <c r="R42" s="953" t="s">
        <v>1279</v>
      </c>
      <c r="S42" s="954">
        <f t="shared" si="10"/>
        <v>100</v>
      </c>
      <c r="T42" s="953" t="s">
        <v>1279</v>
      </c>
      <c r="U42" s="954">
        <f t="shared" si="11"/>
        <v>100</v>
      </c>
      <c r="V42" s="953" t="s">
        <v>1279</v>
      </c>
      <c r="W42" s="954">
        <f t="shared" si="12"/>
        <v>100</v>
      </c>
      <c r="X42" s="940"/>
      <c r="Y42" s="920" t="s">
        <v>1296</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1279</v>
      </c>
      <c r="S43" s="954">
        <f t="shared" si="10"/>
        <v>100</v>
      </c>
      <c r="T43" s="953" t="s">
        <v>1279</v>
      </c>
      <c r="U43" s="954">
        <f t="shared" si="11"/>
        <v>100</v>
      </c>
      <c r="V43" s="953" t="s">
        <v>1279</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1279</v>
      </c>
      <c r="S44" s="954">
        <f t="shared" si="10"/>
        <v>100</v>
      </c>
      <c r="T44" s="953" t="s">
        <v>1279</v>
      </c>
      <c r="U44" s="954">
        <f t="shared" si="11"/>
        <v>100</v>
      </c>
      <c r="V44" s="953" t="s">
        <v>1279</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1279</v>
      </c>
      <c r="S45" s="956">
        <f t="shared" si="10"/>
        <v>100</v>
      </c>
      <c r="T45" s="955" t="s">
        <v>1279</v>
      </c>
      <c r="U45" s="956">
        <f t="shared" si="11"/>
        <v>100</v>
      </c>
      <c r="V45" s="955" t="s">
        <v>1279</v>
      </c>
      <c r="W45" s="956">
        <f t="shared" si="12"/>
        <v>100</v>
      </c>
      <c r="X45" s="957"/>
      <c r="Y45" s="920"/>
      <c r="Z45" s="970">
        <f t="shared" si="13"/>
        <v>111</v>
      </c>
      <c r="AA45" s="969">
        <f t="shared" si="3"/>
        <v>1</v>
      </c>
      <c r="AB45" s="969">
        <f t="shared" si="4"/>
        <v>1</v>
      </c>
      <c r="AC45" s="969">
        <f t="shared" si="5"/>
        <v>1</v>
      </c>
    </row>
    <row r="46" ht="15" spans="1:29">
      <c r="A46" s="833" t="s">
        <v>1381</v>
      </c>
      <c r="B46" s="834" t="s">
        <v>1396</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75" spans="1:29">
      <c r="A47" s="841" t="s">
        <v>1308</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75" spans="1:29">
      <c r="A48" s="847" t="s">
        <v>1309</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1310</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1311</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1312</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5" spans="1:15">
      <c r="A54" s="855"/>
      <c r="B54" s="856"/>
      <c r="C54" s="1111"/>
      <c r="D54" s="1112"/>
      <c r="E54" s="1112"/>
      <c r="F54" s="1112"/>
      <c r="G54" s="1112"/>
      <c r="H54" s="1112"/>
      <c r="I54" s="1112"/>
      <c r="J54" s="1112"/>
      <c r="K54" s="930"/>
      <c r="L54" s="931"/>
      <c r="M54" s="855"/>
      <c r="N54" s="855"/>
      <c r="O54" s="855"/>
    </row>
    <row r="55" ht="27" spans="1:15">
      <c r="A55" s="858" t="s">
        <v>1397</v>
      </c>
      <c r="B55" s="859" t="s">
        <v>1398</v>
      </c>
      <c r="C55" s="860" t="s">
        <v>1399</v>
      </c>
      <c r="D55" s="861" t="s">
        <v>1400</v>
      </c>
      <c r="E55" s="862" t="s">
        <v>1401</v>
      </c>
      <c r="F55" s="863" t="s">
        <v>1402</v>
      </c>
      <c r="G55" s="1113" t="s">
        <v>1403</v>
      </c>
      <c r="H55" s="1113">
        <f>项目基本情况!G8</f>
        <v>0</v>
      </c>
      <c r="I55" s="1118" t="s">
        <v>1404</v>
      </c>
      <c r="J55" s="1119"/>
      <c r="K55" s="929"/>
      <c r="L55" s="929"/>
      <c r="M55" s="850"/>
      <c r="N55" s="850"/>
      <c r="O55" s="850"/>
    </row>
    <row r="56" s="726" customFormat="1" spans="1:15">
      <c r="A56" s="865" t="s">
        <v>1405</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1406</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1407</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1408</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1409</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1410</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1411</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1412</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1413</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1414</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5" spans="1:15">
      <c r="A66" s="874" t="s">
        <v>1415</v>
      </c>
      <c r="B66" s="875" t="s">
        <v>1358</v>
      </c>
      <c r="C66" s="875" t="s">
        <v>1358</v>
      </c>
      <c r="D66" s="875" t="s">
        <v>1358</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2018-11-1</v>
      </c>
      <c r="D68" s="878">
        <f>EDATE(C68,-3)</f>
        <v>43313</v>
      </c>
      <c r="E68" s="878">
        <f t="shared" ref="E68:O68" si="18">EDATE(D68,-3)</f>
        <v>43221</v>
      </c>
      <c r="F68" s="878">
        <f t="shared" si="18"/>
        <v>43132</v>
      </c>
      <c r="G68" s="878">
        <f t="shared" si="18"/>
        <v>43040</v>
      </c>
      <c r="H68" s="878">
        <f t="shared" si="18"/>
        <v>42948</v>
      </c>
      <c r="I68" s="878">
        <f t="shared" si="18"/>
        <v>42856</v>
      </c>
      <c r="J68" s="878">
        <f t="shared" si="18"/>
        <v>42767</v>
      </c>
      <c r="K68" s="878">
        <f t="shared" si="18"/>
        <v>42675</v>
      </c>
      <c r="L68" s="878">
        <f t="shared" si="18"/>
        <v>42583</v>
      </c>
      <c r="M68" s="878">
        <f t="shared" si="18"/>
        <v>42491</v>
      </c>
      <c r="N68" s="878">
        <f t="shared" si="18"/>
        <v>42401</v>
      </c>
      <c r="O68" s="878">
        <f t="shared" si="18"/>
        <v>42309</v>
      </c>
    </row>
    <row r="69" ht="21" spans="1:17">
      <c r="A69" s="879" t="s">
        <v>1313</v>
      </c>
      <c r="B69" s="880"/>
      <c r="C69" s="881"/>
      <c r="D69" s="881"/>
      <c r="E69" s="881"/>
      <c r="F69" s="882"/>
      <c r="G69" s="882"/>
      <c r="H69" s="881"/>
      <c r="I69" s="933"/>
      <c r="J69" s="933"/>
      <c r="K69" s="934"/>
      <c r="L69" s="935"/>
      <c r="M69" s="933"/>
      <c r="N69" s="933"/>
      <c r="O69" s="933"/>
      <c r="P69" s="936"/>
      <c r="Q69" s="961"/>
    </row>
    <row r="70" s="1087" customFormat="1" ht="15" spans="1:16">
      <c r="A70" s="972" t="s">
        <v>1416</v>
      </c>
      <c r="B70" s="973"/>
      <c r="C70" s="974" t="str">
        <f>YEAR(C68)&amp;"-"&amp;ROUNDUP(MONTH(C68)/3,0)</f>
        <v>2018-4</v>
      </c>
      <c r="D70" s="974" t="str">
        <f>YEAR(D68)&amp;"-"&amp;ROUNDUP(MONTH(D68)/3,0)</f>
        <v>2018-3</v>
      </c>
      <c r="E70" s="974" t="str">
        <f t="shared" ref="E70:O70" si="19">YEAR(E68)&amp;"-"&amp;ROUNDUP(MONTH(E68)/3,0)</f>
        <v>2018-2</v>
      </c>
      <c r="F70" s="974" t="str">
        <f t="shared" si="19"/>
        <v>2018-1</v>
      </c>
      <c r="G70" s="974" t="str">
        <f t="shared" si="19"/>
        <v>2017-4</v>
      </c>
      <c r="H70" s="974" t="str">
        <f t="shared" si="19"/>
        <v>2017-3</v>
      </c>
      <c r="I70" s="974" t="str">
        <f t="shared" si="19"/>
        <v>2017-2</v>
      </c>
      <c r="J70" s="974" t="str">
        <f t="shared" si="19"/>
        <v>2017-1</v>
      </c>
      <c r="K70" s="974" t="str">
        <f t="shared" si="19"/>
        <v>2016-4</v>
      </c>
      <c r="L70" s="974" t="str">
        <f t="shared" si="19"/>
        <v>2016-3</v>
      </c>
      <c r="M70" s="974" t="str">
        <f t="shared" si="19"/>
        <v>2016-2</v>
      </c>
      <c r="N70" s="974" t="str">
        <f t="shared" si="19"/>
        <v>2016-1</v>
      </c>
      <c r="O70" s="974" t="str">
        <f t="shared" si="19"/>
        <v>2015-4</v>
      </c>
      <c r="P70" s="1125"/>
    </row>
    <row r="71" s="722" customFormat="1" ht="29.25" customHeight="1" spans="1:16">
      <c r="A71" s="1123" t="s">
        <v>1417</v>
      </c>
      <c r="B71" s="976" t="str">
        <f>"北京市平均增长率"&amp;TEXT(SUMIF(基准地价修正!N21:N25,A71,基准地价修正!P21:P25),"0.00%")</f>
        <v>北京市平均增长率1.58%</v>
      </c>
      <c r="C71" s="370">
        <v>100</v>
      </c>
      <c r="D71" s="977"/>
      <c r="E71" s="977"/>
      <c r="F71" s="977"/>
      <c r="G71" s="977"/>
      <c r="H71" s="977"/>
      <c r="I71" s="977"/>
      <c r="J71" s="977"/>
      <c r="K71" s="977"/>
      <c r="L71" s="977"/>
      <c r="M71" s="1028"/>
      <c r="N71" s="977"/>
      <c r="O71" s="1029"/>
      <c r="P71" s="961"/>
    </row>
    <row r="72" s="722" customFormat="1" ht="15.75" spans="1:17">
      <c r="A72" s="978" t="s">
        <v>1314</v>
      </c>
      <c r="B72" s="979"/>
      <c r="C72" s="980"/>
      <c r="D72" s="981"/>
      <c r="E72" s="981"/>
      <c r="F72" s="981"/>
      <c r="G72" s="981"/>
      <c r="H72" s="981"/>
      <c r="I72" s="981"/>
      <c r="J72" s="981"/>
      <c r="K72" s="981"/>
      <c r="L72" s="981"/>
      <c r="M72" s="1030"/>
      <c r="N72" s="981"/>
      <c r="O72" s="1031"/>
      <c r="P72" s="961"/>
      <c r="Q72" s="961"/>
    </row>
    <row r="73" s="722" customFormat="1" ht="15" spans="1:17">
      <c r="A73" s="982" t="s">
        <v>1280</v>
      </c>
      <c r="B73" s="983"/>
      <c r="C73" s="984" t="s">
        <v>1281</v>
      </c>
      <c r="D73" s="985"/>
      <c r="E73" s="985"/>
      <c r="F73" s="985"/>
      <c r="G73" s="985"/>
      <c r="H73" s="985"/>
      <c r="I73" s="985"/>
      <c r="J73" s="985"/>
      <c r="K73" s="985"/>
      <c r="L73" s="1032"/>
      <c r="M73" s="1033"/>
      <c r="N73" s="1034"/>
      <c r="O73" s="1034"/>
      <c r="P73" s="1035"/>
      <c r="Q73" s="961"/>
    </row>
    <row r="74" s="722" customFormat="1" ht="15.75" spans="1:17">
      <c r="A74" s="982"/>
      <c r="B74" s="983"/>
      <c r="C74" s="986">
        <v>100</v>
      </c>
      <c r="D74" s="987"/>
      <c r="E74" s="987"/>
      <c r="F74" s="987"/>
      <c r="G74" s="987"/>
      <c r="H74" s="987"/>
      <c r="I74" s="987"/>
      <c r="J74" s="987"/>
      <c r="K74" s="987"/>
      <c r="L74" s="987"/>
      <c r="M74" s="1036"/>
      <c r="N74" s="1034"/>
      <c r="O74" s="1034"/>
      <c r="P74" s="961"/>
      <c r="Q74" s="961"/>
    </row>
    <row r="75" spans="1:17">
      <c r="A75" s="988" t="s">
        <v>1315</v>
      </c>
      <c r="B75" s="989" t="s">
        <v>1284</v>
      </c>
      <c r="C75" s="921"/>
      <c r="D75" s="921"/>
      <c r="E75" s="921"/>
      <c r="F75" s="921"/>
      <c r="G75" s="921"/>
      <c r="H75" s="921"/>
      <c r="I75" s="921"/>
      <c r="J75" s="921"/>
      <c r="K75" s="1037"/>
      <c r="L75" s="1038"/>
      <c r="M75" s="1039"/>
      <c r="N75" s="1040"/>
      <c r="O75" s="1040"/>
      <c r="P75" s="1041"/>
      <c r="Q75" s="961"/>
    </row>
    <row r="76" ht="15.75" spans="1:17">
      <c r="A76" s="990"/>
      <c r="B76" s="991"/>
      <c r="C76" s="992"/>
      <c r="D76" s="992"/>
      <c r="E76" s="992"/>
      <c r="F76" s="992"/>
      <c r="G76" s="992"/>
      <c r="H76" s="992"/>
      <c r="I76" s="992"/>
      <c r="J76" s="992"/>
      <c r="K76" s="992"/>
      <c r="L76" s="992"/>
      <c r="M76" s="1042"/>
      <c r="N76" s="1043"/>
      <c r="O76" s="1043"/>
      <c r="P76" s="1041"/>
      <c r="Q76" s="961"/>
    </row>
    <row r="77" ht="27.75" spans="1:17">
      <c r="A77" s="990"/>
      <c r="B77" s="993" t="s">
        <v>1287</v>
      </c>
      <c r="C77" s="994"/>
      <c r="D77" s="994"/>
      <c r="E77" s="994"/>
      <c r="F77" s="994"/>
      <c r="G77" s="994"/>
      <c r="H77" s="994"/>
      <c r="I77" s="994"/>
      <c r="J77" s="994"/>
      <c r="K77" s="1044"/>
      <c r="L77" s="1045"/>
      <c r="M77" s="1046"/>
      <c r="N77" s="1040"/>
      <c r="O77" s="1040"/>
      <c r="P77" s="1041"/>
      <c r="Q77" s="961"/>
    </row>
    <row r="78" ht="15.75" spans="1:17">
      <c r="A78" s="990"/>
      <c r="B78" s="995"/>
      <c r="C78" s="996"/>
      <c r="D78" s="996"/>
      <c r="E78" s="996"/>
      <c r="F78" s="996"/>
      <c r="G78" s="996"/>
      <c r="H78" s="996"/>
      <c r="I78" s="996"/>
      <c r="J78" s="996"/>
      <c r="K78" s="996"/>
      <c r="L78" s="996"/>
      <c r="M78" s="1047"/>
      <c r="N78" s="1043"/>
      <c r="O78" s="1043"/>
      <c r="P78" s="1041"/>
      <c r="Q78" s="961"/>
    </row>
    <row r="79" ht="15.75" spans="1:17">
      <c r="A79" s="990"/>
      <c r="B79" s="997" t="s">
        <v>1288</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ht="15" spans="1:17">
      <c r="A80" s="990"/>
      <c r="B80" s="999"/>
      <c r="C80" s="781"/>
      <c r="D80" s="781"/>
      <c r="E80" s="781"/>
      <c r="F80" s="781"/>
      <c r="G80" s="781"/>
      <c r="H80" s="781"/>
      <c r="I80" s="781"/>
      <c r="J80" s="781"/>
      <c r="K80" s="1048"/>
      <c r="L80" s="1049"/>
      <c r="M80" s="1050"/>
      <c r="N80" s="1040"/>
      <c r="O80" s="1040"/>
      <c r="P80" s="1041"/>
      <c r="Q80" s="961"/>
    </row>
    <row r="81" ht="15.7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7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5.75" spans="1:17">
      <c r="A83" s="1000"/>
      <c r="B83" s="995"/>
      <c r="C83" s="1003"/>
      <c r="D83" s="992"/>
      <c r="E83" s="992"/>
      <c r="F83" s="992"/>
      <c r="G83" s="992"/>
      <c r="H83" s="992"/>
      <c r="I83" s="992"/>
      <c r="J83" s="992"/>
      <c r="K83" s="992"/>
      <c r="L83" s="992"/>
      <c r="M83" s="1042"/>
      <c r="N83" s="1043"/>
      <c r="O83" s="1043"/>
      <c r="P83" s="1054"/>
      <c r="Q83" s="1084"/>
    </row>
    <row r="84" s="724" customFormat="1" ht="15.75" spans="1:17">
      <c r="A84" s="1000"/>
      <c r="B84" s="993">
        <f>B13</f>
        <v>111</v>
      </c>
      <c r="C84" s="1001"/>
      <c r="D84" s="1001"/>
      <c r="E84" s="1001"/>
      <c r="F84" s="1001"/>
      <c r="G84" s="1001"/>
      <c r="H84" s="1002"/>
      <c r="I84" s="1002"/>
      <c r="J84" s="1002"/>
      <c r="K84" s="1002"/>
      <c r="L84" s="1051"/>
      <c r="M84" s="1052"/>
      <c r="N84" s="1053"/>
      <c r="O84" s="1053"/>
      <c r="P84" s="1055"/>
      <c r="Q84" s="1085"/>
    </row>
    <row r="85" s="724" customFormat="1" ht="15.75" spans="1:17">
      <c r="A85" s="1000"/>
      <c r="B85" s="995"/>
      <c r="C85" s="1003"/>
      <c r="D85" s="1003"/>
      <c r="E85" s="1003"/>
      <c r="F85" s="1003"/>
      <c r="G85" s="1003"/>
      <c r="H85" s="1004"/>
      <c r="I85" s="1004"/>
      <c r="J85" s="1004"/>
      <c r="K85" s="1004"/>
      <c r="L85" s="1004"/>
      <c r="M85" s="1056"/>
      <c r="N85" s="1053"/>
      <c r="O85" s="1053"/>
      <c r="P85" s="1054"/>
      <c r="Q85" s="1084"/>
    </row>
    <row r="86" s="724" customFormat="1" ht="15.75" spans="1:17">
      <c r="A86" s="1000"/>
      <c r="B86" s="997">
        <f>B14</f>
        <v>111</v>
      </c>
      <c r="C86" s="985"/>
      <c r="D86" s="985"/>
      <c r="E86" s="985"/>
      <c r="F86" s="985"/>
      <c r="G86" s="985"/>
      <c r="H86" s="1005"/>
      <c r="I86" s="1005"/>
      <c r="J86" s="1005"/>
      <c r="K86" s="1005"/>
      <c r="L86" s="1057"/>
      <c r="M86" s="1058"/>
      <c r="N86" s="1053"/>
      <c r="O86" s="1053"/>
      <c r="P86" s="1059"/>
      <c r="Q86" s="1084"/>
    </row>
    <row r="87" s="724" customFormat="1" ht="15.75" spans="1:17">
      <c r="A87" s="1006"/>
      <c r="B87" s="1007"/>
      <c r="C87" s="1008"/>
      <c r="D87" s="1008"/>
      <c r="E87" s="1008"/>
      <c r="F87" s="1008"/>
      <c r="G87" s="1008"/>
      <c r="H87" s="1009"/>
      <c r="I87" s="1009"/>
      <c r="J87" s="1009"/>
      <c r="K87" s="1009"/>
      <c r="L87" s="1009"/>
      <c r="M87" s="1060"/>
      <c r="N87" s="1053"/>
      <c r="O87" s="1053"/>
      <c r="P87" s="1054"/>
      <c r="Q87" s="1084"/>
    </row>
    <row r="88" spans="1:17">
      <c r="A88" s="988" t="s">
        <v>1289</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5.7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7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5.7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7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5.7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7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5.7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15.7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5.7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7.75" spans="1:17">
      <c r="A98" s="1013"/>
      <c r="B98" s="993" t="s">
        <v>571</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5.7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7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5.7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75" spans="1:17">
      <c r="A102" s="1000"/>
      <c r="B102" s="993" t="s">
        <v>214</v>
      </c>
      <c r="C102" s="994" t="s">
        <v>1323</v>
      </c>
      <c r="D102" s="994" t="s">
        <v>1324</v>
      </c>
      <c r="E102" s="994" t="s">
        <v>1325</v>
      </c>
      <c r="F102" s="994" t="s">
        <v>1326</v>
      </c>
      <c r="G102" s="994" t="s">
        <v>1327</v>
      </c>
      <c r="H102" s="1015"/>
      <c r="I102" s="1015"/>
      <c r="J102" s="1015"/>
      <c r="K102" s="1015"/>
      <c r="L102" s="1067"/>
      <c r="M102" s="1068"/>
      <c r="N102" s="1053"/>
      <c r="O102" s="1053"/>
      <c r="P102" s="1054"/>
      <c r="Q102" s="1084"/>
    </row>
    <row r="103" s="724" customFormat="1" ht="15.7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75" spans="1:17">
      <c r="A104" s="990"/>
      <c r="B104" s="993" t="str">
        <f>B31</f>
        <v>临街状况</v>
      </c>
      <c r="C104" s="994" t="s">
        <v>1418</v>
      </c>
      <c r="D104" s="994" t="s">
        <v>1419</v>
      </c>
      <c r="E104" s="994" t="s">
        <v>1420</v>
      </c>
      <c r="F104" s="994" t="s">
        <v>1421</v>
      </c>
      <c r="G104" s="994"/>
      <c r="H104" s="994"/>
      <c r="I104" s="994"/>
      <c r="J104" s="994"/>
      <c r="K104" s="1044"/>
      <c r="L104" s="1045"/>
      <c r="M104" s="1046"/>
      <c r="N104" s="1040"/>
      <c r="O104" s="1040"/>
      <c r="P104" s="1041"/>
      <c r="Q104" s="961"/>
    </row>
    <row r="105" ht="15.7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7.75" spans="1:17">
      <c r="A106" s="990"/>
      <c r="B106" s="993" t="s">
        <v>568</v>
      </c>
      <c r="C106" s="1001"/>
      <c r="D106" s="1001"/>
      <c r="E106" s="1001"/>
      <c r="F106" s="1001"/>
      <c r="G106" s="1001"/>
      <c r="H106" s="1017"/>
      <c r="I106" s="1017"/>
      <c r="J106" s="1017"/>
      <c r="K106" s="1071"/>
      <c r="L106" s="1072"/>
      <c r="M106" s="1073"/>
      <c r="N106" s="1040"/>
      <c r="O106" s="1040"/>
      <c r="P106" s="1041"/>
      <c r="Q106" s="961"/>
    </row>
    <row r="107" ht="15.7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75" spans="1:17">
      <c r="A108" s="990"/>
      <c r="B108" s="993" t="s">
        <v>572</v>
      </c>
      <c r="C108" s="1017"/>
      <c r="D108" s="1017"/>
      <c r="E108" s="1017"/>
      <c r="F108" s="1017"/>
      <c r="G108" s="1017"/>
      <c r="H108" s="1017"/>
      <c r="I108" s="1017"/>
      <c r="J108" s="1017"/>
      <c r="K108" s="1071"/>
      <c r="L108" s="1072"/>
      <c r="M108" s="1073"/>
      <c r="N108" s="1040"/>
      <c r="O108" s="1040"/>
      <c r="P108" s="1041"/>
      <c r="Q108" s="961"/>
    </row>
    <row r="109" ht="15.7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5.75" spans="1:17">
      <c r="A110" s="990"/>
      <c r="B110" s="997">
        <f>B35</f>
        <v>111</v>
      </c>
      <c r="C110" s="1001"/>
      <c r="D110" s="1001"/>
      <c r="E110" s="1001"/>
      <c r="F110" s="1001"/>
      <c r="G110" s="1018"/>
      <c r="H110" s="1018"/>
      <c r="I110" s="1018"/>
      <c r="J110" s="1018"/>
      <c r="K110" s="1074"/>
      <c r="L110" s="1075"/>
      <c r="M110" s="1076"/>
      <c r="N110" s="1040"/>
      <c r="O110" s="1040"/>
      <c r="P110" s="1041"/>
      <c r="Q110" s="961"/>
    </row>
    <row r="111" ht="15.75" spans="1:17">
      <c r="A111" s="990"/>
      <c r="B111" s="1007"/>
      <c r="C111" s="1003"/>
      <c r="D111" s="1003"/>
      <c r="E111" s="1003"/>
      <c r="F111" s="1003"/>
      <c r="G111" s="1019"/>
      <c r="H111" s="1019"/>
      <c r="I111" s="1019"/>
      <c r="J111" s="1019"/>
      <c r="K111" s="1019"/>
      <c r="L111" s="1019"/>
      <c r="M111" s="1077"/>
      <c r="N111" s="1043"/>
      <c r="O111" s="1043"/>
      <c r="P111" s="1041"/>
      <c r="Q111" s="961"/>
    </row>
    <row r="112" ht="15" spans="1:17">
      <c r="A112" s="816"/>
      <c r="B112" s="993">
        <f>B36</f>
        <v>111</v>
      </c>
      <c r="C112" s="985"/>
      <c r="D112" s="985"/>
      <c r="E112" s="985"/>
      <c r="F112" s="985"/>
      <c r="G112" s="1017"/>
      <c r="H112" s="1017"/>
      <c r="I112" s="1017"/>
      <c r="J112" s="1017"/>
      <c r="K112" s="1071"/>
      <c r="L112" s="1072"/>
      <c r="M112" s="1073"/>
      <c r="N112" s="1040"/>
      <c r="O112" s="1040"/>
      <c r="P112" s="1041"/>
      <c r="Q112" s="961"/>
    </row>
    <row r="113" ht="15.75" spans="1:17">
      <c r="A113" s="990"/>
      <c r="B113" s="995"/>
      <c r="C113" s="1008"/>
      <c r="D113" s="1008"/>
      <c r="E113" s="1008"/>
      <c r="F113" s="1008"/>
      <c r="G113" s="992"/>
      <c r="H113" s="992"/>
      <c r="I113" s="992"/>
      <c r="J113" s="992"/>
      <c r="K113" s="992"/>
      <c r="L113" s="992"/>
      <c r="M113" s="1042"/>
      <c r="N113" s="1043"/>
      <c r="O113" s="1043"/>
      <c r="P113" s="1041"/>
      <c r="Q113" s="961"/>
    </row>
    <row r="114" s="724" customFormat="1" ht="15.7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5.75" spans="1:17">
      <c r="A115" s="1000"/>
      <c r="B115" s="997"/>
      <c r="C115" s="987"/>
      <c r="D115" s="1022"/>
      <c r="E115" s="1022"/>
      <c r="F115" s="1022"/>
      <c r="G115" s="1022"/>
      <c r="H115" s="1022"/>
      <c r="I115" s="1022"/>
      <c r="J115" s="1022"/>
      <c r="K115" s="1022"/>
      <c r="L115" s="1022"/>
      <c r="M115" s="1081"/>
      <c r="N115" s="1043"/>
      <c r="O115" s="1043"/>
      <c r="P115" s="1054"/>
      <c r="Q115" s="1084"/>
    </row>
    <row r="116" spans="1:17">
      <c r="A116" s="988" t="s">
        <v>1294</v>
      </c>
      <c r="B116" s="989" t="s">
        <v>1391</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ht="15" spans="1:17">
      <c r="A117" s="990"/>
      <c r="B117" s="997"/>
      <c r="C117" s="977"/>
      <c r="D117" s="977"/>
      <c r="E117" s="977"/>
      <c r="F117" s="977"/>
      <c r="G117" s="977"/>
      <c r="H117" s="977"/>
      <c r="I117" s="977"/>
      <c r="J117" s="1078"/>
      <c r="K117" s="1078"/>
      <c r="L117" s="1079"/>
      <c r="M117" s="1080"/>
      <c r="N117" s="1040"/>
      <c r="O117" s="1040"/>
      <c r="P117" s="1041"/>
      <c r="Q117" s="961"/>
    </row>
    <row r="118" ht="15.75" spans="1:17">
      <c r="A118" s="990"/>
      <c r="B118" s="995"/>
      <c r="C118" s="1008"/>
      <c r="D118" s="1019"/>
      <c r="E118" s="1019"/>
      <c r="F118" s="1019"/>
      <c r="G118" s="1019"/>
      <c r="H118" s="1019"/>
      <c r="I118" s="1019"/>
      <c r="J118" s="1019"/>
      <c r="K118" s="1019"/>
      <c r="L118" s="1019"/>
      <c r="M118" s="1077"/>
      <c r="N118" s="1043"/>
      <c r="O118" s="1043"/>
      <c r="P118" s="1041"/>
      <c r="Q118" s="961"/>
    </row>
    <row r="119" ht="15.75" spans="1:17">
      <c r="A119" s="1024"/>
      <c r="B119" s="993" t="s">
        <v>1392</v>
      </c>
      <c r="C119" s="1017"/>
      <c r="D119" s="1017"/>
      <c r="E119" s="1017"/>
      <c r="F119" s="1017"/>
      <c r="G119" s="1017"/>
      <c r="H119" s="1017"/>
      <c r="I119" s="1017"/>
      <c r="J119" s="1017"/>
      <c r="K119" s="1071"/>
      <c r="L119" s="1072"/>
      <c r="M119" s="1073"/>
      <c r="N119" s="1040"/>
      <c r="O119" s="1040"/>
      <c r="P119" s="1041"/>
      <c r="Q119" s="961"/>
    </row>
    <row r="120" ht="15.7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75" spans="1:17">
      <c r="A121" s="1024"/>
      <c r="B121" s="993" t="s">
        <v>1393</v>
      </c>
      <c r="C121" s="1001"/>
      <c r="D121" s="1001"/>
      <c r="E121" s="1001"/>
      <c r="F121" s="1017"/>
      <c r="G121" s="1017"/>
      <c r="H121" s="1017"/>
      <c r="I121" s="1017"/>
      <c r="J121" s="1017"/>
      <c r="K121" s="1071"/>
      <c r="L121" s="1072"/>
      <c r="M121" s="1073"/>
      <c r="N121" s="1040"/>
      <c r="O121" s="1040"/>
      <c r="P121" s="1041"/>
      <c r="Q121" s="961"/>
    </row>
    <row r="122" ht="15.7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75" spans="1:17">
      <c r="A123" s="1020"/>
      <c r="B123" s="993" t="s">
        <v>1394</v>
      </c>
      <c r="C123" s="1001"/>
      <c r="D123" s="1001"/>
      <c r="E123" s="1001"/>
      <c r="F123" s="1001"/>
      <c r="G123" s="1001"/>
      <c r="H123" s="1017"/>
      <c r="I123" s="1017"/>
      <c r="J123" s="1017"/>
      <c r="K123" s="1071"/>
      <c r="L123" s="1072"/>
      <c r="M123" s="1073"/>
      <c r="N123" s="1053"/>
      <c r="O123" s="1053"/>
      <c r="P123" s="1054"/>
      <c r="Q123" s="1084"/>
    </row>
    <row r="124" s="724" customFormat="1" ht="15.7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75" spans="1:17">
      <c r="A125" s="1024"/>
      <c r="B125" s="993" t="s">
        <v>1395</v>
      </c>
      <c r="C125" s="1001"/>
      <c r="D125" s="1001"/>
      <c r="E125" s="1017"/>
      <c r="F125" s="1017"/>
      <c r="G125" s="1017"/>
      <c r="H125" s="1017"/>
      <c r="I125" s="1017"/>
      <c r="J125" s="1017"/>
      <c r="K125" s="1071"/>
      <c r="L125" s="1072"/>
      <c r="M125" s="1073"/>
      <c r="N125" s="1040"/>
      <c r="O125" s="1040"/>
      <c r="P125" s="1041"/>
      <c r="Q125" s="961"/>
    </row>
    <row r="126" ht="15.7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5.75" spans="1:17">
      <c r="A127" s="1024"/>
      <c r="B127" s="993">
        <f>B43</f>
        <v>111</v>
      </c>
      <c r="C127" s="1001"/>
      <c r="D127" s="1001"/>
      <c r="E127" s="1001"/>
      <c r="F127" s="1001"/>
      <c r="G127" s="1001"/>
      <c r="H127" s="1017"/>
      <c r="I127" s="1017"/>
      <c r="J127" s="1017"/>
      <c r="K127" s="1071"/>
      <c r="L127" s="1072"/>
      <c r="M127" s="1073"/>
      <c r="N127" s="1040"/>
      <c r="O127" s="1040"/>
      <c r="P127" s="1041"/>
      <c r="Q127" s="961"/>
    </row>
    <row r="128" ht="15.75" spans="1:17">
      <c r="A128" s="990"/>
      <c r="B128" s="995"/>
      <c r="C128" s="1003"/>
      <c r="D128" s="1003"/>
      <c r="E128" s="1003"/>
      <c r="F128" s="1003"/>
      <c r="G128" s="992"/>
      <c r="H128" s="992"/>
      <c r="I128" s="992"/>
      <c r="J128" s="992"/>
      <c r="K128" s="992"/>
      <c r="L128" s="992"/>
      <c r="M128" s="1042"/>
      <c r="N128" s="1043"/>
      <c r="O128" s="1043"/>
      <c r="P128" s="1041"/>
      <c r="Q128" s="961"/>
    </row>
    <row r="129" ht="15.75" spans="1:17">
      <c r="A129" s="1024"/>
      <c r="B129" s="993">
        <f>B44</f>
        <v>111</v>
      </c>
      <c r="C129" s="985"/>
      <c r="D129" s="985"/>
      <c r="E129" s="985"/>
      <c r="F129" s="985"/>
      <c r="G129" s="1017"/>
      <c r="H129" s="1017"/>
      <c r="I129" s="1017"/>
      <c r="J129" s="1017"/>
      <c r="K129" s="1071"/>
      <c r="L129" s="1072"/>
      <c r="M129" s="1073"/>
      <c r="N129" s="1040"/>
      <c r="O129" s="1040"/>
      <c r="P129" s="1041"/>
      <c r="Q129" s="961"/>
    </row>
    <row r="130" ht="15.75" spans="1:17">
      <c r="A130" s="990"/>
      <c r="B130" s="995"/>
      <c r="C130" s="1008"/>
      <c r="D130" s="1008"/>
      <c r="E130" s="1008"/>
      <c r="F130" s="1008"/>
      <c r="G130" s="992"/>
      <c r="H130" s="992"/>
      <c r="I130" s="992"/>
      <c r="J130" s="992"/>
      <c r="K130" s="992"/>
      <c r="L130" s="992"/>
      <c r="M130" s="1042"/>
      <c r="N130" s="1043"/>
      <c r="O130" s="1043"/>
      <c r="P130" s="1041"/>
      <c r="Q130" s="961"/>
    </row>
    <row r="131" s="724" customFormat="1" ht="15.7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5.7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29">
      <c r="A1" s="731" t="s">
        <v>1387</v>
      </c>
      <c r="B1" s="732"/>
      <c r="C1" s="733" t="s">
        <v>1364</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827</v>
      </c>
      <c r="B2" s="736" t="e">
        <f>F61</f>
        <v>#DIV/0!</v>
      </c>
      <c r="C2" s="737" t="s">
        <v>1389</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0" si="3">D8/F8</f>
        <v>#DIV/0!</v>
      </c>
      <c r="AB8" s="967" t="e">
        <f t="shared" ref="AB8:AB40" si="4">D8/H8</f>
        <v>#DIV/0!</v>
      </c>
      <c r="AC8" s="967" t="e">
        <f t="shared" ref="AC8:AC40" si="5">D8/J8</f>
        <v>#DIV/0!</v>
      </c>
    </row>
    <row r="9" s="722" customFormat="1" spans="1:29">
      <c r="A9" s="767" t="s">
        <v>1283</v>
      </c>
      <c r="B9" s="768" t="s">
        <v>1284</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773"/>
      <c r="F10" s="774">
        <f>ROUND(100/'数据-取费表'!B14,0)</f>
        <v>115</v>
      </c>
      <c r="G10" s="773"/>
      <c r="H10" s="774">
        <f>ROUND(100/'数据-取费表'!B14,0)</f>
        <v>115</v>
      </c>
      <c r="I10" s="773"/>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15"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1279</v>
      </c>
      <c r="S19" s="954">
        <f>F19</f>
        <v>100</v>
      </c>
      <c r="T19" s="953" t="s">
        <v>1279</v>
      </c>
      <c r="U19" s="954">
        <f>H19</f>
        <v>100</v>
      </c>
      <c r="V19" s="953" t="s">
        <v>1279</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67.5" spans="1:29">
      <c r="A21" s="747"/>
      <c r="B21" s="799" t="s">
        <v>563</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1279</v>
      </c>
      <c r="S21" s="954">
        <f>F21</f>
        <v>100</v>
      </c>
      <c r="T21" s="953" t="s">
        <v>1279</v>
      </c>
      <c r="U21" s="954">
        <f>H21</f>
        <v>100</v>
      </c>
      <c r="V21" s="953" t="s">
        <v>1279</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0.5"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1279</v>
      </c>
      <c r="S23" s="949">
        <f>F23</f>
        <v>100</v>
      </c>
      <c r="T23" s="948" t="s">
        <v>1279</v>
      </c>
      <c r="U23" s="949">
        <f>H23</f>
        <v>100</v>
      </c>
      <c r="V23" s="948" t="s">
        <v>1279</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27"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1279</v>
      </c>
      <c r="S25" s="949">
        <f>F25</f>
        <v>100</v>
      </c>
      <c r="T25" s="948" t="s">
        <v>1279</v>
      </c>
      <c r="U25" s="949">
        <f>H25</f>
        <v>100</v>
      </c>
      <c r="V25" s="948" t="s">
        <v>1279</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1279</v>
      </c>
      <c r="S27" s="954">
        <f t="shared" ref="S27:S40" si="10">F27</f>
        <v>100</v>
      </c>
      <c r="T27" s="953" t="s">
        <v>1279</v>
      </c>
      <c r="U27" s="954">
        <f t="shared" ref="U27:U40" si="11">H27</f>
        <v>100</v>
      </c>
      <c r="V27" s="953" t="s">
        <v>1279</v>
      </c>
      <c r="W27" s="954">
        <f t="shared" ref="W27:W40" si="12">J27</f>
        <v>100</v>
      </c>
      <c r="X27" s="940"/>
      <c r="Y27" s="911"/>
      <c r="Z27" s="864" t="str">
        <f t="shared" ref="Z27:Z40" si="13">Q27</f>
        <v>临街状况</v>
      </c>
      <c r="AA27" s="969">
        <f t="shared" si="3"/>
        <v>1</v>
      </c>
      <c r="AB27" s="969">
        <f t="shared" si="4"/>
        <v>1</v>
      </c>
      <c r="AC27" s="969">
        <f t="shared" si="5"/>
        <v>1</v>
      </c>
    </row>
    <row r="28" ht="27" spans="1:29">
      <c r="A28" s="775"/>
      <c r="B28" s="807" t="s">
        <v>568</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1279</v>
      </c>
      <c r="S28" s="954">
        <f t="shared" si="10"/>
        <v>100</v>
      </c>
      <c r="T28" s="953" t="s">
        <v>1279</v>
      </c>
      <c r="U28" s="954">
        <f t="shared" si="11"/>
        <v>100</v>
      </c>
      <c r="V28" s="953" t="s">
        <v>1279</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572</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1279</v>
      </c>
      <c r="S30" s="954">
        <f t="shared" si="10"/>
        <v>100</v>
      </c>
      <c r="T30" s="953" t="s">
        <v>1279</v>
      </c>
      <c r="U30" s="954">
        <f t="shared" si="11"/>
        <v>100</v>
      </c>
      <c r="V30" s="953" t="s">
        <v>1279</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1279</v>
      </c>
      <c r="S31" s="954">
        <f t="shared" si="10"/>
        <v>100</v>
      </c>
      <c r="T31" s="953" t="s">
        <v>1279</v>
      </c>
      <c r="U31" s="954">
        <f t="shared" si="11"/>
        <v>100</v>
      </c>
      <c r="V31" s="953" t="s">
        <v>1279</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1296</v>
      </c>
      <c r="Q32" s="503">
        <f t="shared" si="8"/>
        <v>111</v>
      </c>
      <c r="R32" s="953" t="s">
        <v>1279</v>
      </c>
      <c r="S32" s="954">
        <f t="shared" si="10"/>
        <v>100</v>
      </c>
      <c r="T32" s="953" t="s">
        <v>1279</v>
      </c>
      <c r="U32" s="954">
        <f t="shared" si="11"/>
        <v>100</v>
      </c>
      <c r="V32" s="953" t="s">
        <v>1279</v>
      </c>
      <c r="W32" s="954">
        <f t="shared" si="12"/>
        <v>100</v>
      </c>
      <c r="X32" s="940"/>
      <c r="Y32" s="920" t="s">
        <v>1296</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1279</v>
      </c>
      <c r="S33" s="956">
        <f t="shared" si="10"/>
        <v>100</v>
      </c>
      <c r="T33" s="955" t="s">
        <v>1279</v>
      </c>
      <c r="U33" s="956">
        <f t="shared" si="11"/>
        <v>100</v>
      </c>
      <c r="V33" s="955" t="s">
        <v>1279</v>
      </c>
      <c r="W33" s="956">
        <f t="shared" si="12"/>
        <v>100</v>
      </c>
      <c r="X33" s="957"/>
      <c r="Y33" s="920"/>
      <c r="Z33" s="970">
        <f t="shared" si="13"/>
        <v>111</v>
      </c>
      <c r="AA33" s="969">
        <f t="shared" si="3"/>
        <v>1</v>
      </c>
      <c r="AB33" s="969">
        <f t="shared" si="4"/>
        <v>1</v>
      </c>
      <c r="AC33" s="969">
        <f t="shared" si="5"/>
        <v>1</v>
      </c>
    </row>
    <row r="34" ht="15" spans="1:29">
      <c r="A34" s="823" t="s">
        <v>1294</v>
      </c>
      <c r="B34" s="824" t="s">
        <v>1391</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1279</v>
      </c>
      <c r="S34" s="954" t="e">
        <f t="shared" si="10"/>
        <v>#N/A</v>
      </c>
      <c r="T34" s="953" t="s">
        <v>1279</v>
      </c>
      <c r="U34" s="954" t="e">
        <f t="shared" si="11"/>
        <v>#N/A</v>
      </c>
      <c r="V34" s="953" t="s">
        <v>1279</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1392</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1279</v>
      </c>
      <c r="S35" s="954">
        <f t="shared" si="10"/>
        <v>100</v>
      </c>
      <c r="T35" s="953" t="s">
        <v>1279</v>
      </c>
      <c r="U35" s="954">
        <f t="shared" si="11"/>
        <v>100</v>
      </c>
      <c r="V35" s="953" t="s">
        <v>1279</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1394</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1279</v>
      </c>
      <c r="S36" s="949">
        <f t="shared" si="10"/>
        <v>100</v>
      </c>
      <c r="T36" s="948" t="s">
        <v>1279</v>
      </c>
      <c r="U36" s="949">
        <f t="shared" si="11"/>
        <v>100</v>
      </c>
      <c r="V36" s="948" t="s">
        <v>1279</v>
      </c>
      <c r="W36" s="949">
        <f t="shared" si="12"/>
        <v>100</v>
      </c>
      <c r="X36" s="950"/>
      <c r="Y36" s="920"/>
      <c r="Z36" s="968" t="str">
        <f t="shared" si="13"/>
        <v>宗地开发程度</v>
      </c>
      <c r="AA36" s="967">
        <f t="shared" si="3"/>
        <v>1</v>
      </c>
      <c r="AB36" s="967">
        <f t="shared" si="4"/>
        <v>1</v>
      </c>
      <c r="AC36" s="967">
        <f t="shared" si="5"/>
        <v>1</v>
      </c>
    </row>
    <row r="37" ht="15" spans="1:29">
      <c r="A37" s="823"/>
      <c r="B37" s="772" t="s">
        <v>1395</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1296</v>
      </c>
      <c r="Q37" s="503" t="str">
        <f t="shared" si="14"/>
        <v>工程地质条件</v>
      </c>
      <c r="R37" s="953" t="s">
        <v>1279</v>
      </c>
      <c r="S37" s="954">
        <f t="shared" si="10"/>
        <v>100</v>
      </c>
      <c r="T37" s="953" t="s">
        <v>1279</v>
      </c>
      <c r="U37" s="954">
        <f t="shared" si="11"/>
        <v>100</v>
      </c>
      <c r="V37" s="953" t="s">
        <v>1279</v>
      </c>
      <c r="W37" s="954">
        <f t="shared" si="12"/>
        <v>100</v>
      </c>
      <c r="X37" s="940"/>
      <c r="Y37" s="920" t="s">
        <v>1296</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1279</v>
      </c>
      <c r="S38" s="954">
        <f t="shared" si="10"/>
        <v>100</v>
      </c>
      <c r="T38" s="953" t="s">
        <v>1279</v>
      </c>
      <c r="U38" s="954">
        <f t="shared" si="11"/>
        <v>100</v>
      </c>
      <c r="V38" s="953" t="s">
        <v>1279</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1279</v>
      </c>
      <c r="S39" s="954">
        <f t="shared" si="10"/>
        <v>100</v>
      </c>
      <c r="T39" s="953" t="s">
        <v>1279</v>
      </c>
      <c r="U39" s="954">
        <f t="shared" si="11"/>
        <v>100</v>
      </c>
      <c r="V39" s="953" t="s">
        <v>1279</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1279</v>
      </c>
      <c r="S40" s="956">
        <f t="shared" si="10"/>
        <v>100</v>
      </c>
      <c r="T40" s="955" t="s">
        <v>1279</v>
      </c>
      <c r="U40" s="956">
        <f t="shared" si="11"/>
        <v>100</v>
      </c>
      <c r="V40" s="955" t="s">
        <v>1279</v>
      </c>
      <c r="W40" s="956">
        <f t="shared" si="12"/>
        <v>100</v>
      </c>
      <c r="X40" s="957"/>
      <c r="Y40" s="920"/>
      <c r="Z40" s="970">
        <f t="shared" si="13"/>
        <v>111</v>
      </c>
      <c r="AA40" s="969">
        <f t="shared" si="3"/>
        <v>1</v>
      </c>
      <c r="AB40" s="969">
        <f t="shared" si="4"/>
        <v>1</v>
      </c>
      <c r="AC40" s="969">
        <f t="shared" si="5"/>
        <v>1</v>
      </c>
    </row>
    <row r="41" ht="15" spans="1:29">
      <c r="A41" s="833" t="s">
        <v>1381</v>
      </c>
      <c r="B41" s="834" t="s">
        <v>1422</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75" spans="1:29">
      <c r="A42" s="841" t="s">
        <v>1308</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75" spans="1:29">
      <c r="A43" s="847" t="s">
        <v>1309</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5" spans="1:15">
      <c r="A49" s="855"/>
      <c r="B49" s="856"/>
      <c r="C49" s="857"/>
      <c r="D49" s="855"/>
      <c r="E49" s="855"/>
      <c r="F49" s="855"/>
      <c r="G49" s="855"/>
      <c r="H49" s="855"/>
      <c r="I49" s="855"/>
      <c r="J49" s="855"/>
      <c r="K49" s="930"/>
      <c r="L49" s="931"/>
      <c r="M49" s="855"/>
      <c r="N49" s="855"/>
      <c r="O49" s="855"/>
    </row>
    <row r="50" ht="27" spans="1:15">
      <c r="A50" s="858" t="s">
        <v>1397</v>
      </c>
      <c r="B50" s="859" t="s">
        <v>1398</v>
      </c>
      <c r="C50" s="860" t="s">
        <v>1399</v>
      </c>
      <c r="D50" s="861" t="s">
        <v>1400</v>
      </c>
      <c r="E50" s="862" t="s">
        <v>1401</v>
      </c>
      <c r="F50" s="863" t="s">
        <v>1402</v>
      </c>
      <c r="G50" s="864" t="s">
        <v>1423</v>
      </c>
      <c r="H50" s="864">
        <f>项目基本情况!G8</f>
        <v>0</v>
      </c>
      <c r="I50" s="932" t="s">
        <v>1404</v>
      </c>
      <c r="J50" s="928"/>
      <c r="K50" s="929"/>
      <c r="L50" s="929"/>
      <c r="M50" s="850"/>
      <c r="N50" s="850"/>
      <c r="O50" s="850"/>
    </row>
    <row r="51" s="726" customFormat="1" spans="1:15">
      <c r="A51" s="865" t="s">
        <v>1405</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1406</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1407</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1408</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1409</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1410</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1411</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1412</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1413</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1414</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5" spans="1:15">
      <c r="A61" s="874" t="s">
        <v>1415</v>
      </c>
      <c r="B61" s="875" t="s">
        <v>1358</v>
      </c>
      <c r="C61" s="875" t="s">
        <v>1358</v>
      </c>
      <c r="D61" s="875" t="s">
        <v>1358</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2018-11-1</v>
      </c>
      <c r="D63" s="878">
        <f>EDATE(C63,-3)</f>
        <v>43313</v>
      </c>
      <c r="E63" s="878">
        <f t="shared" ref="E63:O63" si="18">EDATE(D63,-3)</f>
        <v>43221</v>
      </c>
      <c r="F63" s="878">
        <f t="shared" si="18"/>
        <v>43132</v>
      </c>
      <c r="G63" s="878">
        <f t="shared" si="18"/>
        <v>43040</v>
      </c>
      <c r="H63" s="878">
        <f t="shared" si="18"/>
        <v>42948</v>
      </c>
      <c r="I63" s="878">
        <f t="shared" si="18"/>
        <v>42856</v>
      </c>
      <c r="J63" s="878">
        <f t="shared" si="18"/>
        <v>42767</v>
      </c>
      <c r="K63" s="878">
        <f t="shared" si="18"/>
        <v>42675</v>
      </c>
      <c r="L63" s="878">
        <f t="shared" si="18"/>
        <v>42583</v>
      </c>
      <c r="M63" s="878">
        <f t="shared" si="18"/>
        <v>42491</v>
      </c>
      <c r="N63" s="878">
        <f t="shared" si="18"/>
        <v>42401</v>
      </c>
      <c r="O63" s="878">
        <f t="shared" si="18"/>
        <v>42309</v>
      </c>
    </row>
    <row r="64" ht="21" spans="1:17">
      <c r="A64" s="879" t="s">
        <v>1313</v>
      </c>
      <c r="B64" s="880"/>
      <c r="C64" s="881"/>
      <c r="D64" s="881"/>
      <c r="E64" s="881"/>
      <c r="F64" s="882"/>
      <c r="G64" s="882"/>
      <c r="H64" s="881"/>
      <c r="I64" s="933"/>
      <c r="J64" s="933"/>
      <c r="K64" s="934"/>
      <c r="L64" s="935"/>
      <c r="M64" s="933"/>
      <c r="N64" s="933"/>
      <c r="O64" s="933"/>
      <c r="P64" s="936"/>
      <c r="Q64" s="961"/>
    </row>
    <row r="65" s="727" customFormat="1" ht="15" spans="1:16">
      <c r="A65" s="972" t="s">
        <v>1416</v>
      </c>
      <c r="B65" s="973"/>
      <c r="C65" s="974" t="str">
        <f>YEAR(C63)&amp;"-"&amp;ROUNDUP(MONTH(C63)/3,0)</f>
        <v>2018-4</v>
      </c>
      <c r="D65" s="974" t="str">
        <f t="shared" ref="D65:O65" si="19">YEAR(D63)&amp;"-"&amp;ROUNDUP(MONTH(D63)/3,0)</f>
        <v>2018-3</v>
      </c>
      <c r="E65" s="974" t="str">
        <f t="shared" si="19"/>
        <v>2018-2</v>
      </c>
      <c r="F65" s="974" t="str">
        <f t="shared" si="19"/>
        <v>2018-1</v>
      </c>
      <c r="G65" s="974" t="str">
        <f t="shared" si="19"/>
        <v>2017-4</v>
      </c>
      <c r="H65" s="974" t="str">
        <f t="shared" si="19"/>
        <v>2017-3</v>
      </c>
      <c r="I65" s="974" t="str">
        <f t="shared" si="19"/>
        <v>2017-2</v>
      </c>
      <c r="J65" s="974" t="str">
        <f t="shared" si="19"/>
        <v>2017-1</v>
      </c>
      <c r="K65" s="974" t="str">
        <f t="shared" si="19"/>
        <v>2016-4</v>
      </c>
      <c r="L65" s="974" t="str">
        <f t="shared" si="19"/>
        <v>2016-3</v>
      </c>
      <c r="M65" s="974" t="str">
        <f t="shared" si="19"/>
        <v>2016-2</v>
      </c>
      <c r="N65" s="974" t="str">
        <f t="shared" si="19"/>
        <v>2016-1</v>
      </c>
      <c r="O65" s="974" t="str">
        <f t="shared" si="19"/>
        <v>2015-4</v>
      </c>
      <c r="P65" s="1027"/>
    </row>
    <row r="66" s="722" customFormat="1" ht="33.75" customHeight="1" spans="1:16">
      <c r="A66" s="975" t="s">
        <v>554</v>
      </c>
      <c r="B66" s="976" t="str">
        <f>"北京市平均增长率"&amp;TEXT(基准地价修正!P24,"0.00%")</f>
        <v>北京市平均增长率1.49%</v>
      </c>
      <c r="C66" s="370">
        <v>100</v>
      </c>
      <c r="D66" s="977"/>
      <c r="E66" s="977"/>
      <c r="F66" s="977"/>
      <c r="G66" s="977"/>
      <c r="H66" s="977"/>
      <c r="I66" s="977"/>
      <c r="J66" s="977"/>
      <c r="K66" s="977"/>
      <c r="L66" s="977"/>
      <c r="M66" s="1028"/>
      <c r="N66" s="977"/>
      <c r="O66" s="1029"/>
      <c r="P66" s="961"/>
    </row>
    <row r="67" s="722" customFormat="1" ht="15.75" spans="1:17">
      <c r="A67" s="978" t="s">
        <v>1314</v>
      </c>
      <c r="B67" s="979"/>
      <c r="C67" s="980"/>
      <c r="D67" s="981"/>
      <c r="E67" s="981"/>
      <c r="F67" s="981"/>
      <c r="G67" s="981"/>
      <c r="H67" s="981"/>
      <c r="I67" s="981"/>
      <c r="J67" s="981"/>
      <c r="K67" s="981"/>
      <c r="L67" s="981"/>
      <c r="M67" s="1030"/>
      <c r="N67" s="981"/>
      <c r="O67" s="1031"/>
      <c r="P67" s="961"/>
      <c r="Q67" s="961"/>
    </row>
    <row r="68" s="722" customFormat="1" ht="15" spans="1:17">
      <c r="A68" s="982" t="s">
        <v>1280</v>
      </c>
      <c r="B68" s="983"/>
      <c r="C68" s="984" t="s">
        <v>1281</v>
      </c>
      <c r="D68" s="985"/>
      <c r="E68" s="985"/>
      <c r="F68" s="985"/>
      <c r="G68" s="985"/>
      <c r="H68" s="985"/>
      <c r="I68" s="985"/>
      <c r="J68" s="985"/>
      <c r="K68" s="985"/>
      <c r="L68" s="1032"/>
      <c r="M68" s="1033"/>
      <c r="N68" s="1034"/>
      <c r="O68" s="1034"/>
      <c r="P68" s="1035"/>
      <c r="Q68" s="961"/>
    </row>
    <row r="69" s="722" customFormat="1" ht="15.75" spans="1:17">
      <c r="A69" s="982"/>
      <c r="B69" s="983"/>
      <c r="C69" s="986">
        <v>100</v>
      </c>
      <c r="D69" s="987"/>
      <c r="E69" s="987"/>
      <c r="F69" s="987"/>
      <c r="G69" s="987"/>
      <c r="H69" s="987"/>
      <c r="I69" s="987"/>
      <c r="J69" s="987"/>
      <c r="K69" s="987"/>
      <c r="L69" s="987"/>
      <c r="M69" s="1036"/>
      <c r="N69" s="1034"/>
      <c r="O69" s="1034"/>
      <c r="P69" s="961"/>
      <c r="Q69" s="961"/>
    </row>
    <row r="70" spans="1:17">
      <c r="A70" s="988" t="s">
        <v>1315</v>
      </c>
      <c r="B70" s="989" t="s">
        <v>1284</v>
      </c>
      <c r="C70" s="921"/>
      <c r="D70" s="921"/>
      <c r="E70" s="921"/>
      <c r="F70" s="921"/>
      <c r="G70" s="921"/>
      <c r="H70" s="921"/>
      <c r="I70" s="921"/>
      <c r="J70" s="921"/>
      <c r="K70" s="1037"/>
      <c r="L70" s="1038"/>
      <c r="M70" s="1039"/>
      <c r="N70" s="1040"/>
      <c r="O70" s="1040"/>
      <c r="P70" s="1041"/>
      <c r="Q70" s="961"/>
    </row>
    <row r="71" ht="15.75" spans="1:17">
      <c r="A71" s="990"/>
      <c r="B71" s="991"/>
      <c r="C71" s="992"/>
      <c r="D71" s="992"/>
      <c r="E71" s="992"/>
      <c r="F71" s="992"/>
      <c r="G71" s="992"/>
      <c r="H71" s="992"/>
      <c r="I71" s="992"/>
      <c r="J71" s="992"/>
      <c r="K71" s="992"/>
      <c r="L71" s="992"/>
      <c r="M71" s="1042"/>
      <c r="N71" s="1043"/>
      <c r="O71" s="1043"/>
      <c r="P71" s="1041"/>
      <c r="Q71" s="961"/>
    </row>
    <row r="72" ht="27.75" spans="1:17">
      <c r="A72" s="990"/>
      <c r="B72" s="993" t="s">
        <v>1287</v>
      </c>
      <c r="C72" s="994"/>
      <c r="D72" s="994"/>
      <c r="E72" s="994"/>
      <c r="F72" s="994"/>
      <c r="G72" s="994"/>
      <c r="H72" s="994"/>
      <c r="I72" s="994"/>
      <c r="J72" s="994"/>
      <c r="K72" s="1044"/>
      <c r="L72" s="1045"/>
      <c r="M72" s="1046"/>
      <c r="N72" s="1040"/>
      <c r="O72" s="1040"/>
      <c r="P72" s="1041"/>
      <c r="Q72" s="961"/>
    </row>
    <row r="73" ht="15.75" spans="1:17">
      <c r="A73" s="990"/>
      <c r="B73" s="995"/>
      <c r="C73" s="996"/>
      <c r="D73" s="996"/>
      <c r="E73" s="996"/>
      <c r="F73" s="996"/>
      <c r="G73" s="996"/>
      <c r="H73" s="996"/>
      <c r="I73" s="996"/>
      <c r="J73" s="996"/>
      <c r="K73" s="996"/>
      <c r="L73" s="996"/>
      <c r="M73" s="1047"/>
      <c r="N73" s="1043"/>
      <c r="O73" s="1043"/>
      <c r="P73" s="1041"/>
      <c r="Q73" s="961"/>
    </row>
    <row r="74" ht="15.75" spans="1:17">
      <c r="A74" s="990"/>
      <c r="B74" s="997" t="s">
        <v>1288</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ht="15" spans="1:17">
      <c r="A75" s="990"/>
      <c r="B75" s="999"/>
      <c r="C75" s="781"/>
      <c r="D75" s="781"/>
      <c r="E75" s="781"/>
      <c r="F75" s="781"/>
      <c r="G75" s="781"/>
      <c r="H75" s="781"/>
      <c r="I75" s="781"/>
      <c r="J75" s="781"/>
      <c r="K75" s="1048"/>
      <c r="L75" s="1049"/>
      <c r="M75" s="1050"/>
      <c r="N75" s="1040"/>
      <c r="O75" s="1040"/>
      <c r="P75" s="1041"/>
      <c r="Q75" s="961"/>
    </row>
    <row r="76" ht="15.7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5.75" spans="1:17">
      <c r="A77" s="1000"/>
      <c r="B77" s="993">
        <f>B12</f>
        <v>111</v>
      </c>
      <c r="C77" s="1001"/>
      <c r="D77" s="1001"/>
      <c r="E77" s="1001"/>
      <c r="F77" s="1001"/>
      <c r="G77" s="1001"/>
      <c r="H77" s="1002"/>
      <c r="I77" s="1002"/>
      <c r="J77" s="1002"/>
      <c r="K77" s="1002"/>
      <c r="L77" s="1051"/>
      <c r="M77" s="1052"/>
      <c r="N77" s="1053"/>
      <c r="O77" s="1053"/>
      <c r="P77" s="1054"/>
      <c r="Q77" s="1084"/>
    </row>
    <row r="78" s="724" customFormat="1" ht="15.75" spans="1:17">
      <c r="A78" s="1000"/>
      <c r="B78" s="995"/>
      <c r="C78" s="1003"/>
      <c r="D78" s="992"/>
      <c r="E78" s="992"/>
      <c r="F78" s="992"/>
      <c r="G78" s="992"/>
      <c r="H78" s="992"/>
      <c r="I78" s="992"/>
      <c r="J78" s="992"/>
      <c r="K78" s="992"/>
      <c r="L78" s="992"/>
      <c r="M78" s="1042"/>
      <c r="N78" s="1043"/>
      <c r="O78" s="1043"/>
      <c r="P78" s="1054"/>
      <c r="Q78" s="1084"/>
    </row>
    <row r="79" s="724" customFormat="1" ht="15.75" spans="1:17">
      <c r="A79" s="1000"/>
      <c r="B79" s="993">
        <f>B13</f>
        <v>111</v>
      </c>
      <c r="C79" s="1001"/>
      <c r="D79" s="1001"/>
      <c r="E79" s="1001"/>
      <c r="F79" s="1001"/>
      <c r="G79" s="1001"/>
      <c r="H79" s="1002"/>
      <c r="I79" s="1002"/>
      <c r="J79" s="1002"/>
      <c r="K79" s="1002"/>
      <c r="L79" s="1051"/>
      <c r="M79" s="1052"/>
      <c r="N79" s="1053"/>
      <c r="O79" s="1053"/>
      <c r="P79" s="1055"/>
      <c r="Q79" s="1085"/>
    </row>
    <row r="80" s="724" customFormat="1" ht="15.75" spans="1:17">
      <c r="A80" s="1000"/>
      <c r="B80" s="995"/>
      <c r="C80" s="1003"/>
      <c r="D80" s="1003"/>
      <c r="E80" s="1003"/>
      <c r="F80" s="1003"/>
      <c r="G80" s="1003"/>
      <c r="H80" s="1004"/>
      <c r="I80" s="1004"/>
      <c r="J80" s="1004"/>
      <c r="K80" s="1004"/>
      <c r="L80" s="1004"/>
      <c r="M80" s="1056"/>
      <c r="N80" s="1053"/>
      <c r="O80" s="1053"/>
      <c r="P80" s="1054"/>
      <c r="Q80" s="1084"/>
    </row>
    <row r="81" s="724" customFormat="1" ht="15.75" spans="1:17">
      <c r="A81" s="1000"/>
      <c r="B81" s="997">
        <f>B14</f>
        <v>111</v>
      </c>
      <c r="C81" s="985"/>
      <c r="D81" s="985"/>
      <c r="E81" s="985"/>
      <c r="F81" s="985"/>
      <c r="G81" s="985"/>
      <c r="H81" s="1005"/>
      <c r="I81" s="1005"/>
      <c r="J81" s="1005"/>
      <c r="K81" s="1005"/>
      <c r="L81" s="1057"/>
      <c r="M81" s="1058"/>
      <c r="N81" s="1053"/>
      <c r="O81" s="1053"/>
      <c r="P81" s="1059"/>
      <c r="Q81" s="1084"/>
    </row>
    <row r="82" s="724" customFormat="1" ht="15.75" spans="1:17">
      <c r="A82" s="1006"/>
      <c r="B82" s="1007"/>
      <c r="C82" s="1008"/>
      <c r="D82" s="1008"/>
      <c r="E82" s="1008"/>
      <c r="F82" s="1008"/>
      <c r="G82" s="1008"/>
      <c r="H82" s="1009"/>
      <c r="I82" s="1009"/>
      <c r="J82" s="1009"/>
      <c r="K82" s="1009"/>
      <c r="L82" s="1009"/>
      <c r="M82" s="1060"/>
      <c r="N82" s="1053"/>
      <c r="O82" s="1053"/>
      <c r="P82" s="1054"/>
      <c r="Q82" s="1084"/>
    </row>
    <row r="83" spans="1:17">
      <c r="A83" s="988" t="s">
        <v>1289</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5.7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7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15.7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5.7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7.75" spans="1:17">
      <c r="A89" s="1013"/>
      <c r="B89" s="993" t="s">
        <v>571</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5.7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7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5.7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75" spans="1:17">
      <c r="A93" s="1000"/>
      <c r="B93" s="993" t="s">
        <v>214</v>
      </c>
      <c r="C93" s="994" t="s">
        <v>1323</v>
      </c>
      <c r="D93" s="994" t="s">
        <v>1324</v>
      </c>
      <c r="E93" s="994" t="s">
        <v>1325</v>
      </c>
      <c r="F93" s="994" t="s">
        <v>1326</v>
      </c>
      <c r="G93" s="994" t="s">
        <v>1327</v>
      </c>
      <c r="H93" s="1015"/>
      <c r="I93" s="1015"/>
      <c r="J93" s="1015"/>
      <c r="K93" s="1015"/>
      <c r="L93" s="1015"/>
      <c r="M93" s="1068"/>
      <c r="N93" s="1053"/>
      <c r="O93" s="1053"/>
      <c r="P93" s="1054"/>
      <c r="Q93" s="1084"/>
    </row>
    <row r="94" s="724" customFormat="1" ht="15.7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75" spans="1:17">
      <c r="A95" s="990"/>
      <c r="B95" s="993" t="str">
        <f>B27</f>
        <v>临街状况</v>
      </c>
      <c r="C95" s="994" t="s">
        <v>1418</v>
      </c>
      <c r="D95" s="994" t="s">
        <v>1419</v>
      </c>
      <c r="E95" s="994" t="s">
        <v>1420</v>
      </c>
      <c r="F95" s="994" t="s">
        <v>1421</v>
      </c>
      <c r="G95" s="994"/>
      <c r="H95" s="994"/>
      <c r="I95" s="994"/>
      <c r="J95" s="994"/>
      <c r="K95" s="1044"/>
      <c r="L95" s="1045"/>
      <c r="M95" s="1046"/>
      <c r="N95" s="1040"/>
      <c r="O95" s="1040"/>
      <c r="P95" s="1041"/>
      <c r="Q95" s="961"/>
    </row>
    <row r="96" ht="15.7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7.75" spans="1:17">
      <c r="A97" s="990"/>
      <c r="B97" s="993" t="s">
        <v>568</v>
      </c>
      <c r="C97" s="1001"/>
      <c r="D97" s="1001"/>
      <c r="E97" s="1001"/>
      <c r="F97" s="1001"/>
      <c r="G97" s="1001"/>
      <c r="H97" s="1017"/>
      <c r="I97" s="1017"/>
      <c r="J97" s="1017"/>
      <c r="K97" s="1071"/>
      <c r="L97" s="1072"/>
      <c r="M97" s="1073"/>
      <c r="N97" s="1040"/>
      <c r="O97" s="1040"/>
      <c r="P97" s="1041"/>
      <c r="Q97" s="961"/>
    </row>
    <row r="98" ht="15.7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75" spans="1:17">
      <c r="A99" s="990"/>
      <c r="B99" s="993" t="s">
        <v>572</v>
      </c>
      <c r="C99" s="1017"/>
      <c r="D99" s="1017"/>
      <c r="E99" s="1017"/>
      <c r="F99" s="1017"/>
      <c r="G99" s="1017"/>
      <c r="H99" s="1017"/>
      <c r="I99" s="1017"/>
      <c r="J99" s="1017"/>
      <c r="K99" s="1071"/>
      <c r="L99" s="1072"/>
      <c r="M99" s="1073"/>
      <c r="N99" s="1040"/>
      <c r="O99" s="1040"/>
      <c r="P99" s="1041"/>
      <c r="Q99" s="961"/>
    </row>
    <row r="100" ht="15.7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5.75" spans="1:17">
      <c r="A101" s="990"/>
      <c r="B101" s="997">
        <f>B31</f>
        <v>111</v>
      </c>
      <c r="C101" s="1001"/>
      <c r="D101" s="1001"/>
      <c r="E101" s="1001"/>
      <c r="F101" s="1001"/>
      <c r="G101" s="1018"/>
      <c r="H101" s="1018"/>
      <c r="I101" s="1018"/>
      <c r="J101" s="1018"/>
      <c r="K101" s="1074"/>
      <c r="L101" s="1075"/>
      <c r="M101" s="1076"/>
      <c r="N101" s="1040"/>
      <c r="O101" s="1040"/>
      <c r="P101" s="1041"/>
      <c r="Q101" s="961"/>
    </row>
    <row r="102" ht="15.75" spans="1:17">
      <c r="A102" s="990"/>
      <c r="B102" s="1007"/>
      <c r="C102" s="1003"/>
      <c r="D102" s="992"/>
      <c r="E102" s="992"/>
      <c r="F102" s="992"/>
      <c r="G102" s="1019"/>
      <c r="H102" s="1019"/>
      <c r="I102" s="1019"/>
      <c r="J102" s="1019"/>
      <c r="K102" s="1019"/>
      <c r="L102" s="1019"/>
      <c r="M102" s="1077"/>
      <c r="N102" s="1043"/>
      <c r="O102" s="1043"/>
      <c r="P102" s="1041"/>
      <c r="Q102" s="961"/>
    </row>
    <row r="103" ht="15" spans="1:17">
      <c r="A103" s="816"/>
      <c r="B103" s="993">
        <f>B32</f>
        <v>111</v>
      </c>
      <c r="C103" s="1001"/>
      <c r="D103" s="1001"/>
      <c r="E103" s="1001"/>
      <c r="F103" s="1001"/>
      <c r="G103" s="1017"/>
      <c r="H103" s="1017"/>
      <c r="I103" s="1017"/>
      <c r="J103" s="1017"/>
      <c r="K103" s="1071"/>
      <c r="L103" s="1072"/>
      <c r="M103" s="1073"/>
      <c r="N103" s="1040"/>
      <c r="O103" s="1040"/>
      <c r="P103" s="1041"/>
      <c r="Q103" s="961"/>
    </row>
    <row r="104" ht="15.75" spans="1:17">
      <c r="A104" s="990"/>
      <c r="B104" s="995"/>
      <c r="C104" s="1003"/>
      <c r="D104" s="1003"/>
      <c r="E104" s="1003"/>
      <c r="F104" s="1003"/>
      <c r="G104" s="992"/>
      <c r="H104" s="992"/>
      <c r="I104" s="992"/>
      <c r="J104" s="992"/>
      <c r="K104" s="992"/>
      <c r="L104" s="992"/>
      <c r="M104" s="1042"/>
      <c r="N104" s="1043"/>
      <c r="O104" s="1043"/>
      <c r="P104" s="1041"/>
      <c r="Q104" s="961"/>
    </row>
    <row r="105" s="724" customFormat="1" ht="15.7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5.75" spans="1:17">
      <c r="A106" s="1000"/>
      <c r="B106" s="997"/>
      <c r="C106" s="1008"/>
      <c r="D106" s="1008"/>
      <c r="E106" s="1008"/>
      <c r="F106" s="1008"/>
      <c r="G106" s="1022"/>
      <c r="H106" s="1022"/>
      <c r="I106" s="1022"/>
      <c r="J106" s="1022"/>
      <c r="K106" s="1022"/>
      <c r="L106" s="1022"/>
      <c r="M106" s="1081"/>
      <c r="N106" s="1043"/>
      <c r="O106" s="1043"/>
      <c r="P106" s="1054"/>
      <c r="Q106" s="1084"/>
    </row>
    <row r="107" spans="1:17">
      <c r="A107" s="988" t="s">
        <v>1294</v>
      </c>
      <c r="B107" s="989" t="s">
        <v>1391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ht="15" spans="1:17">
      <c r="A108" s="990"/>
      <c r="B108" s="997"/>
      <c r="C108" s="977"/>
      <c r="D108" s="977"/>
      <c r="E108" s="977"/>
      <c r="F108" s="977"/>
      <c r="G108" s="977"/>
      <c r="H108" s="977"/>
      <c r="I108" s="977"/>
      <c r="J108" s="1078"/>
      <c r="K108" s="1078"/>
      <c r="L108" s="1079"/>
      <c r="M108" s="1080"/>
      <c r="N108" s="1040"/>
      <c r="O108" s="1040"/>
      <c r="P108" s="1041"/>
      <c r="Q108" s="961"/>
    </row>
    <row r="109" ht="15.75" spans="1:17">
      <c r="A109" s="990"/>
      <c r="B109" s="995"/>
      <c r="C109" s="1008"/>
      <c r="D109" s="1019"/>
      <c r="E109" s="1019"/>
      <c r="F109" s="1019"/>
      <c r="G109" s="1019"/>
      <c r="H109" s="1019"/>
      <c r="I109" s="1019"/>
      <c r="J109" s="1019"/>
      <c r="K109" s="1019"/>
      <c r="L109" s="1019"/>
      <c r="M109" s="1077"/>
      <c r="N109" s="1043"/>
      <c r="O109" s="1043"/>
      <c r="P109" s="1041"/>
      <c r="Q109" s="961"/>
    </row>
    <row r="110" ht="15.75" spans="1:17">
      <c r="A110" s="1024"/>
      <c r="B110" s="993" t="s">
        <v>1392</v>
      </c>
      <c r="C110" s="1017"/>
      <c r="D110" s="1017"/>
      <c r="E110" s="1017"/>
      <c r="F110" s="1017"/>
      <c r="G110" s="1017"/>
      <c r="H110" s="1017"/>
      <c r="I110" s="1017"/>
      <c r="J110" s="1017"/>
      <c r="K110" s="1071"/>
      <c r="L110" s="1072"/>
      <c r="M110" s="1073"/>
      <c r="N110" s="1040"/>
      <c r="O110" s="1040"/>
      <c r="P110" s="1041"/>
      <c r="Q110" s="961"/>
    </row>
    <row r="111" ht="15.7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75" spans="1:17">
      <c r="A112" s="1020"/>
      <c r="B112" s="993" t="s">
        <v>1394</v>
      </c>
      <c r="C112" s="1001"/>
      <c r="D112" s="1001"/>
      <c r="E112" s="1001"/>
      <c r="F112" s="1001"/>
      <c r="G112" s="1001"/>
      <c r="H112" s="1017"/>
      <c r="I112" s="1017"/>
      <c r="J112" s="1017"/>
      <c r="K112" s="1071"/>
      <c r="L112" s="1072"/>
      <c r="M112" s="1073"/>
      <c r="N112" s="1053"/>
      <c r="O112" s="1053"/>
      <c r="P112" s="1054"/>
      <c r="Q112" s="1084"/>
    </row>
    <row r="113" s="724" customFormat="1" ht="15.7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75" spans="1:17">
      <c r="A114" s="1024"/>
      <c r="B114" s="993" t="s">
        <v>1395</v>
      </c>
      <c r="C114" s="1001"/>
      <c r="D114" s="1001"/>
      <c r="E114" s="1017"/>
      <c r="F114" s="1017"/>
      <c r="G114" s="1017"/>
      <c r="H114" s="1017"/>
      <c r="I114" s="1017"/>
      <c r="J114" s="1017"/>
      <c r="K114" s="1071"/>
      <c r="L114" s="1072"/>
      <c r="M114" s="1073"/>
      <c r="N114" s="1040"/>
      <c r="O114" s="1040"/>
      <c r="P114" s="1041"/>
      <c r="Q114" s="961"/>
    </row>
    <row r="115" ht="15.7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5.75" spans="1:17">
      <c r="A116" s="1024"/>
      <c r="B116" s="993">
        <f>B38</f>
        <v>111</v>
      </c>
      <c r="C116" s="1001"/>
      <c r="D116" s="1001"/>
      <c r="E116" s="1001"/>
      <c r="F116" s="1001"/>
      <c r="G116" s="1001"/>
      <c r="H116" s="1017"/>
      <c r="I116" s="1017"/>
      <c r="J116" s="1017"/>
      <c r="K116" s="1071"/>
      <c r="L116" s="1072"/>
      <c r="M116" s="1073"/>
      <c r="N116" s="1040"/>
      <c r="O116" s="1040"/>
      <c r="P116" s="1041"/>
      <c r="Q116" s="961"/>
    </row>
    <row r="117" ht="15.75" spans="1:17">
      <c r="A117" s="990"/>
      <c r="B117" s="995"/>
      <c r="C117" s="1003"/>
      <c r="D117" s="992"/>
      <c r="E117" s="992"/>
      <c r="F117" s="992"/>
      <c r="G117" s="992"/>
      <c r="H117" s="992"/>
      <c r="I117" s="992"/>
      <c r="J117" s="992"/>
      <c r="K117" s="992"/>
      <c r="L117" s="992"/>
      <c r="M117" s="1042"/>
      <c r="N117" s="1043"/>
      <c r="O117" s="1043"/>
      <c r="P117" s="1041"/>
      <c r="Q117" s="961"/>
    </row>
    <row r="118" ht="15.75" spans="1:17">
      <c r="A118" s="1024"/>
      <c r="B118" s="993">
        <f>B39</f>
        <v>111</v>
      </c>
      <c r="C118" s="1001"/>
      <c r="D118" s="1001"/>
      <c r="E118" s="1001"/>
      <c r="F118" s="1001"/>
      <c r="G118" s="1017"/>
      <c r="H118" s="1017"/>
      <c r="I118" s="1017"/>
      <c r="J118" s="1017"/>
      <c r="K118" s="1071"/>
      <c r="L118" s="1072"/>
      <c r="M118" s="1073"/>
      <c r="N118" s="1040"/>
      <c r="O118" s="1040"/>
      <c r="P118" s="1041"/>
      <c r="Q118" s="961"/>
    </row>
    <row r="119" ht="15.75" spans="1:17">
      <c r="A119" s="990"/>
      <c r="B119" s="995"/>
      <c r="C119" s="1003"/>
      <c r="D119" s="1003"/>
      <c r="E119" s="1003"/>
      <c r="F119" s="1003"/>
      <c r="G119" s="992"/>
      <c r="H119" s="992"/>
      <c r="I119" s="992"/>
      <c r="J119" s="992"/>
      <c r="K119" s="992"/>
      <c r="L119" s="992"/>
      <c r="M119" s="1042"/>
      <c r="N119" s="1043"/>
      <c r="O119" s="1043"/>
      <c r="P119" s="1041"/>
      <c r="Q119" s="961"/>
    </row>
    <row r="120" s="724" customFormat="1" ht="15.7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5.7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3333333333333" defaultRowHeight="14.25" outlineLevelCol="6"/>
  <cols>
    <col min="1" max="1" width="85.25" style="2891" customWidth="1"/>
    <col min="2" max="3" width="12.5" style="2891" customWidth="1"/>
    <col min="4" max="6" width="8.13333333333333" style="2891"/>
    <col min="7" max="7" width="17.5" style="2891" customWidth="1"/>
    <col min="8" max="16384" width="8.13333333333333" style="2891"/>
  </cols>
  <sheetData>
    <row r="1" ht="23.25" spans="1:7">
      <c r="A1" s="2970" t="s">
        <v>78</v>
      </c>
      <c r="B1" s="2971"/>
      <c r="C1" s="2971"/>
      <c r="D1" s="2971"/>
      <c r="E1" s="2971"/>
      <c r="F1" s="2971"/>
      <c r="G1" s="2971"/>
    </row>
    <row r="2" spans="1:1">
      <c r="A2" s="2972"/>
    </row>
    <row r="3" s="2968" customFormat="1" ht="18" spans="1:7">
      <c r="A3" s="2973" t="str">
        <f>IF(ISNUMBER(FIND("公司",项目基本情况!B4)),项目基本情况!B4&amp;"：",项目基本情况!B4&amp;"  先生/女士：")</f>
        <v>  先生/女士：</v>
      </c>
      <c r="B3" s="2974"/>
      <c r="C3" s="2974"/>
      <c r="D3" s="2974"/>
      <c r="E3" s="2974"/>
      <c r="F3" s="2974"/>
      <c r="G3" s="2974"/>
    </row>
    <row r="4" ht="18.75" spans="1:7">
      <c r="A4" s="2975" t="str">
        <f>IF(ISNUMBER(FIND("公司",A3)),"受贵公司委托，我公司对"&amp;项目基本情况!I1&amp;"进行了预评估。","受您的委托，我公司对"&amp;项目基本情况!I1&amp;"进行了预评估。")</f>
        <v>受您的委托，我公司对北京市房地产进行了预评估。</v>
      </c>
      <c r="B4" s="2975"/>
      <c r="C4" s="2975"/>
      <c r="D4" s="2975"/>
      <c r="E4" s="2975"/>
      <c r="F4" s="2975"/>
      <c r="G4" s="2975"/>
    </row>
    <row r="5" ht="18.75" spans="1:1">
      <c r="A5" s="2976" t="s">
        <v>79</v>
      </c>
    </row>
    <row r="6" s="2969" customFormat="1" ht="56.25" spans="1:7">
      <c r="A6" s="297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975"/>
      <c r="C6" s="2975"/>
      <c r="D6" s="2975"/>
      <c r="E6" s="2975"/>
      <c r="F6" s="2975"/>
      <c r="G6" s="2975"/>
    </row>
    <row r="7" ht="18.75" spans="1:1">
      <c r="A7" s="2976" t="s">
        <v>80</v>
      </c>
    </row>
    <row r="8" ht="18.75" spans="1:7">
      <c r="A8" s="2977" t="str">
        <f>IF(项目基本情况!D4="抵押",IF(项目基本情况!B4=项目基本情况!B5,定义!C51,定义!B51),定义!D51)</f>
        <v>为估价委托人了解估价对象房地产市场价值提供参考依据。</v>
      </c>
      <c r="B8" s="2978"/>
      <c r="C8" s="2975"/>
      <c r="D8" s="2975"/>
      <c r="E8" s="2975"/>
      <c r="F8" s="2975"/>
      <c r="G8" s="2975"/>
    </row>
    <row r="9" ht="18.75" spans="1:2">
      <c r="A9" s="2974" t="s">
        <v>81</v>
      </c>
      <c r="B9" s="2979"/>
    </row>
    <row r="10" ht="18" spans="1:7">
      <c r="A10" s="2980" t="str">
        <f>TEXT(项目基本情况!D2,"yyyy年m月d日;;")&amp;IF(项目基本情况!B2=项目基本情况!D2,"（评估专业人员实地查勘之日）","")</f>
        <v>2018年11月22日（评估专业人员实地查勘之日）</v>
      </c>
      <c r="B10" s="2981"/>
      <c r="C10" s="2981"/>
      <c r="D10" s="2981"/>
      <c r="E10" s="2981"/>
      <c r="F10" s="2981"/>
      <c r="G10" s="2981"/>
    </row>
    <row r="11" ht="18.75" spans="1:1">
      <c r="A11" s="2974" t="s">
        <v>82</v>
      </c>
    </row>
    <row r="12" ht="75" spans="1:7">
      <c r="A12" s="2975" t="s">
        <v>83</v>
      </c>
      <c r="B12" s="2975"/>
      <c r="C12" s="2975"/>
      <c r="D12" s="2975"/>
      <c r="E12" s="2975"/>
      <c r="F12" s="2975"/>
      <c r="G12" s="2975"/>
    </row>
    <row r="13" ht="37.5" spans="1:7">
      <c r="A13" s="29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975"/>
      <c r="C13" s="2975"/>
      <c r="D13" s="2975"/>
      <c r="E13" s="2975"/>
      <c r="F13" s="2975"/>
      <c r="G13" s="2975"/>
    </row>
    <row r="14" ht="18" spans="1:7">
      <c r="A14" s="2977" t="str">
        <f>IF(项目基本情况!D5="房地产市场价值","——",IF(项目基本情况!F5="房地产抵押价值",定义!C54,IF(项目基本情况!F5="已注销",定义!C55,定义!C56)))</f>
        <v>——</v>
      </c>
      <c r="B14" s="2982"/>
      <c r="C14" s="2982"/>
      <c r="D14" s="2982"/>
      <c r="E14" s="2982"/>
      <c r="F14" s="2982"/>
      <c r="G14" s="2982"/>
    </row>
    <row r="15" ht="56.25" spans="1:7">
      <c r="A15" s="2975" t="s">
        <v>84</v>
      </c>
      <c r="B15" s="2975"/>
      <c r="C15" s="2975"/>
      <c r="D15" s="2975"/>
      <c r="E15" s="2975"/>
      <c r="F15" s="2975"/>
      <c r="G15" s="2975"/>
    </row>
    <row r="16" ht="18" spans="1:7">
      <c r="A16" s="2978" t="str">
        <f>IF(项目基本情况!D5="房地产市场价值","——",IF(项目基本情况!G5="——","",定义!C57))</f>
        <v>——</v>
      </c>
      <c r="B16" s="2982"/>
      <c r="C16" s="2982"/>
      <c r="D16" s="2982"/>
      <c r="E16" s="2982"/>
      <c r="F16" s="2982"/>
      <c r="G16" s="2982"/>
    </row>
    <row r="17" ht="18.75" spans="1:1">
      <c r="A17" s="2974" t="s">
        <v>85</v>
      </c>
    </row>
    <row r="18" ht="18" spans="1:1">
      <c r="A18" s="2906"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workbookViewId="0">
      <selection activeCell="E33" sqref="E33"/>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333333333333"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8333333333333" style="396" customWidth="1"/>
    <col min="27" max="32" width="9.38333333333333" style="400" customWidth="1"/>
    <col min="33" max="36" width="9.38333333333333" style="396" customWidth="1"/>
    <col min="37" max="38" width="9.38333333333333" style="398" customWidth="1"/>
    <col min="39" max="16384" width="9" style="398"/>
  </cols>
  <sheetData>
    <row r="1" ht="28.5" spans="1:36">
      <c r="A1" s="401" t="s">
        <v>1424</v>
      </c>
      <c r="B1" s="402"/>
      <c r="C1" s="403" t="s">
        <v>1263</v>
      </c>
      <c r="D1" s="404">
        <f>SUM(D29:D30,D33:D39)</f>
        <v>447.76</v>
      </c>
      <c r="E1" s="404"/>
      <c r="F1" s="404"/>
      <c r="G1" s="404"/>
      <c r="H1" s="404"/>
      <c r="I1" s="404"/>
      <c r="J1" s="404"/>
      <c r="L1" s="581" t="s">
        <v>223</v>
      </c>
      <c r="M1" s="582">
        <f>SUMPRODUCT((区片价!B5:B9=I2)*(区片价!C3:F3=E2)*(区片价!C5:F9))</f>
        <v>29780</v>
      </c>
      <c r="N1" s="583">
        <f>SUMPRODUCT((因素修正幅度!B5:B9=I2)*(因素修正幅度!C3:F3=E2)*(因素修正幅度!C5:F9))</f>
        <v>0.098</v>
      </c>
      <c r="O1" s="399"/>
      <c r="P1" s="399"/>
      <c r="Q1" s="399"/>
      <c r="R1" s="657" t="s">
        <v>1425</v>
      </c>
      <c r="S1" s="657" t="s">
        <v>1426</v>
      </c>
      <c r="T1" s="657" t="s">
        <v>1427</v>
      </c>
      <c r="U1" s="657" t="s">
        <v>1428</v>
      </c>
      <c r="V1" s="657" t="s">
        <v>1429</v>
      </c>
      <c r="W1" s="658"/>
      <c r="X1" s="658"/>
      <c r="Y1" s="658"/>
      <c r="Z1" s="658"/>
      <c r="AA1" s="658"/>
      <c r="AB1" s="658"/>
      <c r="AC1" s="667"/>
      <c r="AD1" s="668"/>
      <c r="AE1" s="668"/>
      <c r="AF1" s="668"/>
      <c r="AG1" s="668"/>
      <c r="AH1" s="668"/>
      <c r="AI1" s="668"/>
      <c r="AJ1" s="678"/>
    </row>
    <row r="2" ht="24.75" spans="1:36">
      <c r="A2" s="405" t="s">
        <v>827</v>
      </c>
      <c r="B2" s="406">
        <f ca="1">C26</f>
        <v>8768260</v>
      </c>
      <c r="C2" s="407" t="s">
        <v>1389</v>
      </c>
      <c r="D2" s="408" t="s">
        <v>1430</v>
      </c>
      <c r="E2" s="409" t="s">
        <v>353</v>
      </c>
      <c r="F2" s="408" t="s">
        <v>1431</v>
      </c>
      <c r="G2" s="410" t="str">
        <f>项目基本情况!F9</f>
        <v>一级</v>
      </c>
      <c r="H2" s="411" t="s">
        <v>1432</v>
      </c>
      <c r="I2" s="410" t="str">
        <f>项目基本情况!F10</f>
        <v>Ⅰ—04</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1.9362</v>
      </c>
      <c r="T2" s="657">
        <f ca="1">ROUND($C$5*$C$18*$C$19*$C$20*S2*$C$24,0)</f>
        <v>75830</v>
      </c>
      <c r="U2" s="659"/>
      <c r="V2" s="657">
        <f ca="1">ROUND(T2*U2/10000,0)</f>
        <v>0</v>
      </c>
      <c r="W2" s="658"/>
      <c r="X2" s="658"/>
      <c r="Y2" s="658"/>
      <c r="Z2" s="658"/>
      <c r="AA2" s="658"/>
      <c r="AB2" s="658"/>
      <c r="AC2" s="667"/>
      <c r="AD2" s="668"/>
      <c r="AE2" s="668"/>
      <c r="AF2" s="668"/>
      <c r="AG2" s="668"/>
      <c r="AH2" s="668"/>
      <c r="AI2" s="668"/>
      <c r="AJ2" s="678"/>
    </row>
    <row r="3" ht="24" spans="1:36">
      <c r="A3" s="412" t="s">
        <v>828</v>
      </c>
      <c r="B3" s="406">
        <f ca="1">ROUND(B2/D1,0)</f>
        <v>19582</v>
      </c>
      <c r="C3" s="407" t="s">
        <v>829</v>
      </c>
      <c r="D3" s="408" t="s">
        <v>1433</v>
      </c>
      <c r="E3" s="413" t="s">
        <v>1434</v>
      </c>
      <c r="F3" s="414" t="s">
        <v>1435</v>
      </c>
      <c r="G3" s="415">
        <f>项目基本情况!C15</f>
        <v>3.5</v>
      </c>
      <c r="H3" s="416" t="s">
        <v>1436</v>
      </c>
      <c r="I3" s="588">
        <v>29</v>
      </c>
      <c r="J3" s="584" t="s">
        <v>1437</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1.4198</v>
      </c>
      <c r="T3" s="657">
        <f ca="1" t="shared" ref="T3:T16" si="0">ROUND($C$5*$C$18*$C$19*$C$20*S3*$C$24,0)</f>
        <v>55606</v>
      </c>
      <c r="U3" s="659"/>
      <c r="V3" s="657">
        <f ca="1" t="shared" ref="V3:V16" si="1">ROUND(T3*U3/10000,0)</f>
        <v>0</v>
      </c>
      <c r="W3" s="658"/>
      <c r="X3" s="658"/>
      <c r="Y3" s="658"/>
      <c r="Z3" s="658"/>
      <c r="AA3" s="658"/>
      <c r="AB3" s="658"/>
      <c r="AC3" s="667"/>
      <c r="AD3" s="668"/>
      <c r="AE3" s="668"/>
      <c r="AF3" s="668"/>
      <c r="AG3" s="668"/>
      <c r="AH3" s="668"/>
      <c r="AI3" s="668"/>
      <c r="AJ3" s="678"/>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1.1594</v>
      </c>
      <c r="T4" s="657">
        <f ca="1" t="shared" si="0"/>
        <v>45407</v>
      </c>
      <c r="U4" s="659"/>
      <c r="V4" s="657">
        <f ca="1" t="shared" si="1"/>
        <v>0</v>
      </c>
      <c r="W4" s="658"/>
      <c r="X4" s="658"/>
      <c r="Y4" s="658"/>
      <c r="Z4" s="658"/>
      <c r="AA4" s="658"/>
      <c r="AB4" s="658"/>
      <c r="AC4" s="667"/>
      <c r="AD4" s="668"/>
      <c r="AE4" s="668"/>
      <c r="AF4" s="668"/>
      <c r="AG4" s="668"/>
      <c r="AH4" s="668"/>
      <c r="AI4" s="668"/>
      <c r="AJ4" s="678"/>
    </row>
    <row r="5" s="394" customFormat="1" ht="15.75" spans="1:36">
      <c r="A5" s="420" t="s">
        <v>1438</v>
      </c>
      <c r="B5" s="421" t="s">
        <v>1439</v>
      </c>
      <c r="C5" s="422">
        <f>ROUND(IF(E2="商业",IF(F16="增加",C6*C7+C16,C6*C7-C16),IF(E2="住宅",IF(F16="增加",C6*C12+C16,C6*C12-C16),IF(F16="增加",C6+C16,C6-C16))),0)</f>
        <v>29766</v>
      </c>
      <c r="D5" s="423">
        <f>ROUND(IF(F16="增加",C6+C16,C6-C16),0)</f>
        <v>29766</v>
      </c>
      <c r="E5" s="423"/>
      <c r="F5" s="424"/>
      <c r="G5" s="425"/>
      <c r="H5" s="425"/>
      <c r="I5" s="425"/>
      <c r="J5" s="590"/>
      <c r="K5" s="591"/>
      <c r="L5" s="585" t="s">
        <v>1440</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0.9622</v>
      </c>
      <c r="T5" s="657">
        <f ca="1" t="shared" si="0"/>
        <v>37684</v>
      </c>
      <c r="U5" s="659"/>
      <c r="V5" s="657">
        <f ca="1" t="shared" si="1"/>
        <v>0</v>
      </c>
      <c r="W5" s="658"/>
      <c r="X5" s="658"/>
      <c r="Y5" s="658"/>
      <c r="Z5" s="658"/>
      <c r="AA5" s="658"/>
      <c r="AB5" s="658"/>
      <c r="AC5" s="669"/>
      <c r="AD5" s="670"/>
      <c r="AE5" s="670"/>
      <c r="AF5" s="670"/>
      <c r="AG5" s="670"/>
      <c r="AH5" s="670"/>
      <c r="AI5" s="670"/>
      <c r="AJ5" s="679"/>
    </row>
    <row r="6" ht="15.75" spans="1:36">
      <c r="A6" s="426">
        <v>1</v>
      </c>
      <c r="B6" s="427" t="s">
        <v>1441</v>
      </c>
      <c r="C6" s="428">
        <f>SUMIF(L1:L12,G2,M1:M12)</f>
        <v>29780</v>
      </c>
      <c r="D6" s="429" t="s">
        <v>1442</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0.8417</v>
      </c>
      <c r="T6" s="657">
        <f ca="1" t="shared" si="0"/>
        <v>32965</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1443</v>
      </c>
      <c r="C7" s="434">
        <f>IF(C8="不临58条商业街",1,ROUND(1+(1.6*E8+1.2*E9+0.8*E10+0.4*E11)*C9,4))</f>
        <v>1</v>
      </c>
      <c r="D7" s="435" t="s">
        <v>1444</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0.7608</v>
      </c>
      <c r="T7" s="657">
        <f ca="1" t="shared" si="0"/>
        <v>29796</v>
      </c>
      <c r="U7" s="659"/>
      <c r="V7" s="657">
        <f ca="1" t="shared" si="1"/>
        <v>0</v>
      </c>
      <c r="W7" s="660" t="s">
        <v>1445</v>
      </c>
      <c r="X7" s="661" t="str">
        <f>G2</f>
        <v>一级</v>
      </c>
      <c r="Y7" s="661" t="s">
        <v>1435</v>
      </c>
      <c r="Z7" s="671">
        <f>G3</f>
        <v>3.5</v>
      </c>
      <c r="AA7" s="658"/>
      <c r="AB7" s="658"/>
      <c r="AC7" s="667"/>
      <c r="AD7" s="668"/>
      <c r="AE7" s="668"/>
      <c r="AF7" s="668"/>
      <c r="AG7" s="668"/>
      <c r="AH7" s="668"/>
      <c r="AI7" s="668"/>
      <c r="AJ7" s="678"/>
    </row>
    <row r="8" ht="15" spans="1:36">
      <c r="A8" s="439"/>
      <c r="B8" s="416" t="s">
        <v>1446</v>
      </c>
      <c r="C8" s="440" t="s">
        <v>1447</v>
      </c>
      <c r="D8" s="441" t="s">
        <v>1448</v>
      </c>
      <c r="E8" s="442" t="e">
        <f>ROUND(C11/E7,4)</f>
        <v>#DIV/0!</v>
      </c>
      <c r="F8" s="443" t="s">
        <v>1449</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1450</v>
      </c>
      <c r="X8" s="663"/>
      <c r="Y8" s="672" t="s">
        <v>1451</v>
      </c>
      <c r="Z8" s="672" t="s">
        <v>1452</v>
      </c>
      <c r="AA8" s="672" t="s">
        <v>1453</v>
      </c>
      <c r="AB8" s="672" t="s">
        <v>1454</v>
      </c>
      <c r="AC8" s="672" t="s">
        <v>1455</v>
      </c>
      <c r="AD8" s="672" t="s">
        <v>1456</v>
      </c>
      <c r="AE8" s="672" t="s">
        <v>1457</v>
      </c>
      <c r="AF8" s="672" t="s">
        <v>1458</v>
      </c>
      <c r="AG8" s="672" t="s">
        <v>1459</v>
      </c>
      <c r="AH8" s="672" t="s">
        <v>1460</v>
      </c>
      <c r="AI8" s="672" t="s">
        <v>1461</v>
      </c>
      <c r="AJ8" s="672" t="s">
        <v>1462</v>
      </c>
    </row>
    <row r="9" ht="15" spans="1:36">
      <c r="A9" s="439"/>
      <c r="B9" s="416" t="s">
        <v>1463</v>
      </c>
      <c r="C9" s="445">
        <f>SUMIF(修正!C59:C119,C8,修正!E59:E119)</f>
        <v>0</v>
      </c>
      <c r="D9" s="446" t="s">
        <v>1464</v>
      </c>
      <c r="E9" s="446" t="e">
        <f>ROUND(C11/E7,4)</f>
        <v>#DIV/0!</v>
      </c>
      <c r="F9" s="443" t="s">
        <v>1465</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1466</v>
      </c>
      <c r="X9" s="664" t="s">
        <v>1467</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1468</v>
      </c>
      <c r="C10" s="446">
        <f>SUMIF(修正!C59:C119,C8,修正!F59:F119)</f>
        <v>0</v>
      </c>
      <c r="D10" s="446" t="s">
        <v>1469</v>
      </c>
      <c r="E10" s="446" t="e">
        <f>ROUND(C11/E7,4)</f>
        <v>#DIV/0!</v>
      </c>
      <c r="F10" s="443" t="s">
        <v>1470</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1471</v>
      </c>
      <c r="C11" s="448">
        <f>C10/4</f>
        <v>0</v>
      </c>
      <c r="D11" s="448" t="s">
        <v>1472</v>
      </c>
      <c r="E11" s="448" t="e">
        <f>ROUND(C11/E7,4)</f>
        <v>#DIV/0!</v>
      </c>
      <c r="F11" s="449" t="s">
        <v>1473</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1474</v>
      </c>
      <c r="X11" s="665" t="s">
        <v>1435</v>
      </c>
      <c r="Y11" s="676">
        <f>$G$3</f>
        <v>3.5</v>
      </c>
      <c r="Z11" s="676">
        <f t="shared" ref="Z11:AJ11" si="3">$G$3</f>
        <v>3.5</v>
      </c>
      <c r="AA11" s="676">
        <f t="shared" si="3"/>
        <v>3.5</v>
      </c>
      <c r="AB11" s="676">
        <f t="shared" si="3"/>
        <v>3.5</v>
      </c>
      <c r="AC11" s="676">
        <f t="shared" si="3"/>
        <v>3.5</v>
      </c>
      <c r="AD11" s="676">
        <f t="shared" si="3"/>
        <v>3.5</v>
      </c>
      <c r="AE11" s="676">
        <f t="shared" si="3"/>
        <v>3.5</v>
      </c>
      <c r="AF11" s="676">
        <f t="shared" si="3"/>
        <v>3.5</v>
      </c>
      <c r="AG11" s="676">
        <f t="shared" si="3"/>
        <v>3.5</v>
      </c>
      <c r="AH11" s="676">
        <f t="shared" si="3"/>
        <v>3.5</v>
      </c>
      <c r="AI11" s="676">
        <f t="shared" si="3"/>
        <v>3.5</v>
      </c>
      <c r="AJ11" s="676">
        <f t="shared" si="3"/>
        <v>3.5</v>
      </c>
    </row>
    <row r="12" ht="25.5" spans="1:36">
      <c r="A12" s="432" t="str">
        <f>IF(E2="住宅",2,"")</f>
        <v/>
      </c>
      <c r="B12" s="451" t="s">
        <v>1475</v>
      </c>
      <c r="C12" s="434">
        <f>ROUND(C15*D15*E15*F15*G15*H15*I15*J15,4)</f>
        <v>1.21</v>
      </c>
      <c r="D12" s="452" t="s">
        <v>1476</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1477</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1478</v>
      </c>
      <c r="C13" s="457" t="s">
        <v>1479</v>
      </c>
      <c r="D13" s="458" t="s">
        <v>1480</v>
      </c>
      <c r="E13" s="458" t="s">
        <v>1481</v>
      </c>
      <c r="F13" s="459" t="s">
        <v>1482</v>
      </c>
      <c r="G13" s="460" t="s">
        <v>1483</v>
      </c>
      <c r="H13" s="460" t="s">
        <v>1483</v>
      </c>
      <c r="I13" s="460" t="s">
        <v>1483</v>
      </c>
      <c r="J13" s="601" t="s">
        <v>1483</v>
      </c>
      <c r="L13" s="399"/>
      <c r="M13" s="399"/>
      <c r="N13" s="399"/>
      <c r="O13" s="399"/>
      <c r="P13" s="399"/>
      <c r="Q13" s="399"/>
      <c r="R13" s="657">
        <v>12</v>
      </c>
      <c r="S13" s="659"/>
      <c r="T13" s="657">
        <f ca="1" t="shared" si="0"/>
        <v>0</v>
      </c>
      <c r="U13" s="659"/>
      <c r="V13" s="657">
        <f ca="1" t="shared" si="1"/>
        <v>0</v>
      </c>
      <c r="W13" s="660"/>
      <c r="X13" s="666"/>
      <c r="Y13" s="675">
        <f>(-0.163*(Y12^2)-0.59*Y12+7617)*(10^(-4))/Y11</f>
        <v>0.217628571428571</v>
      </c>
      <c r="Z13" s="675">
        <f t="shared" ref="Z13:AJ13" si="5">(-0.163*(Z12^2)-0.59*Z12+7617)*(10^(-4))/Z11</f>
        <v>0.217628571428571</v>
      </c>
      <c r="AA13" s="675">
        <f t="shared" si="5"/>
        <v>0.217628571428571</v>
      </c>
      <c r="AB13" s="675">
        <f t="shared" si="5"/>
        <v>0.217628571428571</v>
      </c>
      <c r="AC13" s="675">
        <f t="shared" si="5"/>
        <v>0.217628571428571</v>
      </c>
      <c r="AD13" s="675">
        <f t="shared" si="5"/>
        <v>0.217628571428571</v>
      </c>
      <c r="AE13" s="675">
        <f t="shared" si="5"/>
        <v>0.217628571428571</v>
      </c>
      <c r="AF13" s="675">
        <f t="shared" si="5"/>
        <v>0.217628571428571</v>
      </c>
      <c r="AG13" s="675">
        <f t="shared" si="5"/>
        <v>0.217628571428571</v>
      </c>
      <c r="AH13" s="675">
        <f t="shared" si="5"/>
        <v>0.217628571428571</v>
      </c>
      <c r="AI13" s="675">
        <f t="shared" si="5"/>
        <v>0.217628571428571</v>
      </c>
      <c r="AJ13" s="675">
        <f t="shared" si="5"/>
        <v>0.217628571428571</v>
      </c>
    </row>
    <row r="14" ht="15" spans="1:36">
      <c r="A14" s="455"/>
      <c r="B14" s="461"/>
      <c r="C14" s="462" t="s">
        <v>1484</v>
      </c>
      <c r="D14" s="463" t="s">
        <v>1485</v>
      </c>
      <c r="E14" s="463" t="s">
        <v>1485</v>
      </c>
      <c r="F14" s="464" t="s">
        <v>1486</v>
      </c>
      <c r="G14" s="465" t="s">
        <v>1487</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1235</v>
      </c>
      <c r="C15" s="469">
        <f>IF(C14="有",1.1,1)</f>
        <v>1.1</v>
      </c>
      <c r="D15" s="469">
        <f>IF(D14="有",1.1,1)</f>
        <v>1</v>
      </c>
      <c r="E15" s="469">
        <f>IF(E14="有",1.1,1)</f>
        <v>1</v>
      </c>
      <c r="F15" s="469">
        <f>IF(F14="500米范围内",1.2,IF(F14="500-1000米",1.1,1))</f>
        <v>1.1</v>
      </c>
      <c r="G15" s="470">
        <v>1</v>
      </c>
      <c r="H15" s="470">
        <v>1</v>
      </c>
      <c r="I15" s="470">
        <v>1</v>
      </c>
      <c r="J15" s="604">
        <v>1</v>
      </c>
      <c r="L15" s="605" t="s">
        <v>1488</v>
      </c>
      <c r="M15" s="441" t="s">
        <v>1489</v>
      </c>
      <c r="N15" s="441" t="s">
        <v>1490</v>
      </c>
      <c r="O15" s="441" t="s">
        <v>1491</v>
      </c>
      <c r="P15" s="606" t="s">
        <v>1492</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2</v>
      </c>
      <c r="B16" s="433" t="s">
        <v>1493</v>
      </c>
      <c r="C16" s="471">
        <f>ROUND(SUM(G17:J17)/C17,0)</f>
        <v>14</v>
      </c>
      <c r="D16" s="472" t="s">
        <v>1494</v>
      </c>
      <c r="E16" s="473" t="s">
        <v>1495</v>
      </c>
      <c r="F16" s="474" t="s">
        <v>1496</v>
      </c>
      <c r="G16" s="475" t="s">
        <v>121</v>
      </c>
      <c r="H16" s="475" t="s">
        <v>1497</v>
      </c>
      <c r="I16" s="475"/>
      <c r="J16" s="607"/>
      <c r="L16" s="608" t="s">
        <v>1498</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13.5" spans="1:36">
      <c r="A17" s="439"/>
      <c r="B17" s="476" t="s">
        <v>1499</v>
      </c>
      <c r="C17" s="477">
        <f>SUMPRODUCT((修正!A2:A5=E2)*(修正!B1:M1=G2)*(修正!B2:M5))</f>
        <v>3.5</v>
      </c>
      <c r="D17" s="478" t="s">
        <v>1500</v>
      </c>
      <c r="E17" s="448" t="str">
        <f>IF(OR(G2="八级",G2="九级",G2="十级",G2="十一级",G2="十二级"),"五通一平","七通一平")</f>
        <v>七通一平</v>
      </c>
      <c r="F17" s="477" t="s">
        <v>1501</v>
      </c>
      <c r="G17" s="477">
        <f>SUMPRODUCT((七通一平=G16)*(修正!B1:M1=G2)*(修正!B6:M14))</f>
        <v>0</v>
      </c>
      <c r="H17" s="477">
        <f>SUMPRODUCT((七通一平=H16)*(修正!B1:M1=G2)*(修正!B6:M14))</f>
        <v>50</v>
      </c>
      <c r="I17" s="477">
        <f>SUMPRODUCT((七通一平=I16)*(修正!B1:M1=G2)*(修正!B6:M14))</f>
        <v>0</v>
      </c>
      <c r="J17" s="610">
        <f>SUMPRODUCT((七通一平=J16)*(修正!B1:M1=G2)*(修正!B6:M14))</f>
        <v>0</v>
      </c>
      <c r="L17" s="611" t="s">
        <v>1502</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1503</v>
      </c>
      <c r="B18" s="480" t="s">
        <v>1504</v>
      </c>
      <c r="C18" s="481">
        <f>SUMIF(修正!C18:C39,E3,修正!E18:E39)</f>
        <v>1</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1505</v>
      </c>
      <c r="B19" s="480" t="s">
        <v>1506</v>
      </c>
      <c r="C19" s="486">
        <f>ROUND(IF(H19="按公示增长率计算",SUMPRODUCT((地价!A3:A25=YEAR(G19)&amp;"-"&amp;ROUNDUP(MONTH(G19)/3,0))*(地价!X2:AB2=E2)*(地价!X3:AB25)),IF(H19="地价指数",M20/M19,(1+I19)^O19)),4)</f>
        <v>1.3373</v>
      </c>
      <c r="D19" s="487" t="s">
        <v>1507</v>
      </c>
      <c r="E19" s="488">
        <v>41640</v>
      </c>
      <c r="F19" s="487" t="s">
        <v>1508</v>
      </c>
      <c r="G19" s="489">
        <f>'数据-取费表'!B2</f>
        <v>43426</v>
      </c>
      <c r="H19" s="490" t="s">
        <v>1509</v>
      </c>
      <c r="I19" s="616" t="str">
        <f>IF(H19="季度增幅（自定义）",SUMIF(N21:N24,E2,O21:O24),"")</f>
        <v/>
      </c>
      <c r="J19" s="614"/>
      <c r="K19" s="615"/>
      <c r="L19" s="617" t="s">
        <v>1510</v>
      </c>
      <c r="M19" s="618">
        <f>ROUND(SUMIF(地价!B2:F2,E2,地价!B25:F25),0)</f>
        <v>258</v>
      </c>
      <c r="N19" s="619" t="s">
        <v>1511</v>
      </c>
      <c r="O19" s="620">
        <f>ROUNDDOWN(DATEDIF(E19,G19,"M")/3,0)</f>
        <v>19</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7.75" spans="1:32">
      <c r="A20" s="491" t="s">
        <v>1512</v>
      </c>
      <c r="B20" s="492" t="s">
        <v>1513</v>
      </c>
      <c r="C20" s="493">
        <f ca="1">ROUND(POWER(1+G20,J20-I20)*(POWER(1+G20,I20)-1)/(POWER(1+G20,J20)-1),4)</f>
        <v>0.9019</v>
      </c>
      <c r="D20" s="494" t="s">
        <v>1514</v>
      </c>
      <c r="E20" s="495">
        <f ca="1">存贷款利率!D4/100</f>
        <v>0.0435</v>
      </c>
      <c r="F20" s="494" t="s">
        <v>1502</v>
      </c>
      <c r="G20" s="496">
        <f ca="1">SUMIF(M15:P15,E2,M17:P17)</f>
        <v>0.052</v>
      </c>
      <c r="H20" s="494" t="s">
        <v>1515</v>
      </c>
      <c r="I20" s="621">
        <f>'数据-取费表'!B13</f>
        <v>35</v>
      </c>
      <c r="J20" s="622">
        <f>IF(E2="住宅",70,IF(E2="商业",40,50))</f>
        <v>50</v>
      </c>
      <c r="K20" s="615"/>
      <c r="L20" s="623" t="s">
        <v>1516</v>
      </c>
      <c r="M20" s="624">
        <f>ROUND(SUMPRODUCT((地价!A4:A25=YEAR(G19)&amp;"-"&amp;ROUNDUP(MONTH(G19)/3,0))*(地价!B2:F2=E2)*(地价!B4:F25)),0)</f>
        <v>345</v>
      </c>
      <c r="N20" s="625" t="s">
        <v>1517</v>
      </c>
      <c r="O20" s="626" t="s">
        <v>1518</v>
      </c>
      <c r="P20" s="627" t="s">
        <v>1519</v>
      </c>
      <c r="R20" s="399"/>
      <c r="S20" s="399"/>
      <c r="T20" s="399"/>
      <c r="U20" s="399"/>
      <c r="V20" s="399"/>
      <c r="W20" s="399"/>
      <c r="X20" s="399"/>
      <c r="Y20" s="399"/>
      <c r="Z20" s="399"/>
      <c r="AA20" s="399"/>
      <c r="AB20" s="399"/>
      <c r="AC20" s="399"/>
      <c r="AD20" s="399"/>
      <c r="AE20" s="615"/>
      <c r="AF20" s="615"/>
    </row>
    <row r="21" s="394" customFormat="1" ht="14.25" spans="1:32">
      <c r="A21" s="497" t="s">
        <v>1520</v>
      </c>
      <c r="B21" s="498" t="s">
        <v>1521</v>
      </c>
      <c r="C21" s="499">
        <f>IF(B21="容积率修正",IF(G3&lt;=10,D22,J22),C23)</f>
        <v>1</v>
      </c>
      <c r="D21" s="500"/>
      <c r="E21" s="500"/>
      <c r="F21" s="500"/>
      <c r="G21" s="500"/>
      <c r="H21" s="500"/>
      <c r="I21" s="500"/>
      <c r="J21" s="628"/>
      <c r="K21" s="615"/>
      <c r="N21" s="629" t="s">
        <v>1522</v>
      </c>
      <c r="O21" s="630"/>
      <c r="P21" s="631">
        <f>SUMPRODUCT((地价!A3:A25=YEAR(G19)&amp;"-"&amp;ROUNDUP(MONTH(G19)/3,0))*(地价!AD2:AH2=N21)*(地价!AD3:AH25))</f>
        <v>0.0158</v>
      </c>
      <c r="R21" s="399"/>
      <c r="S21" s="399"/>
      <c r="T21" s="399"/>
      <c r="U21" s="399"/>
      <c r="V21" s="399"/>
      <c r="W21" s="399"/>
      <c r="X21" s="399"/>
      <c r="Y21" s="399"/>
      <c r="Z21" s="399"/>
      <c r="AA21" s="399"/>
      <c r="AB21" s="399"/>
      <c r="AC21" s="399"/>
      <c r="AD21" s="399"/>
      <c r="AE21" s="615"/>
      <c r="AF21" s="615"/>
    </row>
    <row r="22" s="394" customFormat="1" ht="14.25" spans="1:32">
      <c r="A22" s="501">
        <v>1</v>
      </c>
      <c r="B22" s="502" t="s">
        <v>1523</v>
      </c>
      <c r="C22" s="503" t="s">
        <v>1524</v>
      </c>
      <c r="D22" s="503">
        <f>IF(E22=G22,F22,IF(G3&lt;=10,ROUND(F22+(H22-F22)*(G3-E22)/(G22-E22),4),"——"))</f>
        <v>1</v>
      </c>
      <c r="E22" s="415">
        <f>ROUNDDOWN(G3,1)</f>
        <v>3.5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3.5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1525</v>
      </c>
      <c r="J22" s="632" t="str">
        <f>IF(G3&gt;10,D113,"——")</f>
        <v>——</v>
      </c>
      <c r="K22" s="615"/>
      <c r="N22" s="629" t="s">
        <v>1526</v>
      </c>
      <c r="O22" s="630"/>
      <c r="P22" s="631">
        <f>SUMPRODUCT((地价!A3:A25=YEAR(G19)&amp;"-"&amp;ROUNDUP(MONTH(G19)/3,0))*(地价!AD2:AH2=N22)*(地价!AD3:AH25))</f>
        <v>0.0158</v>
      </c>
      <c r="R22" s="399"/>
      <c r="S22" s="399"/>
      <c r="T22" s="399"/>
      <c r="U22" s="399"/>
      <c r="V22" s="399"/>
      <c r="W22" s="399"/>
      <c r="X22" s="399"/>
      <c r="Y22" s="399"/>
      <c r="Z22" s="399"/>
      <c r="AA22" s="399"/>
      <c r="AB22" s="399"/>
      <c r="AC22" s="399"/>
      <c r="AD22" s="399"/>
      <c r="AE22" s="615"/>
      <c r="AF22" s="615"/>
    </row>
    <row r="23" ht="27" spans="1:37">
      <c r="A23" s="501">
        <v>2</v>
      </c>
      <c r="B23" s="502" t="s">
        <v>1527</v>
      </c>
      <c r="C23" s="504">
        <f>ROUND(IF(G3&gt;1,IF(I3&lt;7,SUMPRODUCT((B93:B98=I3)*(C92:N92=G2)*(C93:N98)),SUMIF(C92:N92,G2,C100:N100)),IF(I3&lt;7,SUMPRODUCT((B102:B107=I3)*(C92:N92=G2)*(C102:N107)),SUMIF(C92:N92,G2,C109:N109))),4)</f>
        <v>0.7463</v>
      </c>
      <c r="D23" s="466"/>
      <c r="E23" s="466"/>
      <c r="F23" s="505"/>
      <c r="G23" s="506"/>
      <c r="H23" s="507"/>
      <c r="I23" s="633"/>
      <c r="J23" s="634"/>
      <c r="N23" s="629" t="s">
        <v>1528</v>
      </c>
      <c r="O23" s="630"/>
      <c r="P23" s="631">
        <f>SUMPRODUCT((地价!A3:A25=YEAR(G19)&amp;"-"&amp;ROUNDUP(MONTH(G19)/3,0))*(地价!AD2:AH2=N23)*(地价!AD3:AH25))</f>
        <v>0.0245</v>
      </c>
      <c r="R23" s="399"/>
      <c r="S23" s="399"/>
      <c r="T23" s="399"/>
      <c r="U23" s="399"/>
      <c r="V23" s="399"/>
      <c r="W23" s="399"/>
      <c r="X23" s="399"/>
      <c r="Y23" s="399"/>
      <c r="Z23" s="399"/>
      <c r="AA23" s="399"/>
      <c r="AB23" s="399"/>
      <c r="AC23" s="399"/>
      <c r="AD23" s="399"/>
      <c r="AE23" s="553"/>
      <c r="AF23" s="553"/>
      <c r="AK23" s="396"/>
    </row>
    <row r="24" s="394" customFormat="1" ht="15.75" spans="1:32">
      <c r="A24" s="508" t="s">
        <v>1529</v>
      </c>
      <c r="B24" s="509" t="s">
        <v>1530</v>
      </c>
      <c r="C24" s="510">
        <f>SUMIF(A46:A88,E2,B46:B88)</f>
        <v>1.0909</v>
      </c>
      <c r="D24" s="511"/>
      <c r="E24" s="512"/>
      <c r="F24" s="512"/>
      <c r="G24" s="512"/>
      <c r="H24" s="512"/>
      <c r="I24" s="512"/>
      <c r="J24" s="635"/>
      <c r="K24" s="615"/>
      <c r="N24" s="636" t="s">
        <v>1531</v>
      </c>
      <c r="O24" s="637"/>
      <c r="P24" s="638">
        <f>SUMPRODUCT((地价!A3:A25=YEAR(G19)&amp;"-"&amp;ROUNDUP(MONTH(G19)/3,0))*(地价!AD2:AH2=N24)*(地价!AD3:AH25))</f>
        <v>0.0149</v>
      </c>
      <c r="R24" s="399"/>
      <c r="S24" s="399"/>
      <c r="T24" s="399"/>
      <c r="U24" s="399"/>
      <c r="V24" s="399"/>
      <c r="W24" s="399"/>
      <c r="X24" s="399"/>
      <c r="Y24" s="399"/>
      <c r="Z24" s="399"/>
      <c r="AA24" s="399"/>
      <c r="AB24" s="399"/>
      <c r="AC24" s="399"/>
      <c r="AD24" s="399"/>
      <c r="AE24" s="615"/>
      <c r="AF24" s="615"/>
    </row>
    <row r="25" ht="15" spans="1:32">
      <c r="A25" s="491" t="s">
        <v>1532</v>
      </c>
      <c r="B25" s="513" t="s">
        <v>1533</v>
      </c>
      <c r="C25" s="514"/>
      <c r="D25" s="438"/>
      <c r="E25" s="438"/>
      <c r="F25" s="515"/>
      <c r="G25" s="438"/>
      <c r="H25" s="438"/>
      <c r="I25" s="438"/>
      <c r="J25" s="594"/>
      <c r="L25" s="399"/>
      <c r="M25" s="399"/>
      <c r="N25" s="639" t="s">
        <v>1534</v>
      </c>
      <c r="O25" s="640"/>
      <c r="P25" s="638">
        <f>SUMPRODUCT((地价!A3:A25=YEAR(G19)&amp;"-"&amp;ROUNDUP(MONTH(G19)/3,0))*(地价!AD2:AH2=N25)*(地价!AD3:AH25))</f>
        <v>0.0224</v>
      </c>
      <c r="R25" s="399"/>
      <c r="S25" s="399"/>
      <c r="T25" s="399"/>
      <c r="U25" s="399"/>
      <c r="V25" s="399"/>
      <c r="W25" s="399"/>
      <c r="X25" s="399"/>
      <c r="Y25" s="399"/>
      <c r="Z25" s="399"/>
      <c r="AA25" s="399"/>
      <c r="AB25" s="399"/>
      <c r="AC25" s="399"/>
      <c r="AD25" s="399"/>
      <c r="AE25" s="553"/>
      <c r="AF25" s="553"/>
    </row>
    <row r="26" ht="15" spans="1:32">
      <c r="A26" s="516"/>
      <c r="B26" s="502" t="s">
        <v>1535</v>
      </c>
      <c r="C26" s="517">
        <f ca="1">E29+SUM(E33:E39)</f>
        <v>8768260</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1536</v>
      </c>
      <c r="C27" s="521">
        <f ca="1">E30+SUM(I33:I39)</f>
        <v>2192009</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1537</v>
      </c>
      <c r="C28" s="526" t="s">
        <v>1538</v>
      </c>
      <c r="D28" s="526" t="s">
        <v>1539</v>
      </c>
      <c r="E28" s="527" t="s">
        <v>1540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1541</v>
      </c>
      <c r="C29" s="517">
        <f ca="1">ROUND(C5*C18*C19*C20*C21*C24,0)</f>
        <v>39165</v>
      </c>
      <c r="D29" s="530">
        <v>223.88</v>
      </c>
      <c r="E29" s="531">
        <f ca="1">ROUND(C29*D29,0)</f>
        <v>8768260</v>
      </c>
      <c r="F29" s="532" t="s">
        <v>1542</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1543</v>
      </c>
      <c r="C30" s="469">
        <f ca="1">ROUND(IF(E2="工业",C29*M39,C29*M38),0)</f>
        <v>9791</v>
      </c>
      <c r="D30" s="536">
        <v>223.88</v>
      </c>
      <c r="E30" s="531">
        <f ca="1">ROUND(C30*D30,0)</f>
        <v>2192009</v>
      </c>
      <c r="F30" s="537" t="s">
        <v>1544</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1545</v>
      </c>
      <c r="C31" s="541" t="s">
        <v>1546</v>
      </c>
      <c r="D31" s="454"/>
      <c r="E31" s="541"/>
      <c r="F31" s="541"/>
      <c r="G31" s="452" t="s">
        <v>1544</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1538</v>
      </c>
      <c r="D32" s="544" t="s">
        <v>1539</v>
      </c>
      <c r="E32" s="544" t="s">
        <v>1540</v>
      </c>
      <c r="F32" s="545" t="s">
        <v>1547</v>
      </c>
      <c r="G32" s="504" t="s">
        <v>1538</v>
      </c>
      <c r="H32" s="504" t="s">
        <v>1539</v>
      </c>
      <c r="I32" s="504" t="s">
        <v>1540</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1548</v>
      </c>
      <c r="B33" s="547" t="s">
        <v>1549</v>
      </c>
      <c r="C33" s="517">
        <f ca="1">ROUND(D5*C19*C20*C24*F33,0)</f>
        <v>31332</v>
      </c>
      <c r="D33" s="530"/>
      <c r="E33" s="446">
        <f ca="1" t="shared" ref="E33:E39" si="6">ROUND(C33*D33,0)</f>
        <v>0</v>
      </c>
      <c r="F33" s="446">
        <f>SUMIF(修正!A45:A56,G2,修正!B45:B56)</f>
        <v>0.8</v>
      </c>
      <c r="G33" s="446">
        <f ca="1" t="shared" ref="G33" si="7">ROUND(IF(E2="工业",C33*$M$39,C33*$M$38),0)</f>
        <v>7833</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1550</v>
      </c>
      <c r="C34" s="517">
        <f ca="1">ROUND(D5*C19*C20*C24*F34,0)</f>
        <v>19582</v>
      </c>
      <c r="D34" s="530"/>
      <c r="E34" s="446">
        <f ca="1" t="shared" si="6"/>
        <v>0</v>
      </c>
      <c r="F34" s="446">
        <f>SUMIF(修正!A45:A56,G2,修正!C45:C56)</f>
        <v>0.5</v>
      </c>
      <c r="G34" s="446">
        <f ca="1">ROUND(IF(E2="工业",C34*$M$39,C34*$M$38),0)</f>
        <v>4896</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1551</v>
      </c>
      <c r="C35" s="517">
        <f ca="1">ROUND(D5*C19*C20*C24*F35,0)</f>
        <v>14099</v>
      </c>
      <c r="D35" s="530"/>
      <c r="E35" s="446">
        <f ca="1" t="shared" si="6"/>
        <v>0</v>
      </c>
      <c r="F35" s="446">
        <f>SUMIF(修正!A45:A56,G2,修正!D45:D56)</f>
        <v>0.36</v>
      </c>
      <c r="G35" s="446">
        <f ca="1">ROUND(IF(E2="工业",C35*$M$39,C35*$M$38),0)</f>
        <v>3525</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1552</v>
      </c>
      <c r="C36" s="517">
        <f ca="1">ROUND(D5*C19*C20*C24*F36,0)</f>
        <v>11749</v>
      </c>
      <c r="D36" s="530"/>
      <c r="E36" s="446">
        <f ca="1" t="shared" si="6"/>
        <v>0</v>
      </c>
      <c r="F36" s="446">
        <f>SUMIF(修正!A45:A56,G2,修正!E45:E56)</f>
        <v>0.3</v>
      </c>
      <c r="G36" s="446">
        <f ca="1">ROUND(IF(E2="工业",C36*$M$39,C36*$M$38),0)</f>
        <v>2937</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1553</v>
      </c>
      <c r="C37" s="446">
        <f ca="1">ROUND(D5*C19*C20*C24*F37,0)</f>
        <v>11749</v>
      </c>
      <c r="D37" s="530"/>
      <c r="E37" s="446">
        <f ca="1" t="shared" si="6"/>
        <v>0</v>
      </c>
      <c r="F37" s="517">
        <f>SUMIF(修正!A45:A56,G2,修正!F45:F56)</f>
        <v>0.3</v>
      </c>
      <c r="G37" s="446">
        <f ca="1">ROUND(IF(E2="工业",C37*$M$39,C37*$M$38),0)</f>
        <v>2937</v>
      </c>
      <c r="H37" s="446">
        <f t="shared" si="9"/>
        <v>0</v>
      </c>
      <c r="I37" s="446">
        <f ca="1" t="shared" si="8"/>
        <v>0</v>
      </c>
      <c r="J37" s="647"/>
      <c r="L37" s="649" t="s">
        <v>1554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1555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1556</v>
      </c>
      <c r="M38" s="651">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1557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1492</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1558</v>
      </c>
      <c r="C41" s="545">
        <f ca="1">ROUND(POWER(1+E41,H41-G41)*(POWER(1+E41,G41)-1)/(POWER(1+E41,H41)-1),4)</f>
        <v>0</v>
      </c>
      <c r="D41" s="446" t="s">
        <v>1502</v>
      </c>
      <c r="E41" s="343">
        <f ca="1">G20</f>
        <v>0.052</v>
      </c>
      <c r="F41" s="446" t="s">
        <v>1515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1559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1560</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1561</v>
      </c>
      <c r="B47" s="338" t="s">
        <v>1562</v>
      </c>
      <c r="C47" s="338" t="s">
        <v>1563</v>
      </c>
      <c r="D47" s="338" t="s">
        <v>1564</v>
      </c>
      <c r="E47" s="339" t="s">
        <v>1565</v>
      </c>
      <c r="F47" s="566" t="s">
        <v>1566</v>
      </c>
      <c r="G47" s="338" t="s">
        <v>1235</v>
      </c>
      <c r="H47" s="567" t="s">
        <v>1567</v>
      </c>
      <c r="I47" s="338" t="s">
        <v>1568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47.1" hidden="1" customHeight="1" spans="1:37">
      <c r="A48" s="565" t="s">
        <v>1569</v>
      </c>
      <c r="B48" s="568" t="str">
        <f>估价对象房地状况!C16</f>
        <v>估价对象周边道路状况、公共交通通达情况、停车便捷程度，综合评价交通便捷度好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48" hidden="1" spans="1:37">
      <c r="A49" s="565" t="s">
        <v>1570</v>
      </c>
      <c r="B49" s="573" t="str">
        <f>估价对象房地状况!C18</f>
        <v>估价对象周边道路状况、公共交通通达情况、停车便捷程度，综合评价交通便捷度好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1571</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1572</v>
      </c>
      <c r="B51" s="574" t="s">
        <v>1573</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75" hidden="1" spans="1:37">
      <c r="A52" s="565" t="s">
        <v>1574</v>
      </c>
      <c r="B52" s="573" t="str">
        <f>估价对象房地状况!C24</f>
        <v>城市主干道——东三环中路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1575</v>
      </c>
      <c r="B53" s="575" t="s">
        <v>1576</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1577</v>
      </c>
      <c r="B54" s="577" t="str">
        <f>估价对象房地状况!C21</f>
        <v>估价对象所在区域公共配套设施完备程度好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1578</v>
      </c>
      <c r="B55" s="573" t="str">
        <f>估价对象房地状况!C22</f>
        <v>估价对象所在区域红线外基础设施水平六通一平</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54" hidden="1" customHeight="1" spans="1:37">
      <c r="A56" s="578" t="s">
        <v>1579</v>
      </c>
      <c r="B56" s="579" t="str">
        <f>估价对象房地状况!C20</f>
        <v>区域自然环境：CBD历史文化公园、呼家楼社区公园、联馨园；人文环境韩国文化院、考文垂大学、北京今日美术馆：综合评价环境状况好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spans="1:37">
      <c r="A57" s="561" t="s">
        <v>1580</v>
      </c>
      <c r="B57" s="580">
        <f>1+E59</f>
        <v>1.0909</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spans="1:37">
      <c r="A58" s="565" t="s">
        <v>1561</v>
      </c>
      <c r="B58" s="573"/>
      <c r="C58" s="338" t="s">
        <v>1563</v>
      </c>
      <c r="D58" s="338" t="s">
        <v>1564</v>
      </c>
      <c r="E58" s="339" t="s">
        <v>1565</v>
      </c>
      <c r="F58" s="566" t="s">
        <v>1566</v>
      </c>
      <c r="G58" s="338" t="s">
        <v>1235</v>
      </c>
      <c r="H58" s="567" t="s">
        <v>1567</v>
      </c>
      <c r="I58" s="338" t="s">
        <v>1568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spans="1:37">
      <c r="A59" s="565" t="s">
        <v>1581</v>
      </c>
      <c r="B59" s="568" t="str">
        <f>估价对象房地状况!C17</f>
        <v>估价对象位于CBD商圈，周边办公楼项目成熟度好，办公集聚程度好</v>
      </c>
      <c r="C59" s="463" t="s">
        <v>1582</v>
      </c>
      <c r="D59" s="569">
        <f t="shared" ref="D59:D67" si="15">SUMIF($J$58:$N$58,C59,J59:N59)</f>
        <v>0.0234</v>
      </c>
      <c r="E59" s="345">
        <f>ROUND(SUM(D59:D67),4)</f>
        <v>0.0909</v>
      </c>
      <c r="F59" s="570">
        <f>IF(E2="办公",SUMIF(L1:L12,G2,N1:N12),"——")</f>
        <v>0.098</v>
      </c>
      <c r="G59" s="571">
        <v>0.0117</v>
      </c>
      <c r="H59" s="572">
        <f t="shared" ref="H59:H67" si="16">IFERROR(ROUNDDOWN($F$59*I59/2,4),"——")</f>
        <v>0.0117</v>
      </c>
      <c r="I59" s="344">
        <v>0.24</v>
      </c>
      <c r="J59" s="656">
        <f t="shared" ref="J59:J67" si="17">K59+$G59</f>
        <v>0.0234</v>
      </c>
      <c r="K59" s="656">
        <f t="shared" ref="K59:K67" si="18">$L59+$G59</f>
        <v>0.0117</v>
      </c>
      <c r="L59" s="656">
        <v>0</v>
      </c>
      <c r="M59" s="656">
        <f t="shared" ref="M59:N67" si="19">L59-$G59</f>
        <v>-0.0117</v>
      </c>
      <c r="N59" s="656">
        <f t="shared" si="19"/>
        <v>-0.0234</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48" spans="1:37">
      <c r="A60" s="565" t="s">
        <v>1570</v>
      </c>
      <c r="B60" s="573" t="str">
        <f>估价对象房地状况!C18</f>
        <v>估价对象周边道路状况、公共交通通达情况、停车便捷程度，综合评价交通便捷度好</v>
      </c>
      <c r="C60" s="463" t="s">
        <v>1582</v>
      </c>
      <c r="D60" s="569">
        <f t="shared" si="15"/>
        <v>0.0294</v>
      </c>
      <c r="E60" s="349"/>
      <c r="F60" s="570"/>
      <c r="G60" s="571">
        <v>0.0147</v>
      </c>
      <c r="H60" s="572">
        <f t="shared" si="16"/>
        <v>0.0147</v>
      </c>
      <c r="I60" s="344">
        <v>0.3</v>
      </c>
      <c r="J60" s="656">
        <f t="shared" si="17"/>
        <v>0.0294</v>
      </c>
      <c r="K60" s="656">
        <f t="shared" si="18"/>
        <v>0.0147</v>
      </c>
      <c r="L60" s="656">
        <v>0</v>
      </c>
      <c r="M60" s="656">
        <f t="shared" si="19"/>
        <v>-0.0147</v>
      </c>
      <c r="N60" s="656">
        <f t="shared" si="19"/>
        <v>-0.0294</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5" t="s">
        <v>1571</v>
      </c>
      <c r="B61" s="573">
        <f>估价对象房地状况!C19</f>
        <v>0</v>
      </c>
      <c r="C61" s="463" t="s">
        <v>1583</v>
      </c>
      <c r="D61" s="569">
        <f t="shared" si="15"/>
        <v>0.0039</v>
      </c>
      <c r="E61" s="349"/>
      <c r="F61" s="570"/>
      <c r="G61" s="571">
        <v>0.0039</v>
      </c>
      <c r="H61" s="572">
        <f t="shared" si="16"/>
        <v>0.0039</v>
      </c>
      <c r="I61" s="344">
        <v>0.08</v>
      </c>
      <c r="J61" s="656">
        <f t="shared" si="17"/>
        <v>0.0078</v>
      </c>
      <c r="K61" s="656">
        <f t="shared" si="18"/>
        <v>0.0039</v>
      </c>
      <c r="L61" s="656">
        <v>0</v>
      </c>
      <c r="M61" s="656">
        <f t="shared" si="19"/>
        <v>-0.0039</v>
      </c>
      <c r="N61" s="656">
        <f t="shared" si="19"/>
        <v>-0.0078</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spans="1:37">
      <c r="A62" s="565" t="s">
        <v>1572</v>
      </c>
      <c r="B62" s="574" t="s">
        <v>1573</v>
      </c>
      <c r="C62" s="463" t="s">
        <v>1582</v>
      </c>
      <c r="D62" s="569">
        <f t="shared" si="15"/>
        <v>0.0038</v>
      </c>
      <c r="E62" s="349"/>
      <c r="F62" s="570"/>
      <c r="G62" s="571">
        <v>0.0019</v>
      </c>
      <c r="H62" s="572">
        <f t="shared" si="16"/>
        <v>0.0019</v>
      </c>
      <c r="I62" s="344">
        <v>0.04</v>
      </c>
      <c r="J62" s="656">
        <f t="shared" si="17"/>
        <v>0.0038</v>
      </c>
      <c r="K62" s="656">
        <f t="shared" si="18"/>
        <v>0.0019</v>
      </c>
      <c r="L62" s="656">
        <v>0</v>
      </c>
      <c r="M62" s="656">
        <f t="shared" si="19"/>
        <v>-0.0019</v>
      </c>
      <c r="N62" s="656">
        <f t="shared" si="19"/>
        <v>-0.0038</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75" spans="1:37">
      <c r="A63" s="565" t="s">
        <v>1574</v>
      </c>
      <c r="B63" s="573" t="str">
        <f>估价对象房地状况!C24</f>
        <v>城市主干道——东三环中路</v>
      </c>
      <c r="C63" s="463" t="s">
        <v>1582</v>
      </c>
      <c r="D63" s="569">
        <f t="shared" si="15"/>
        <v>0.0048</v>
      </c>
      <c r="E63" s="349"/>
      <c r="F63" s="570"/>
      <c r="G63" s="571">
        <v>0.0024</v>
      </c>
      <c r="H63" s="572">
        <f t="shared" si="16"/>
        <v>0.0024</v>
      </c>
      <c r="I63" s="344">
        <v>0.05</v>
      </c>
      <c r="J63" s="656">
        <f t="shared" si="17"/>
        <v>0.0048</v>
      </c>
      <c r="K63" s="656">
        <f t="shared" si="18"/>
        <v>0.0024</v>
      </c>
      <c r="L63" s="656">
        <v>0</v>
      </c>
      <c r="M63" s="656">
        <f t="shared" si="19"/>
        <v>-0.0024</v>
      </c>
      <c r="N63" s="656">
        <f t="shared" si="19"/>
        <v>-0.0048</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spans="1:37">
      <c r="A64" s="565" t="s">
        <v>1575</v>
      </c>
      <c r="B64" s="575" t="s">
        <v>1576</v>
      </c>
      <c r="C64" s="463" t="s">
        <v>1583</v>
      </c>
      <c r="D64" s="569">
        <f t="shared" si="15"/>
        <v>0.0024</v>
      </c>
      <c r="E64" s="349"/>
      <c r="F64" s="570"/>
      <c r="G64" s="571">
        <v>0.0024</v>
      </c>
      <c r="H64" s="572">
        <f t="shared" si="16"/>
        <v>0.0024</v>
      </c>
      <c r="I64" s="344">
        <v>0.05</v>
      </c>
      <c r="J64" s="656">
        <f t="shared" si="17"/>
        <v>0.0048</v>
      </c>
      <c r="K64" s="656">
        <f t="shared" si="18"/>
        <v>0.0024</v>
      </c>
      <c r="L64" s="656">
        <v>0</v>
      </c>
      <c r="M64" s="656">
        <f t="shared" si="19"/>
        <v>-0.0024</v>
      </c>
      <c r="N64" s="656">
        <f t="shared" si="19"/>
        <v>-0.0048</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spans="1:37">
      <c r="A65" s="565" t="s">
        <v>1577</v>
      </c>
      <c r="B65" s="577" t="str">
        <f>估价对象房地状况!C21</f>
        <v>估价对象所在区域公共配套设施完备程度好</v>
      </c>
      <c r="C65" s="463" t="s">
        <v>1582</v>
      </c>
      <c r="D65" s="569">
        <f t="shared" si="15"/>
        <v>0.0058</v>
      </c>
      <c r="E65" s="349"/>
      <c r="F65" s="570"/>
      <c r="G65" s="571">
        <v>0.0029</v>
      </c>
      <c r="H65" s="572">
        <f t="shared" si="16"/>
        <v>0.0029</v>
      </c>
      <c r="I65" s="344">
        <v>0.06</v>
      </c>
      <c r="J65" s="656">
        <f t="shared" si="17"/>
        <v>0.0058</v>
      </c>
      <c r="K65" s="656">
        <f t="shared" si="18"/>
        <v>0.0029</v>
      </c>
      <c r="L65" s="656">
        <v>0</v>
      </c>
      <c r="M65" s="656">
        <f t="shared" si="19"/>
        <v>-0.0029</v>
      </c>
      <c r="N65" s="656">
        <f t="shared" si="19"/>
        <v>-0.0058</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spans="1:37">
      <c r="A66" s="565" t="s">
        <v>1578</v>
      </c>
      <c r="B66" s="577" t="str">
        <f>估价对象房地状况!C22</f>
        <v>估价对象所在区域红线外基础设施水平六通一平</v>
      </c>
      <c r="C66" s="463" t="s">
        <v>1582</v>
      </c>
      <c r="D66" s="569">
        <f t="shared" si="15"/>
        <v>0.0116</v>
      </c>
      <c r="E66" s="349"/>
      <c r="F66" s="570"/>
      <c r="G66" s="571">
        <v>0.0058</v>
      </c>
      <c r="H66" s="572">
        <f t="shared" si="16"/>
        <v>0.0058</v>
      </c>
      <c r="I66" s="344">
        <v>0.12</v>
      </c>
      <c r="J66" s="656">
        <f t="shared" si="17"/>
        <v>0.0116</v>
      </c>
      <c r="K66" s="656">
        <f t="shared" si="18"/>
        <v>0.0058</v>
      </c>
      <c r="L66" s="656">
        <v>0</v>
      </c>
      <c r="M66" s="656">
        <f t="shared" si="19"/>
        <v>-0.0058</v>
      </c>
      <c r="N66" s="656">
        <f t="shared" si="19"/>
        <v>-0.0116</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3.5" spans="1:37">
      <c r="A67" s="578" t="s">
        <v>1579</v>
      </c>
      <c r="B67" s="682" t="str">
        <f>估价对象房地状况!C20</f>
        <v>区域自然环境：CBD历史文化公园、呼家楼社区公园、联馨园；人文环境韩国文化院、考文垂大学、北京今日美术馆：综合评价环境状况好</v>
      </c>
      <c r="C67" s="463" t="s">
        <v>1582</v>
      </c>
      <c r="D67" s="569">
        <f t="shared" si="15"/>
        <v>0.0058</v>
      </c>
      <c r="E67" s="358"/>
      <c r="F67" s="570"/>
      <c r="G67" s="571">
        <v>0.0029</v>
      </c>
      <c r="H67" s="572">
        <f t="shared" si="16"/>
        <v>0.0029</v>
      </c>
      <c r="I67" s="357">
        <v>0.06</v>
      </c>
      <c r="J67" s="656">
        <f t="shared" si="17"/>
        <v>0.0058</v>
      </c>
      <c r="K67" s="656">
        <f t="shared" si="18"/>
        <v>0.0029</v>
      </c>
      <c r="L67" s="656">
        <v>0</v>
      </c>
      <c r="M67" s="656">
        <f t="shared" si="19"/>
        <v>-0.0029</v>
      </c>
      <c r="N67" s="656">
        <f t="shared" si="19"/>
        <v>-0.0058</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1584</v>
      </c>
      <c r="B68" s="580">
        <f>1+E70</f>
        <v>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1561</v>
      </c>
      <c r="B69" s="573"/>
      <c r="C69" s="338" t="s">
        <v>1563</v>
      </c>
      <c r="D69" s="338" t="s">
        <v>1564</v>
      </c>
      <c r="E69" s="339" t="s">
        <v>1565</v>
      </c>
      <c r="F69" s="566" t="s">
        <v>1566</v>
      </c>
      <c r="G69" s="338" t="s">
        <v>1235</v>
      </c>
      <c r="H69" s="567" t="s">
        <v>1567</v>
      </c>
      <c r="I69" s="338" t="s">
        <v>1568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36.75" spans="1:37">
      <c r="A70" s="565" t="s">
        <v>1585</v>
      </c>
      <c r="B70" s="568" t="str">
        <f>估价对象房地状况!C15</f>
        <v>估价对象位于CBD商圈，周边办公楼项目成熟度好，办公集聚程度好</v>
      </c>
      <c r="C70" s="463"/>
      <c r="D70" s="569">
        <f t="shared" ref="D70:D78" si="20">SUMIF($J$69:$N$69,C70,J70:N70)</f>
        <v>0</v>
      </c>
      <c r="E70" s="345">
        <f>ROUND(SUM(D70:D78),4)</f>
        <v>0</v>
      </c>
      <c r="F70" s="570" t="str">
        <f>IF(E2="住宅",SUMIF(L1:L12,G2,N1:N12),"——")</f>
        <v>——</v>
      </c>
      <c r="G70" s="571"/>
      <c r="H70" s="572" t="str">
        <f t="shared" ref="H70:H78" si="21">IFERROR(ROUNDDOWN($F$70*I70/2,4),"——")</f>
        <v>——</v>
      </c>
      <c r="I70" s="344">
        <v>0.14</v>
      </c>
      <c r="J70" s="656">
        <f t="shared" ref="J70:J78" si="22">K70+$G70</f>
        <v>0</v>
      </c>
      <c r="K70" s="656">
        <f t="shared" ref="K70:K78" si="23">$L70+$G70</f>
        <v>0</v>
      </c>
      <c r="L70" s="656">
        <v>0</v>
      </c>
      <c r="M70" s="656">
        <f t="shared" ref="M70:N78" si="24">L70-$G70</f>
        <v>0</v>
      </c>
      <c r="N70" s="656">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48" spans="1:37">
      <c r="A71" s="565" t="s">
        <v>1570</v>
      </c>
      <c r="B71" s="573" t="str">
        <f>估价对象房地状况!C18</f>
        <v>估价对象周边道路状况、公共交通通达情况、停车便捷程度，综合评价交通便捷度好</v>
      </c>
      <c r="C71" s="463"/>
      <c r="D71" s="569">
        <f t="shared" si="20"/>
        <v>0</v>
      </c>
      <c r="E71" s="361"/>
      <c r="F71" s="683"/>
      <c r="G71" s="571"/>
      <c r="H71" s="572" t="str">
        <f t="shared" si="21"/>
        <v>——</v>
      </c>
      <c r="I71" s="344">
        <v>0.3</v>
      </c>
      <c r="J71" s="656">
        <f t="shared" si="22"/>
        <v>0</v>
      </c>
      <c r="K71" s="656">
        <f t="shared" si="23"/>
        <v>0</v>
      </c>
      <c r="L71" s="656">
        <v>0</v>
      </c>
      <c r="M71" s="656">
        <f t="shared" si="24"/>
        <v>0</v>
      </c>
      <c r="N71" s="656">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5" t="s">
        <v>1571</v>
      </c>
      <c r="B72" s="573">
        <f>估价对象房地状况!C19</f>
        <v>0</v>
      </c>
      <c r="C72" s="463"/>
      <c r="D72" s="569">
        <f t="shared" si="20"/>
        <v>0</v>
      </c>
      <c r="E72" s="361"/>
      <c r="F72" s="683"/>
      <c r="G72" s="571"/>
      <c r="H72" s="572" t="str">
        <f t="shared" si="21"/>
        <v>——</v>
      </c>
      <c r="I72" s="344">
        <v>0.08</v>
      </c>
      <c r="J72" s="656">
        <f t="shared" si="22"/>
        <v>0</v>
      </c>
      <c r="K72" s="656">
        <f t="shared" si="23"/>
        <v>0</v>
      </c>
      <c r="L72" s="656">
        <v>0</v>
      </c>
      <c r="M72" s="656">
        <f t="shared" si="24"/>
        <v>0</v>
      </c>
      <c r="N72" s="656">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24.75" spans="1:37">
      <c r="A73" s="565" t="s">
        <v>1586</v>
      </c>
      <c r="B73" s="573" t="str">
        <f>估价对象房地状况!C24</f>
        <v>城市主干道——东三环中路</v>
      </c>
      <c r="C73" s="463"/>
      <c r="D73" s="569">
        <f t="shared" si="20"/>
        <v>0</v>
      </c>
      <c r="E73" s="361"/>
      <c r="F73" s="683"/>
      <c r="G73" s="571"/>
      <c r="H73" s="572" t="str">
        <f t="shared" si="21"/>
        <v>——</v>
      </c>
      <c r="I73" s="344">
        <v>0.04</v>
      </c>
      <c r="J73" s="656">
        <f t="shared" si="22"/>
        <v>0</v>
      </c>
      <c r="K73" s="656">
        <f t="shared" si="23"/>
        <v>0</v>
      </c>
      <c r="L73" s="656">
        <v>0</v>
      </c>
      <c r="M73" s="656">
        <f t="shared" si="24"/>
        <v>0</v>
      </c>
      <c r="N73" s="656">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1577</v>
      </c>
      <c r="B74" s="577" t="str">
        <f>估价对象房地状况!C21</f>
        <v>估价对象所在区域公共配套设施完备程度好</v>
      </c>
      <c r="C74" s="463"/>
      <c r="D74" s="569">
        <f t="shared" si="20"/>
        <v>0</v>
      </c>
      <c r="E74" s="361"/>
      <c r="F74" s="683"/>
      <c r="G74" s="571"/>
      <c r="H74" s="572" t="str">
        <f t="shared" si="21"/>
        <v>——</v>
      </c>
      <c r="I74" s="344">
        <v>0.08</v>
      </c>
      <c r="J74" s="656">
        <f t="shared" si="22"/>
        <v>0</v>
      </c>
      <c r="K74" s="656">
        <f t="shared" si="23"/>
        <v>0</v>
      </c>
      <c r="L74" s="656">
        <v>0</v>
      </c>
      <c r="M74" s="656">
        <f t="shared" si="24"/>
        <v>0</v>
      </c>
      <c r="N74" s="656">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1578</v>
      </c>
      <c r="B75" s="577" t="str">
        <f>估价对象房地状况!C22</f>
        <v>估价对象所在区域红线外基础设施水平六通一平</v>
      </c>
      <c r="C75" s="463"/>
      <c r="D75" s="569">
        <f t="shared" si="20"/>
        <v>0</v>
      </c>
      <c r="E75" s="361"/>
      <c r="F75" s="683"/>
      <c r="G75" s="571"/>
      <c r="H75" s="572" t="str">
        <f t="shared" si="21"/>
        <v>——</v>
      </c>
      <c r="I75" s="344">
        <v>0.12</v>
      </c>
      <c r="J75" s="656">
        <f t="shared" si="22"/>
        <v>0</v>
      </c>
      <c r="K75" s="656">
        <f t="shared" si="23"/>
        <v>0</v>
      </c>
      <c r="L75" s="656">
        <v>0</v>
      </c>
      <c r="M75" s="656">
        <f t="shared" si="24"/>
        <v>0</v>
      </c>
      <c r="N75" s="656">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spans="1:37">
      <c r="A76" s="565" t="s">
        <v>1575</v>
      </c>
      <c r="B76" s="575" t="s">
        <v>1576</v>
      </c>
      <c r="C76" s="463"/>
      <c r="D76" s="569">
        <f t="shared" si="20"/>
        <v>0</v>
      </c>
      <c r="E76" s="361"/>
      <c r="F76" s="683"/>
      <c r="G76" s="571"/>
      <c r="H76" s="572" t="str">
        <f t="shared" si="21"/>
        <v>——</v>
      </c>
      <c r="I76" s="344">
        <v>0.05</v>
      </c>
      <c r="J76" s="656">
        <f t="shared" si="22"/>
        <v>0</v>
      </c>
      <c r="K76" s="656">
        <f t="shared" si="23"/>
        <v>0</v>
      </c>
      <c r="L76" s="656">
        <v>0</v>
      </c>
      <c r="M76" s="656">
        <f t="shared" si="24"/>
        <v>0</v>
      </c>
      <c r="N76" s="656">
        <f t="shared" si="24"/>
        <v>0</v>
      </c>
      <c r="Z76" s="398"/>
      <c r="AA76" s="396"/>
      <c r="AG76" s="400"/>
      <c r="AK76" s="396"/>
    </row>
    <row r="77" ht="72.75" spans="1:37">
      <c r="A77" s="565" t="s">
        <v>1579</v>
      </c>
      <c r="B77" s="568" t="str">
        <f>估价对象房地状况!C20</f>
        <v>区域自然环境：CBD历史文化公园、呼家楼社区公园、联馨园；人文环境韩国文化院、考文垂大学、北京今日美术馆：综合评价环境状况好</v>
      </c>
      <c r="C77" s="463"/>
      <c r="D77" s="569">
        <f t="shared" si="20"/>
        <v>0</v>
      </c>
      <c r="E77" s="361"/>
      <c r="F77" s="683"/>
      <c r="G77" s="571"/>
      <c r="H77" s="572" t="str">
        <f t="shared" si="21"/>
        <v>——</v>
      </c>
      <c r="I77" s="344">
        <v>0.15</v>
      </c>
      <c r="J77" s="656">
        <f t="shared" si="22"/>
        <v>0</v>
      </c>
      <c r="K77" s="656">
        <f t="shared" si="23"/>
        <v>0</v>
      </c>
      <c r="L77" s="656">
        <v>0</v>
      </c>
      <c r="M77" s="656">
        <f t="shared" si="24"/>
        <v>0</v>
      </c>
      <c r="N77" s="656">
        <f t="shared" si="24"/>
        <v>0</v>
      </c>
      <c r="Z77" s="398"/>
      <c r="AA77" s="396"/>
      <c r="AG77" s="400"/>
      <c r="AK77" s="396"/>
    </row>
    <row r="78" ht="24.75" spans="1:37">
      <c r="A78" s="578" t="s">
        <v>1587</v>
      </c>
      <c r="B78" s="684"/>
      <c r="C78" s="463"/>
      <c r="D78" s="569">
        <f t="shared" si="20"/>
        <v>0</v>
      </c>
      <c r="E78" s="364"/>
      <c r="F78" s="683"/>
      <c r="G78" s="571"/>
      <c r="H78" s="572" t="str">
        <f t="shared" si="21"/>
        <v>——</v>
      </c>
      <c r="I78" s="357">
        <v>0.04</v>
      </c>
      <c r="J78" s="656">
        <f t="shared" si="22"/>
        <v>0</v>
      </c>
      <c r="K78" s="656">
        <f t="shared" si="23"/>
        <v>0</v>
      </c>
      <c r="L78" s="656">
        <v>0</v>
      </c>
      <c r="M78" s="656">
        <f t="shared" si="24"/>
        <v>0</v>
      </c>
      <c r="N78" s="656">
        <f t="shared" si="24"/>
        <v>0</v>
      </c>
      <c r="Z78" s="398"/>
      <c r="AA78" s="396"/>
      <c r="AG78" s="400"/>
      <c r="AK78" s="396"/>
    </row>
    <row r="79" ht="15" spans="1:37">
      <c r="A79" s="561" t="s">
        <v>1588</v>
      </c>
      <c r="B79" s="580">
        <f>1+E81</f>
        <v>1</v>
      </c>
      <c r="C79" s="334"/>
      <c r="D79" s="334"/>
      <c r="E79" s="335"/>
      <c r="F79" s="564"/>
      <c r="G79" s="560"/>
      <c r="H79" s="560"/>
      <c r="I79" s="560"/>
      <c r="J79" s="559"/>
      <c r="K79" s="559"/>
      <c r="L79" s="559"/>
      <c r="M79" s="559"/>
      <c r="N79" s="559"/>
      <c r="Z79" s="398"/>
      <c r="AA79" s="396"/>
      <c r="AG79" s="400"/>
      <c r="AK79" s="396"/>
    </row>
    <row r="80" ht="24.75" spans="1:37">
      <c r="A80" s="565" t="s">
        <v>1561</v>
      </c>
      <c r="B80" s="573"/>
      <c r="C80" s="338" t="s">
        <v>1563</v>
      </c>
      <c r="D80" s="338" t="s">
        <v>1564</v>
      </c>
      <c r="E80" s="339" t="s">
        <v>1565</v>
      </c>
      <c r="F80" s="566" t="s">
        <v>1566</v>
      </c>
      <c r="G80" s="338" t="s">
        <v>1235</v>
      </c>
      <c r="H80" s="567" t="s">
        <v>1567</v>
      </c>
      <c r="I80" s="338" t="s">
        <v>1568</v>
      </c>
      <c r="J80" s="370" t="s">
        <v>228</v>
      </c>
      <c r="K80" s="370" t="s">
        <v>240</v>
      </c>
      <c r="L80" s="370" t="s">
        <v>251</v>
      </c>
      <c r="M80" s="370" t="s">
        <v>261</v>
      </c>
      <c r="N80" s="370" t="s">
        <v>268</v>
      </c>
      <c r="Z80" s="398"/>
      <c r="AA80" s="396"/>
      <c r="AG80" s="400"/>
      <c r="AK80" s="396"/>
    </row>
    <row r="81" ht="38.25" spans="1:37">
      <c r="A81" s="565" t="s">
        <v>1589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48" spans="1:37">
      <c r="A82" s="565" t="s">
        <v>1570</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1571</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4.25" spans="1:37">
      <c r="A84" s="565" t="s">
        <v>1586</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1577</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1578</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24" spans="1:37">
      <c r="A87" s="565" t="s">
        <v>1575</v>
      </c>
      <c r="B87" s="575" t="s">
        <v>1576</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36.75" spans="1:37">
      <c r="A88" s="578" t="s">
        <v>1590</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1591</v>
      </c>
      <c r="B90" s="688"/>
      <c r="C90" s="688"/>
      <c r="D90" s="688"/>
      <c r="E90" s="688"/>
      <c r="F90" s="688"/>
      <c r="G90" s="688"/>
      <c r="H90" s="688"/>
      <c r="I90" s="688"/>
      <c r="J90" s="688"/>
      <c r="K90" s="688"/>
      <c r="L90" s="688"/>
      <c r="M90" s="688"/>
      <c r="N90" s="688"/>
    </row>
    <row r="91" spans="1:14">
      <c r="A91" s="531" t="s">
        <v>1592</v>
      </c>
      <c r="B91" s="531" t="s">
        <v>1593</v>
      </c>
      <c r="C91" s="532" t="s">
        <v>1594</v>
      </c>
      <c r="D91" s="533"/>
      <c r="E91" s="533"/>
      <c r="F91" s="533"/>
      <c r="G91" s="533"/>
      <c r="H91" s="533"/>
      <c r="I91" s="533"/>
      <c r="J91" s="714"/>
      <c r="K91" s="715"/>
      <c r="L91" s="715"/>
      <c r="M91" s="715"/>
      <c r="N91" s="715"/>
    </row>
    <row r="92" spans="1:14">
      <c r="A92" s="531"/>
      <c r="B92" s="531"/>
      <c r="C92" s="531" t="s">
        <v>1451</v>
      </c>
      <c r="D92" s="531" t="s">
        <v>1452</v>
      </c>
      <c r="E92" s="531" t="s">
        <v>1453</v>
      </c>
      <c r="F92" s="531" t="s">
        <v>1454</v>
      </c>
      <c r="G92" s="531" t="s">
        <v>1455</v>
      </c>
      <c r="H92" s="531" t="s">
        <v>1456</v>
      </c>
      <c r="I92" s="531" t="s">
        <v>1457</v>
      </c>
      <c r="J92" s="531" t="s">
        <v>1458</v>
      </c>
      <c r="K92" s="531" t="s">
        <v>1459</v>
      </c>
      <c r="L92" s="531" t="s">
        <v>1460</v>
      </c>
      <c r="M92" s="531" t="s">
        <v>1461</v>
      </c>
      <c r="N92" s="531" t="s">
        <v>1462</v>
      </c>
    </row>
    <row r="93" spans="1:14">
      <c r="A93" s="689" t="s">
        <v>1595</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1467</v>
      </c>
      <c r="C99" s="693">
        <f>$I$3</f>
        <v>29</v>
      </c>
      <c r="D99" s="693">
        <f t="shared" ref="D99:N99" si="30">$I$3</f>
        <v>29</v>
      </c>
      <c r="E99" s="693">
        <f t="shared" si="30"/>
        <v>29</v>
      </c>
      <c r="F99" s="693">
        <f t="shared" si="30"/>
        <v>29</v>
      </c>
      <c r="G99" s="693">
        <f t="shared" si="30"/>
        <v>29</v>
      </c>
      <c r="H99" s="693">
        <f t="shared" si="30"/>
        <v>29</v>
      </c>
      <c r="I99" s="693">
        <f t="shared" si="30"/>
        <v>29</v>
      </c>
      <c r="J99" s="693">
        <f t="shared" si="30"/>
        <v>29</v>
      </c>
      <c r="K99" s="693">
        <f t="shared" si="30"/>
        <v>29</v>
      </c>
      <c r="L99" s="693">
        <f t="shared" si="30"/>
        <v>29</v>
      </c>
      <c r="M99" s="693">
        <f t="shared" si="30"/>
        <v>29</v>
      </c>
      <c r="N99" s="693">
        <f t="shared" si="30"/>
        <v>29</v>
      </c>
    </row>
    <row r="100" spans="1:14">
      <c r="A100" s="694"/>
      <c r="B100" s="690">
        <v>7</v>
      </c>
      <c r="C100" s="695">
        <f>(-0.163*(C99^2)-0.59*C99+7617)*(10^(-4))</f>
        <v>0.7462807</v>
      </c>
      <c r="D100" s="695">
        <f>(-0.163*(D99^2)-0.59*D99+7617)*(10^(-4))</f>
        <v>0.7462807</v>
      </c>
      <c r="E100" s="695">
        <f>(-0.161*(E99^2)-7.509*E99+6533)*(10^(-4))</f>
        <v>0.6179838</v>
      </c>
      <c r="F100" s="695">
        <f>(-0.161*(F99^2)-7.509*F99+6533)*(10^(-4))</f>
        <v>0.6179838</v>
      </c>
      <c r="G100" s="695">
        <f>(-0.161*(G99^2)-7.509*G99+6533)*(10^(-4))</f>
        <v>0.6179838</v>
      </c>
      <c r="H100" s="695">
        <f>(-0.161*(H99^2)-7.509*H99+6533)*(10^(-4))</f>
        <v>0.6179838</v>
      </c>
      <c r="I100" s="695">
        <f>(-0.161*(I99^2)-7.509*I99+6533)*(10^(-4))</f>
        <v>0.6179838</v>
      </c>
      <c r="J100" s="695">
        <f>(-0.214*(J99^2)-21.991*J99+4665)*(10^(-4))</f>
        <v>0.3847287</v>
      </c>
      <c r="K100" s="695">
        <f>(-0.214*(K99^2)-21.991*K99+4665)*(10^(-4))</f>
        <v>0.3847287</v>
      </c>
      <c r="L100" s="695">
        <f>(-0.214*(L99^2)-21.991*L99+4665)*(10^(-4))</f>
        <v>0.3847287</v>
      </c>
      <c r="M100" s="695">
        <f>(-0.214*(M99^2)-21.991*M99+4665)*(10^(-4))</f>
        <v>0.3847287</v>
      </c>
      <c r="N100" s="695">
        <f>(-0.214*(N99^2)-21.991*N99+4665)*(10^(-4))</f>
        <v>0.3847287</v>
      </c>
    </row>
    <row r="101" spans="1:14">
      <c r="A101" s="689" t="s">
        <v>1596</v>
      </c>
      <c r="B101" s="696" t="s">
        <v>1597</v>
      </c>
      <c r="C101" s="697">
        <f>$G$3</f>
        <v>3.5</v>
      </c>
      <c r="D101" s="697">
        <f t="shared" ref="D101:N101" si="31">$G$3</f>
        <v>3.5</v>
      </c>
      <c r="E101" s="697">
        <f t="shared" si="31"/>
        <v>3.5</v>
      </c>
      <c r="F101" s="697">
        <f t="shared" si="31"/>
        <v>3.5</v>
      </c>
      <c r="G101" s="697">
        <f t="shared" si="31"/>
        <v>3.5</v>
      </c>
      <c r="H101" s="697">
        <f t="shared" si="31"/>
        <v>3.5</v>
      </c>
      <c r="I101" s="697">
        <f t="shared" si="31"/>
        <v>3.5</v>
      </c>
      <c r="J101" s="697">
        <f t="shared" si="31"/>
        <v>3.5</v>
      </c>
      <c r="K101" s="697">
        <f t="shared" si="31"/>
        <v>3.5</v>
      </c>
      <c r="L101" s="697">
        <f t="shared" si="31"/>
        <v>3.5</v>
      </c>
      <c r="M101" s="697">
        <f t="shared" si="31"/>
        <v>3.5</v>
      </c>
      <c r="N101" s="697">
        <f t="shared" si="31"/>
        <v>3.5</v>
      </c>
    </row>
    <row r="102" spans="1:14">
      <c r="A102" s="692"/>
      <c r="B102" s="690">
        <v>1</v>
      </c>
      <c r="C102" s="691">
        <f>1.9362/C101</f>
        <v>0.5532</v>
      </c>
      <c r="D102" s="691">
        <f>1.9362/D101</f>
        <v>0.5532</v>
      </c>
      <c r="E102" s="691">
        <f>1.8629/E101</f>
        <v>0.532257142857143</v>
      </c>
      <c r="F102" s="691">
        <f>1.8629/F101</f>
        <v>0.532257142857143</v>
      </c>
      <c r="G102" s="691">
        <f>1.8629/G101</f>
        <v>0.532257142857143</v>
      </c>
      <c r="H102" s="691">
        <f>1.8629/H101</f>
        <v>0.532257142857143</v>
      </c>
      <c r="I102" s="691">
        <f>1.8629/I101</f>
        <v>0.532257142857143</v>
      </c>
      <c r="J102" s="691">
        <f>1.942/J101</f>
        <v>0.554857142857143</v>
      </c>
      <c r="K102" s="691">
        <f>1.942/K101</f>
        <v>0.554857142857143</v>
      </c>
      <c r="L102" s="691">
        <f>1.942/L101</f>
        <v>0.554857142857143</v>
      </c>
      <c r="M102" s="691">
        <f>1.942/M101</f>
        <v>0.554857142857143</v>
      </c>
      <c r="N102" s="691">
        <f>1.942/N101</f>
        <v>0.554857142857143</v>
      </c>
    </row>
    <row r="103" spans="1:14">
      <c r="A103" s="692"/>
      <c r="B103" s="690">
        <v>2</v>
      </c>
      <c r="C103" s="691">
        <f>1.4198/C101</f>
        <v>0.405657142857143</v>
      </c>
      <c r="D103" s="691">
        <f>1.4198/D101</f>
        <v>0.405657142857143</v>
      </c>
      <c r="E103" s="691">
        <f>1.3372/E101</f>
        <v>0.382057142857143</v>
      </c>
      <c r="F103" s="691">
        <f>1.3372/F101</f>
        <v>0.382057142857143</v>
      </c>
      <c r="G103" s="691">
        <f>1.3372/G101</f>
        <v>0.382057142857143</v>
      </c>
      <c r="H103" s="691">
        <f>1.3372/H101</f>
        <v>0.382057142857143</v>
      </c>
      <c r="I103" s="691">
        <f>1.3372/I101</f>
        <v>0.382057142857143</v>
      </c>
      <c r="J103" s="691">
        <f>1.2799/J101</f>
        <v>0.365685714285714</v>
      </c>
      <c r="K103" s="691">
        <f>1.2799/K101</f>
        <v>0.365685714285714</v>
      </c>
      <c r="L103" s="691">
        <f>1.2799/L101</f>
        <v>0.365685714285714</v>
      </c>
      <c r="M103" s="691">
        <f>1.2799/M101</f>
        <v>0.365685714285714</v>
      </c>
      <c r="N103" s="691">
        <f>1.2799/N101</f>
        <v>0.365685714285714</v>
      </c>
    </row>
    <row r="104" spans="1:14">
      <c r="A104" s="692"/>
      <c r="B104" s="690">
        <v>3</v>
      </c>
      <c r="C104" s="691">
        <f>1.1594/C101</f>
        <v>0.331257142857143</v>
      </c>
      <c r="D104" s="691">
        <f>1.1594/D101</f>
        <v>0.331257142857143</v>
      </c>
      <c r="E104" s="691">
        <f>1.0788/E101</f>
        <v>0.308228571428571</v>
      </c>
      <c r="F104" s="691">
        <f>1.0788/F101</f>
        <v>0.308228571428571</v>
      </c>
      <c r="G104" s="691">
        <f>1.0788/G101</f>
        <v>0.308228571428571</v>
      </c>
      <c r="H104" s="691">
        <f>1.0788/H101</f>
        <v>0.308228571428571</v>
      </c>
      <c r="I104" s="691">
        <f>1.0788/I101</f>
        <v>0.308228571428571</v>
      </c>
      <c r="J104" s="691">
        <f>1.0072/J101</f>
        <v>0.287771428571429</v>
      </c>
      <c r="K104" s="691">
        <f>1.0072/K101</f>
        <v>0.287771428571429</v>
      </c>
      <c r="L104" s="691">
        <f>1.0072/L101</f>
        <v>0.287771428571429</v>
      </c>
      <c r="M104" s="691">
        <f>1.0072/M101</f>
        <v>0.287771428571429</v>
      </c>
      <c r="N104" s="691">
        <f>1.0072/N101</f>
        <v>0.287771428571429</v>
      </c>
    </row>
    <row r="105" spans="1:14">
      <c r="A105" s="692"/>
      <c r="B105" s="690">
        <v>4</v>
      </c>
      <c r="C105" s="691">
        <f>0.9622/C101</f>
        <v>0.274914285714286</v>
      </c>
      <c r="D105" s="691">
        <f>0.9622/D101</f>
        <v>0.274914285714286</v>
      </c>
      <c r="E105" s="691">
        <f>0.8656/E101</f>
        <v>0.247314285714286</v>
      </c>
      <c r="F105" s="691">
        <f>0.8656/F101</f>
        <v>0.247314285714286</v>
      </c>
      <c r="G105" s="691">
        <f>0.8656/G101</f>
        <v>0.247314285714286</v>
      </c>
      <c r="H105" s="691">
        <f>0.8656/H101</f>
        <v>0.247314285714286</v>
      </c>
      <c r="I105" s="691">
        <f>0.8656/I101</f>
        <v>0.247314285714286</v>
      </c>
      <c r="J105" s="691">
        <f>0.7525/J101</f>
        <v>0.215</v>
      </c>
      <c r="K105" s="691">
        <f>0.7525/K101</f>
        <v>0.215</v>
      </c>
      <c r="L105" s="691">
        <f>0.7525/L101</f>
        <v>0.215</v>
      </c>
      <c r="M105" s="691">
        <f>0.7525/M101</f>
        <v>0.215</v>
      </c>
      <c r="N105" s="691">
        <f>0.7525/N101</f>
        <v>0.215</v>
      </c>
    </row>
    <row r="106" spans="1:14">
      <c r="A106" s="692"/>
      <c r="B106" s="690">
        <v>5</v>
      </c>
      <c r="C106" s="691">
        <f>0.8417/C101</f>
        <v>0.240485714285714</v>
      </c>
      <c r="D106" s="691">
        <f>0.8417/D101</f>
        <v>0.240485714285714</v>
      </c>
      <c r="E106" s="691">
        <f>0.7371/E101</f>
        <v>0.2106</v>
      </c>
      <c r="F106" s="691">
        <f>0.7371/F101</f>
        <v>0.2106</v>
      </c>
      <c r="G106" s="691">
        <f>0.7371/G101</f>
        <v>0.2106</v>
      </c>
      <c r="H106" s="691">
        <f>0.7371/H101</f>
        <v>0.2106</v>
      </c>
      <c r="I106" s="691">
        <f>0.7371/I101</f>
        <v>0.2106</v>
      </c>
      <c r="J106" s="691">
        <f>0.5659/J101</f>
        <v>0.161685714285714</v>
      </c>
      <c r="K106" s="691">
        <f>0.5659/K101</f>
        <v>0.161685714285714</v>
      </c>
      <c r="L106" s="691">
        <f>0.5659/L101</f>
        <v>0.161685714285714</v>
      </c>
      <c r="M106" s="691">
        <f>0.5659/M101</f>
        <v>0.161685714285714</v>
      </c>
      <c r="N106" s="691">
        <f>0.5659/N101</f>
        <v>0.161685714285714</v>
      </c>
    </row>
    <row r="107" spans="1:14">
      <c r="A107" s="692"/>
      <c r="B107" s="690">
        <v>6</v>
      </c>
      <c r="C107" s="691">
        <f>0.7608/C101</f>
        <v>0.217371428571429</v>
      </c>
      <c r="D107" s="691">
        <f>0.7608/D101</f>
        <v>0.217371428571429</v>
      </c>
      <c r="E107" s="691">
        <f>0.6482/E101</f>
        <v>0.1852</v>
      </c>
      <c r="F107" s="691">
        <f>0.6482/F101</f>
        <v>0.1852</v>
      </c>
      <c r="G107" s="691">
        <f>0.6482/G101</f>
        <v>0.1852</v>
      </c>
      <c r="H107" s="691">
        <f>0.6482/H101</f>
        <v>0.1852</v>
      </c>
      <c r="I107" s="691">
        <f>0.6482/I101</f>
        <v>0.1852</v>
      </c>
      <c r="J107" s="691">
        <f>0.4525/J101</f>
        <v>0.129285714285714</v>
      </c>
      <c r="K107" s="691">
        <f>0.4525/K101</f>
        <v>0.129285714285714</v>
      </c>
      <c r="L107" s="691">
        <f>0.4525/L101</f>
        <v>0.129285714285714</v>
      </c>
      <c r="M107" s="691">
        <f>0.4525/M101</f>
        <v>0.129285714285714</v>
      </c>
      <c r="N107" s="691">
        <f>0.4525/N101</f>
        <v>0.129285714285714</v>
      </c>
    </row>
    <row r="108" spans="1:14">
      <c r="A108" s="692"/>
      <c r="B108" s="698" t="s">
        <v>1477</v>
      </c>
      <c r="C108" s="693">
        <f>C99</f>
        <v>29</v>
      </c>
      <c r="D108" s="693">
        <f t="shared" ref="D108:N108" si="32">D99</f>
        <v>29</v>
      </c>
      <c r="E108" s="693">
        <f t="shared" si="32"/>
        <v>29</v>
      </c>
      <c r="F108" s="693">
        <f t="shared" si="32"/>
        <v>29</v>
      </c>
      <c r="G108" s="693">
        <f t="shared" si="32"/>
        <v>29</v>
      </c>
      <c r="H108" s="693">
        <f t="shared" si="32"/>
        <v>29</v>
      </c>
      <c r="I108" s="693">
        <f t="shared" si="32"/>
        <v>29</v>
      </c>
      <c r="J108" s="693">
        <f t="shared" si="32"/>
        <v>29</v>
      </c>
      <c r="K108" s="693">
        <f t="shared" si="32"/>
        <v>29</v>
      </c>
      <c r="L108" s="693">
        <f t="shared" si="32"/>
        <v>29</v>
      </c>
      <c r="M108" s="693">
        <f t="shared" si="32"/>
        <v>29</v>
      </c>
      <c r="N108" s="693">
        <f t="shared" si="32"/>
        <v>29</v>
      </c>
    </row>
    <row r="109" spans="1:14">
      <c r="A109" s="694"/>
      <c r="B109" s="458"/>
      <c r="C109" s="695">
        <f>(-0.163*(C108^2)-0.59*C108+7617)*(10^(-4))/C101</f>
        <v>0.213223057142857</v>
      </c>
      <c r="D109" s="695">
        <f>(-0.163*(D108^2)-0.59*D108+7617)*(10^(-4))/D101</f>
        <v>0.213223057142857</v>
      </c>
      <c r="E109" s="695">
        <f>(-0.161*(E108^2)-7.509*E108+6533)*(10^(-4))/E101</f>
        <v>0.1765668</v>
      </c>
      <c r="F109" s="695">
        <f>(-0.161*(F108^2)-7.509*F108+6533)*(10^(-4))/F101</f>
        <v>0.1765668</v>
      </c>
      <c r="G109" s="695">
        <f>(-0.161*(G108^2)-7.509*G108+6533)*(10^(-4))/G101</f>
        <v>0.1765668</v>
      </c>
      <c r="H109" s="695">
        <f>(-0.161*(H108^2)-7.509*H108+6533)*(10^(-4))/H101</f>
        <v>0.1765668</v>
      </c>
      <c r="I109" s="695">
        <f>(-0.161*(I108^2)-7.509*I108+6533)*(10^(-4))/I101</f>
        <v>0.1765668</v>
      </c>
      <c r="J109" s="695">
        <f>(-0.214*(J108^2)-21.991*J108+4665)*(10^(-4))/J101</f>
        <v>0.109922485714286</v>
      </c>
      <c r="K109" s="695">
        <f>(-0.214*(K108^2)-21.991*K108+4665)*(10^(-4))/K101</f>
        <v>0.109922485714286</v>
      </c>
      <c r="L109" s="695">
        <f>(-0.214*(L108^2)-21.991*L108+4665)*(10^(-4))/L101</f>
        <v>0.109922485714286</v>
      </c>
      <c r="M109" s="695">
        <f>(-0.214*(M108^2)-21.991*M108+4665)*(10^(-4))/M101</f>
        <v>0.109922485714286</v>
      </c>
      <c r="N109" s="695">
        <f>(-0.214*(N108^2)-21.991*N108+4665)*(10^(-4))/N101</f>
        <v>0.109922485714286</v>
      </c>
    </row>
    <row r="110" spans="1:14">
      <c r="A110" s="699" t="s">
        <v>1598</v>
      </c>
      <c r="B110" s="699"/>
      <c r="C110" s="699"/>
      <c r="D110" s="699"/>
      <c r="E110" s="699"/>
      <c r="F110" s="699"/>
      <c r="G110" s="699"/>
      <c r="H110" s="699"/>
      <c r="I110" s="699"/>
      <c r="J110" s="699"/>
      <c r="K110" s="699"/>
      <c r="L110" s="699"/>
      <c r="M110" s="699"/>
      <c r="N110" s="699"/>
    </row>
    <row r="112" ht="13.5"/>
    <row r="113" ht="25.5" spans="1:13">
      <c r="A113" s="700" t="s">
        <v>1599</v>
      </c>
      <c r="B113" s="701">
        <f>G3</f>
        <v>3.5</v>
      </c>
      <c r="C113" s="702" t="s">
        <v>1600</v>
      </c>
      <c r="D113" s="703">
        <f>SUMPRODUCT((A115:A118=F113)*(B114:M114=H113)*B115:M118)</f>
        <v>0.907</v>
      </c>
      <c r="E113" s="704" t="s">
        <v>1488</v>
      </c>
      <c r="F113" s="705" t="str">
        <f>E2</f>
        <v>办公</v>
      </c>
      <c r="G113" s="704" t="s">
        <v>1431</v>
      </c>
      <c r="H113" s="705" t="str">
        <f>G2</f>
        <v>一级</v>
      </c>
      <c r="I113" s="704"/>
      <c r="J113" s="716"/>
      <c r="K113" s="716"/>
      <c r="L113" s="716"/>
      <c r="M113" s="716"/>
    </row>
    <row r="114" spans="1:13">
      <c r="A114" s="706"/>
      <c r="B114" s="707" t="s">
        <v>1601</v>
      </c>
      <c r="C114" s="707" t="s">
        <v>1602</v>
      </c>
      <c r="D114" s="707" t="s">
        <v>1603</v>
      </c>
      <c r="E114" s="708" t="s">
        <v>1604</v>
      </c>
      <c r="F114" s="708" t="s">
        <v>1605</v>
      </c>
      <c r="G114" s="708" t="s">
        <v>1606</v>
      </c>
      <c r="H114" s="709" t="s">
        <v>1607</v>
      </c>
      <c r="I114" s="709" t="s">
        <v>1608</v>
      </c>
      <c r="J114" s="717" t="s">
        <v>1609</v>
      </c>
      <c r="K114" s="717" t="s">
        <v>1610</v>
      </c>
      <c r="L114" s="717" t="s">
        <v>1611</v>
      </c>
      <c r="M114" s="718" t="s">
        <v>1612</v>
      </c>
    </row>
    <row r="115" spans="1:13">
      <c r="A115" s="710" t="s">
        <v>1489</v>
      </c>
      <c r="B115" s="711">
        <f>ROUND(0.9335-0.0094*B113,4)</f>
        <v>0.9006</v>
      </c>
      <c r="C115" s="711">
        <f>B115</f>
        <v>0.9006</v>
      </c>
      <c r="D115" s="711">
        <f>ROUND(0.8331-0.0109*B113,4)</f>
        <v>0.795</v>
      </c>
      <c r="E115" s="711">
        <f>D115</f>
        <v>0.795</v>
      </c>
      <c r="F115" s="711">
        <f>E115</f>
        <v>0.795</v>
      </c>
      <c r="G115" s="711">
        <f>F115</f>
        <v>0.795</v>
      </c>
      <c r="H115" s="711">
        <f>G115</f>
        <v>0.795</v>
      </c>
      <c r="I115" s="711">
        <f>ROUND(0.689-0.0155*B113,4)</f>
        <v>0.6348</v>
      </c>
      <c r="J115" s="711">
        <f t="shared" ref="J115:M118" si="33">I115</f>
        <v>0.6348</v>
      </c>
      <c r="K115" s="711">
        <f t="shared" si="33"/>
        <v>0.6348</v>
      </c>
      <c r="L115" s="711">
        <f t="shared" si="33"/>
        <v>0.6348</v>
      </c>
      <c r="M115" s="719">
        <f t="shared" si="33"/>
        <v>0.6348</v>
      </c>
    </row>
    <row r="116" spans="1:13">
      <c r="A116" s="710" t="s">
        <v>1490</v>
      </c>
      <c r="B116" s="711">
        <f>ROUND(0.949-0.012*B113,4)</f>
        <v>0.907</v>
      </c>
      <c r="C116" s="711">
        <f>B116</f>
        <v>0.907</v>
      </c>
      <c r="D116" s="711">
        <f>ROUND(0.8567-0.013*B113,4)</f>
        <v>0.8112</v>
      </c>
      <c r="E116" s="711">
        <f t="shared" ref="E116:H117" si="34">D116</f>
        <v>0.8112</v>
      </c>
      <c r="F116" s="711">
        <f t="shared" si="34"/>
        <v>0.8112</v>
      </c>
      <c r="G116" s="711">
        <f t="shared" si="34"/>
        <v>0.8112</v>
      </c>
      <c r="H116" s="711">
        <f t="shared" si="34"/>
        <v>0.8112</v>
      </c>
      <c r="I116" s="711">
        <f>ROUND(0.7694-0.014*B113,4)</f>
        <v>0.7204</v>
      </c>
      <c r="J116" s="711">
        <f t="shared" si="33"/>
        <v>0.7204</v>
      </c>
      <c r="K116" s="711">
        <f t="shared" si="33"/>
        <v>0.7204</v>
      </c>
      <c r="L116" s="711">
        <f t="shared" si="33"/>
        <v>0.7204</v>
      </c>
      <c r="M116" s="719">
        <f t="shared" si="33"/>
        <v>0.7204</v>
      </c>
    </row>
    <row r="117" spans="1:13">
      <c r="A117" s="710" t="s">
        <v>1491</v>
      </c>
      <c r="B117" s="711">
        <f>ROUND(0.8808-0.006*B113,4)</f>
        <v>0.8598</v>
      </c>
      <c r="C117" s="711">
        <f>B117</f>
        <v>0.8598</v>
      </c>
      <c r="D117" s="711">
        <f>ROUND(0.8748-0.008*B113,4)</f>
        <v>0.8468</v>
      </c>
      <c r="E117" s="711">
        <f t="shared" si="34"/>
        <v>0.8468</v>
      </c>
      <c r="F117" s="711">
        <f t="shared" si="34"/>
        <v>0.8468</v>
      </c>
      <c r="G117" s="711">
        <f t="shared" si="34"/>
        <v>0.8468</v>
      </c>
      <c r="H117" s="711">
        <f t="shared" si="34"/>
        <v>0.8468</v>
      </c>
      <c r="I117" s="711">
        <f>ROUND(0.7412-0.0095*B113,4)</f>
        <v>0.708</v>
      </c>
      <c r="J117" s="711">
        <f t="shared" si="33"/>
        <v>0.708</v>
      </c>
      <c r="K117" s="711">
        <f t="shared" si="33"/>
        <v>0.708</v>
      </c>
      <c r="L117" s="711">
        <f t="shared" si="33"/>
        <v>0.708</v>
      </c>
      <c r="M117" s="719">
        <f t="shared" si="33"/>
        <v>0.708</v>
      </c>
    </row>
    <row r="118" ht="13.5" spans="1:13">
      <c r="A118" s="712" t="s">
        <v>1492</v>
      </c>
      <c r="B118" s="713">
        <f>ROUND(0.7275-0.01*B113,4)</f>
        <v>0.6925</v>
      </c>
      <c r="C118" s="713">
        <f>B118</f>
        <v>0.6925</v>
      </c>
      <c r="D118" s="713">
        <f>ROUND(0.7043-0.012*B113,4)</f>
        <v>0.6623</v>
      </c>
      <c r="E118" s="713">
        <f>D118</f>
        <v>0.6623</v>
      </c>
      <c r="F118" s="713">
        <f>E118</f>
        <v>0.6623</v>
      </c>
      <c r="G118" s="713">
        <f>ROUND(0.6299-0.0122*B113,4)</f>
        <v>0.5872</v>
      </c>
      <c r="H118" s="713">
        <f>G118</f>
        <v>0.5872</v>
      </c>
      <c r="I118" s="713">
        <f>ROUND(0.5667-0.0136*B113,4)</f>
        <v>0.5191</v>
      </c>
      <c r="J118" s="713">
        <f t="shared" si="33"/>
        <v>0.5191</v>
      </c>
      <c r="K118" s="713">
        <f t="shared" si="33"/>
        <v>0.5191</v>
      </c>
      <c r="L118" s="713">
        <f t="shared" si="33"/>
        <v>0.5191</v>
      </c>
      <c r="M118" s="720">
        <f t="shared" si="33"/>
        <v>0.5191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333333333333" style="280" customWidth="1"/>
    <col min="2" max="2" width="10.25" style="281" customWidth="1"/>
  </cols>
  <sheetData>
    <row r="1" spans="1:2">
      <c r="A1" s="282" t="s">
        <v>1613</v>
      </c>
      <c r="B1" s="282"/>
    </row>
    <row r="2" ht="14.25" spans="1:2">
      <c r="A2" s="282"/>
      <c r="B2" s="282"/>
    </row>
    <row r="3" ht="14.25" spans="1:6">
      <c r="A3" s="282"/>
      <c r="B3" s="282"/>
      <c r="C3" s="373" t="s">
        <v>1614</v>
      </c>
      <c r="D3" s="373" t="s">
        <v>353</v>
      </c>
      <c r="E3" s="373" t="s">
        <v>1615</v>
      </c>
      <c r="F3" s="373" t="s">
        <v>1616</v>
      </c>
    </row>
    <row r="4" ht="14.25" spans="1:6">
      <c r="A4" s="374" t="s">
        <v>1617</v>
      </c>
      <c r="B4" s="375" t="s">
        <v>1618</v>
      </c>
      <c r="C4" s="373"/>
      <c r="D4" s="373"/>
      <c r="E4" s="373"/>
      <c r="F4" s="373"/>
    </row>
    <row r="5" ht="14.25" spans="1:6">
      <c r="A5" s="291" t="s">
        <v>355</v>
      </c>
      <c r="B5" s="292" t="s">
        <v>1619</v>
      </c>
      <c r="C5" s="376">
        <v>0.089</v>
      </c>
      <c r="D5" s="376">
        <v>0.074</v>
      </c>
      <c r="E5" s="376">
        <v>0.075</v>
      </c>
      <c r="F5" s="377">
        <v>0.1</v>
      </c>
    </row>
    <row r="6" ht="14.25" spans="1:6">
      <c r="A6" s="291" t="s">
        <v>355</v>
      </c>
      <c r="B6" s="296" t="s">
        <v>1620</v>
      </c>
      <c r="C6" s="378">
        <v>0.1</v>
      </c>
      <c r="D6" s="378">
        <v>0.091</v>
      </c>
      <c r="E6" s="378">
        <v>0.091</v>
      </c>
      <c r="F6" s="379">
        <v>0.1</v>
      </c>
    </row>
    <row r="7" ht="14.25" spans="1:6">
      <c r="A7" s="291" t="s">
        <v>355</v>
      </c>
      <c r="B7" s="300" t="s">
        <v>1621</v>
      </c>
      <c r="C7" s="378">
        <v>0.086</v>
      </c>
      <c r="D7" s="378">
        <v>0.096</v>
      </c>
      <c r="E7" s="378">
        <v>0.076</v>
      </c>
      <c r="F7" s="379">
        <v>0.1</v>
      </c>
    </row>
    <row r="8" ht="14.25" spans="1:6">
      <c r="A8" s="291" t="s">
        <v>355</v>
      </c>
      <c r="B8" s="296" t="s">
        <v>358</v>
      </c>
      <c r="C8" s="378">
        <v>0.099</v>
      </c>
      <c r="D8" s="378">
        <v>0.098</v>
      </c>
      <c r="E8" s="378">
        <v>0.098</v>
      </c>
      <c r="F8" s="379">
        <v>0.1</v>
      </c>
    </row>
    <row r="9" ht="14.25" spans="1:6">
      <c r="A9" s="309" t="s">
        <v>355</v>
      </c>
      <c r="B9" s="301" t="s">
        <v>1622</v>
      </c>
      <c r="C9" s="380">
        <v>0.05</v>
      </c>
      <c r="D9" s="381"/>
      <c r="E9" s="381"/>
      <c r="F9" s="382"/>
    </row>
    <row r="10" ht="14.25" spans="1:6">
      <c r="A10" s="291" t="s">
        <v>1623</v>
      </c>
      <c r="B10" s="292" t="s">
        <v>1624</v>
      </c>
      <c r="C10" s="376">
        <v>0.089</v>
      </c>
      <c r="D10" s="376">
        <v>0.073</v>
      </c>
      <c r="E10" s="376">
        <v>0.082</v>
      </c>
      <c r="F10" s="377">
        <v>0.1</v>
      </c>
    </row>
    <row r="11" ht="14.25" spans="1:6">
      <c r="A11" s="291" t="s">
        <v>1623</v>
      </c>
      <c r="B11" s="300" t="s">
        <v>1625</v>
      </c>
      <c r="C11" s="378">
        <v>0.089</v>
      </c>
      <c r="D11" s="378">
        <v>0.073</v>
      </c>
      <c r="E11" s="378">
        <v>0.082</v>
      </c>
      <c r="F11" s="379">
        <v>0.1</v>
      </c>
    </row>
    <row r="12" ht="14.25" spans="1:6">
      <c r="A12" s="291" t="s">
        <v>1623</v>
      </c>
      <c r="B12" s="300" t="s">
        <v>1626</v>
      </c>
      <c r="C12" s="378">
        <v>0.061</v>
      </c>
      <c r="D12" s="378">
        <v>0.071</v>
      </c>
      <c r="E12" s="378">
        <v>0.096</v>
      </c>
      <c r="F12" s="379">
        <v>0.1</v>
      </c>
    </row>
    <row r="13" ht="14.25" spans="1:6">
      <c r="A13" s="291" t="s">
        <v>1623</v>
      </c>
      <c r="B13" s="300" t="s">
        <v>1627</v>
      </c>
      <c r="C13" s="378">
        <v>0.069</v>
      </c>
      <c r="D13" s="378">
        <v>0.065</v>
      </c>
      <c r="E13" s="378">
        <v>0.066</v>
      </c>
      <c r="F13" s="379">
        <v>0.1</v>
      </c>
    </row>
    <row r="14" ht="14.25" spans="1:6">
      <c r="A14" s="291" t="s">
        <v>1623</v>
      </c>
      <c r="B14" s="300" t="s">
        <v>1628</v>
      </c>
      <c r="C14" s="378">
        <v>0.1</v>
      </c>
      <c r="D14" s="378">
        <v>0.065</v>
      </c>
      <c r="E14" s="378">
        <v>0.07</v>
      </c>
      <c r="F14" s="379">
        <v>0.1</v>
      </c>
    </row>
    <row r="15" ht="14.25" spans="1:6">
      <c r="A15" s="291" t="s">
        <v>1623</v>
      </c>
      <c r="B15" s="300" t="s">
        <v>1629</v>
      </c>
      <c r="C15" s="378">
        <v>0.098</v>
      </c>
      <c r="D15" s="378">
        <v>0.089</v>
      </c>
      <c r="E15" s="378">
        <v>0.089</v>
      </c>
      <c r="F15" s="379">
        <v>0.1</v>
      </c>
    </row>
    <row r="16" ht="14.25" spans="1:6">
      <c r="A16" s="291" t="s">
        <v>1623</v>
      </c>
      <c r="B16" s="300" t="s">
        <v>1630</v>
      </c>
      <c r="C16" s="378">
        <v>0.07</v>
      </c>
      <c r="D16" s="378">
        <v>0.093</v>
      </c>
      <c r="E16" s="378">
        <v>0.096</v>
      </c>
      <c r="F16" s="379">
        <v>0.1</v>
      </c>
    </row>
    <row r="17" ht="14.25" spans="1:6">
      <c r="A17" s="291" t="s">
        <v>1623</v>
      </c>
      <c r="B17" s="300" t="s">
        <v>1631</v>
      </c>
      <c r="C17" s="378">
        <v>0.095</v>
      </c>
      <c r="D17" s="378">
        <v>0.1</v>
      </c>
      <c r="E17" s="378">
        <v>0.1</v>
      </c>
      <c r="F17" s="383"/>
    </row>
    <row r="18" ht="14.25" spans="1:6">
      <c r="A18" s="291" t="s">
        <v>1623</v>
      </c>
      <c r="B18" s="300" t="s">
        <v>1632</v>
      </c>
      <c r="C18" s="378">
        <v>0.074</v>
      </c>
      <c r="D18" s="378">
        <v>0.099</v>
      </c>
      <c r="E18" s="378">
        <v>0.1</v>
      </c>
      <c r="F18" s="383"/>
    </row>
    <row r="19" ht="14.25" spans="1:6">
      <c r="A19" s="291" t="s">
        <v>1623</v>
      </c>
      <c r="B19" s="300" t="s">
        <v>1633</v>
      </c>
      <c r="C19" s="378">
        <v>0.099</v>
      </c>
      <c r="D19" s="378">
        <v>0.076</v>
      </c>
      <c r="E19" s="378">
        <v>0.087</v>
      </c>
      <c r="F19" s="383"/>
    </row>
    <row r="20" ht="14.25" spans="1:6">
      <c r="A20" s="291" t="s">
        <v>1623</v>
      </c>
      <c r="B20" s="300" t="s">
        <v>1634</v>
      </c>
      <c r="C20" s="378">
        <v>0.098</v>
      </c>
      <c r="D20" s="378">
        <v>0.085</v>
      </c>
      <c r="E20" s="378">
        <v>0.082</v>
      </c>
      <c r="F20" s="383"/>
    </row>
    <row r="21" ht="14.25" spans="1:6">
      <c r="A21" s="291" t="s">
        <v>1623</v>
      </c>
      <c r="B21" s="300" t="s">
        <v>1635</v>
      </c>
      <c r="C21" s="378">
        <v>0.066</v>
      </c>
      <c r="D21" s="378">
        <v>0.064</v>
      </c>
      <c r="E21" s="378">
        <v>0.065</v>
      </c>
      <c r="F21" s="383"/>
    </row>
    <row r="22" ht="14.25" spans="1:6">
      <c r="A22" s="291" t="s">
        <v>1623</v>
      </c>
      <c r="B22" s="300" t="s">
        <v>1636</v>
      </c>
      <c r="C22" s="378">
        <v>0.08</v>
      </c>
      <c r="D22" s="378">
        <v>0.098</v>
      </c>
      <c r="E22" s="378">
        <v>0.098</v>
      </c>
      <c r="F22" s="383"/>
    </row>
    <row r="23" ht="14.25" spans="1:6">
      <c r="A23" s="291" t="s">
        <v>1623</v>
      </c>
      <c r="B23" s="300" t="s">
        <v>1637</v>
      </c>
      <c r="C23" s="378">
        <v>0.099</v>
      </c>
      <c r="D23" s="378">
        <v>0.098</v>
      </c>
      <c r="E23" s="378">
        <v>0.091</v>
      </c>
      <c r="F23" s="383"/>
    </row>
    <row r="24" ht="14.25" spans="1:6">
      <c r="A24" s="291" t="s">
        <v>1623</v>
      </c>
      <c r="B24" s="300" t="s">
        <v>1638</v>
      </c>
      <c r="C24" s="378">
        <v>0.089</v>
      </c>
      <c r="D24" s="378">
        <v>0.097</v>
      </c>
      <c r="E24" s="378">
        <v>0.07</v>
      </c>
      <c r="F24" s="383"/>
    </row>
    <row r="25" ht="14.25" spans="1:6">
      <c r="A25" s="291" t="s">
        <v>1623</v>
      </c>
      <c r="B25" s="300" t="s">
        <v>1639</v>
      </c>
      <c r="C25" s="378">
        <v>0.089</v>
      </c>
      <c r="D25" s="378">
        <v>0.1</v>
      </c>
      <c r="E25" s="378">
        <v>0.081</v>
      </c>
      <c r="F25" s="383"/>
    </row>
    <row r="26" ht="14.25" spans="1:6">
      <c r="A26" s="291" t="s">
        <v>1623</v>
      </c>
      <c r="B26" s="300" t="s">
        <v>1640</v>
      </c>
      <c r="C26" s="384"/>
      <c r="D26" s="378">
        <v>0.096</v>
      </c>
      <c r="E26" s="378">
        <v>0.093</v>
      </c>
      <c r="F26" s="383"/>
    </row>
    <row r="27" ht="14.25" spans="1:6">
      <c r="A27" s="291" t="s">
        <v>1623</v>
      </c>
      <c r="B27" s="300" t="s">
        <v>1641</v>
      </c>
      <c r="C27" s="384"/>
      <c r="D27" s="378">
        <v>0.076</v>
      </c>
      <c r="E27" s="378">
        <v>0.092</v>
      </c>
      <c r="F27" s="383"/>
    </row>
    <row r="28" ht="14.25" spans="1:6">
      <c r="A28" s="309" t="s">
        <v>1623</v>
      </c>
      <c r="B28" s="301" t="s">
        <v>1642</v>
      </c>
      <c r="C28" s="381"/>
      <c r="D28" s="380">
        <v>0.076</v>
      </c>
      <c r="E28" s="380">
        <v>0.092</v>
      </c>
      <c r="F28" s="382"/>
    </row>
    <row r="29" ht="14.25" spans="1:6">
      <c r="A29" s="291" t="s">
        <v>1643</v>
      </c>
      <c r="B29" s="292" t="s">
        <v>1644</v>
      </c>
      <c r="C29" s="376">
        <v>0.064</v>
      </c>
      <c r="D29" s="376">
        <v>0.065</v>
      </c>
      <c r="E29" s="376">
        <v>0.069</v>
      </c>
      <c r="F29" s="377">
        <v>0.1</v>
      </c>
    </row>
    <row r="30" ht="14.25" spans="1:6">
      <c r="A30" s="291" t="s">
        <v>1643</v>
      </c>
      <c r="B30" s="300" t="s">
        <v>1645</v>
      </c>
      <c r="C30" s="378">
        <v>0.064</v>
      </c>
      <c r="D30" s="378">
        <v>0.099</v>
      </c>
      <c r="E30" s="378">
        <v>0.1</v>
      </c>
      <c r="F30" s="379">
        <v>0.1</v>
      </c>
    </row>
    <row r="31" ht="14.25" spans="1:6">
      <c r="A31" s="291" t="s">
        <v>1643</v>
      </c>
      <c r="B31" s="300" t="s">
        <v>1646</v>
      </c>
      <c r="C31" s="378">
        <v>0.1</v>
      </c>
      <c r="D31" s="378">
        <v>0.095</v>
      </c>
      <c r="E31" s="378">
        <v>0.089</v>
      </c>
      <c r="F31" s="379">
        <v>0.1</v>
      </c>
    </row>
    <row r="32" ht="14.25" spans="1:6">
      <c r="A32" s="291" t="s">
        <v>1643</v>
      </c>
      <c r="B32" s="300" t="s">
        <v>1647</v>
      </c>
      <c r="C32" s="378">
        <v>0.05</v>
      </c>
      <c r="D32" s="378">
        <v>0.05</v>
      </c>
      <c r="E32" s="378">
        <v>0.088</v>
      </c>
      <c r="F32" s="379">
        <v>0.1</v>
      </c>
    </row>
    <row r="33" ht="14.25" spans="1:6">
      <c r="A33" s="291" t="s">
        <v>1643</v>
      </c>
      <c r="B33" s="300" t="s">
        <v>1648</v>
      </c>
      <c r="C33" s="378">
        <v>0.075</v>
      </c>
      <c r="D33" s="378">
        <v>0.094</v>
      </c>
      <c r="E33" s="378">
        <v>0.097</v>
      </c>
      <c r="F33" s="379">
        <v>0.1</v>
      </c>
    </row>
    <row r="34" ht="14.25" spans="1:6">
      <c r="A34" s="291" t="s">
        <v>1643</v>
      </c>
      <c r="B34" s="300" t="s">
        <v>1649</v>
      </c>
      <c r="C34" s="378">
        <v>0.098</v>
      </c>
      <c r="D34" s="378">
        <v>0.086</v>
      </c>
      <c r="E34" s="378">
        <v>0.097</v>
      </c>
      <c r="F34" s="379">
        <v>0.1</v>
      </c>
    </row>
    <row r="35" ht="14.25" spans="1:6">
      <c r="A35" s="291" t="s">
        <v>1643</v>
      </c>
      <c r="B35" s="300" t="s">
        <v>1650</v>
      </c>
      <c r="C35" s="378">
        <v>0.059</v>
      </c>
      <c r="D35" s="378">
        <v>0.065</v>
      </c>
      <c r="E35" s="378">
        <v>0.07</v>
      </c>
      <c r="F35" s="379">
        <v>0.1</v>
      </c>
    </row>
    <row r="36" ht="14.25" spans="1:6">
      <c r="A36" s="291" t="s">
        <v>1643</v>
      </c>
      <c r="B36" s="300" t="s">
        <v>1651</v>
      </c>
      <c r="C36" s="378">
        <v>0.063</v>
      </c>
      <c r="D36" s="378">
        <v>0.1</v>
      </c>
      <c r="E36" s="378">
        <v>0.1</v>
      </c>
      <c r="F36" s="379">
        <v>0.1</v>
      </c>
    </row>
    <row r="37" ht="14.25" spans="1:6">
      <c r="A37" s="291" t="s">
        <v>1643</v>
      </c>
      <c r="B37" s="300" t="s">
        <v>1652</v>
      </c>
      <c r="C37" s="378">
        <v>0.074</v>
      </c>
      <c r="D37" s="378">
        <v>0.1</v>
      </c>
      <c r="E37" s="378">
        <v>0.1</v>
      </c>
      <c r="F37" s="379">
        <v>0.1</v>
      </c>
    </row>
    <row r="38" ht="14.25" spans="1:6">
      <c r="A38" s="291" t="s">
        <v>1643</v>
      </c>
      <c r="B38" s="300" t="s">
        <v>1653</v>
      </c>
      <c r="C38" s="378">
        <v>0.1</v>
      </c>
      <c r="D38" s="378">
        <v>0.096</v>
      </c>
      <c r="E38" s="378">
        <v>0.096</v>
      </c>
      <c r="F38" s="383"/>
    </row>
    <row r="39" ht="14.25" spans="1:6">
      <c r="A39" s="291" t="s">
        <v>1643</v>
      </c>
      <c r="B39" s="300" t="s">
        <v>1654</v>
      </c>
      <c r="C39" s="378">
        <v>0.1</v>
      </c>
      <c r="D39" s="378">
        <v>0.096</v>
      </c>
      <c r="E39" s="378">
        <v>0.096</v>
      </c>
      <c r="F39" s="383"/>
    </row>
    <row r="40" ht="14.25" spans="1:6">
      <c r="A40" s="291" t="s">
        <v>1643</v>
      </c>
      <c r="B40" s="300" t="s">
        <v>1655</v>
      </c>
      <c r="C40" s="378">
        <v>0.096</v>
      </c>
      <c r="D40" s="378">
        <v>0.1</v>
      </c>
      <c r="E40" s="378">
        <v>0.099</v>
      </c>
      <c r="F40" s="383"/>
    </row>
    <row r="41" ht="14.25" spans="1:6">
      <c r="A41" s="291" t="s">
        <v>1643</v>
      </c>
      <c r="B41" s="300" t="s">
        <v>1656</v>
      </c>
      <c r="C41" s="378">
        <v>0.096</v>
      </c>
      <c r="D41" s="378">
        <v>0.098</v>
      </c>
      <c r="E41" s="378">
        <v>0.098</v>
      </c>
      <c r="F41" s="383"/>
    </row>
    <row r="42" ht="14.25" spans="1:6">
      <c r="A42" s="291" t="s">
        <v>1643</v>
      </c>
      <c r="B42" s="300" t="s">
        <v>1657</v>
      </c>
      <c r="C42" s="378">
        <v>0.1</v>
      </c>
      <c r="D42" s="378">
        <v>0.088</v>
      </c>
      <c r="E42" s="378">
        <v>0.1</v>
      </c>
      <c r="F42" s="383"/>
    </row>
    <row r="43" ht="14.25" spans="1:6">
      <c r="A43" s="291" t="s">
        <v>1643</v>
      </c>
      <c r="B43" s="300" t="s">
        <v>1658</v>
      </c>
      <c r="C43" s="378">
        <v>0.098</v>
      </c>
      <c r="D43" s="378">
        <v>0.097</v>
      </c>
      <c r="E43" s="378">
        <v>0.096</v>
      </c>
      <c r="F43" s="383"/>
    </row>
    <row r="44" ht="14.25" spans="1:6">
      <c r="A44" s="291" t="s">
        <v>1643</v>
      </c>
      <c r="B44" s="300" t="s">
        <v>1659</v>
      </c>
      <c r="C44" s="378">
        <v>0.086</v>
      </c>
      <c r="D44" s="378">
        <v>0.079</v>
      </c>
      <c r="E44" s="378">
        <v>0.071</v>
      </c>
      <c r="F44" s="383"/>
    </row>
    <row r="45" ht="14.25" spans="1:6">
      <c r="A45" s="291" t="s">
        <v>1643</v>
      </c>
      <c r="B45" s="300" t="s">
        <v>1660</v>
      </c>
      <c r="C45" s="378">
        <v>0.098</v>
      </c>
      <c r="D45" s="378">
        <v>0.096</v>
      </c>
      <c r="E45" s="378">
        <v>0.096</v>
      </c>
      <c r="F45" s="383"/>
    </row>
    <row r="46" ht="14.25" spans="1:6">
      <c r="A46" s="291" t="s">
        <v>1643</v>
      </c>
      <c r="B46" s="300" t="s">
        <v>1661</v>
      </c>
      <c r="C46" s="378">
        <v>0.086</v>
      </c>
      <c r="D46" s="378">
        <v>0.098</v>
      </c>
      <c r="E46" s="378">
        <v>0.088</v>
      </c>
      <c r="F46" s="383"/>
    </row>
    <row r="47" ht="14.25" spans="1:6">
      <c r="A47" s="291" t="s">
        <v>1643</v>
      </c>
      <c r="B47" s="300" t="s">
        <v>1662</v>
      </c>
      <c r="C47" s="378">
        <v>0.096</v>
      </c>
      <c r="D47" s="384"/>
      <c r="E47" s="378">
        <v>0.069</v>
      </c>
      <c r="F47" s="383"/>
    </row>
    <row r="48" ht="14.25" spans="1:6">
      <c r="A48" s="309" t="s">
        <v>1643</v>
      </c>
      <c r="B48" s="301" t="s">
        <v>1663</v>
      </c>
      <c r="C48" s="380">
        <v>0.098</v>
      </c>
      <c r="D48" s="381"/>
      <c r="E48" s="380">
        <v>0.095</v>
      </c>
      <c r="F48" s="382"/>
    </row>
    <row r="49" ht="14.25" spans="1:6">
      <c r="A49" s="291" t="s">
        <v>1664</v>
      </c>
      <c r="B49" s="292" t="s">
        <v>1665</v>
      </c>
      <c r="C49" s="376">
        <v>0.097</v>
      </c>
      <c r="D49" s="376">
        <v>0.095</v>
      </c>
      <c r="E49" s="376">
        <v>0.097</v>
      </c>
      <c r="F49" s="377">
        <v>0.1</v>
      </c>
    </row>
    <row r="50" ht="14.25" spans="1:6">
      <c r="A50" s="291" t="s">
        <v>1664</v>
      </c>
      <c r="B50" s="296" t="s">
        <v>1666</v>
      </c>
      <c r="C50" s="378">
        <v>0.075</v>
      </c>
      <c r="D50" s="378">
        <v>0.095</v>
      </c>
      <c r="E50" s="378">
        <v>0.1</v>
      </c>
      <c r="F50" s="379">
        <v>0.1</v>
      </c>
    </row>
    <row r="51" ht="14.25" spans="1:6">
      <c r="A51" s="291" t="s">
        <v>1664</v>
      </c>
      <c r="B51" s="296" t="s">
        <v>1667</v>
      </c>
      <c r="C51" s="378">
        <v>0.098</v>
      </c>
      <c r="D51" s="378">
        <v>0.089</v>
      </c>
      <c r="E51" s="378">
        <v>0.1</v>
      </c>
      <c r="F51" s="379">
        <v>0.1</v>
      </c>
    </row>
    <row r="52" ht="14.25" spans="1:6">
      <c r="A52" s="291" t="s">
        <v>1664</v>
      </c>
      <c r="B52" s="296" t="s">
        <v>1668</v>
      </c>
      <c r="C52" s="378">
        <v>0.098</v>
      </c>
      <c r="D52" s="378">
        <v>0.097</v>
      </c>
      <c r="E52" s="378">
        <v>0.081</v>
      </c>
      <c r="F52" s="379">
        <v>0.1</v>
      </c>
    </row>
    <row r="53" ht="14.25" spans="1:6">
      <c r="A53" s="291" t="s">
        <v>1664</v>
      </c>
      <c r="B53" s="296" t="s">
        <v>1669</v>
      </c>
      <c r="C53" s="378">
        <v>0.097</v>
      </c>
      <c r="D53" s="378">
        <v>0.076</v>
      </c>
      <c r="E53" s="378">
        <v>0.071</v>
      </c>
      <c r="F53" s="379">
        <v>0.1</v>
      </c>
    </row>
    <row r="54" ht="14.25" spans="1:6">
      <c r="A54" s="291" t="s">
        <v>1664</v>
      </c>
      <c r="B54" s="296" t="s">
        <v>1670</v>
      </c>
      <c r="C54" s="378">
        <v>0.076</v>
      </c>
      <c r="D54" s="378">
        <v>0.1</v>
      </c>
      <c r="E54" s="378">
        <v>0.099</v>
      </c>
      <c r="F54" s="379">
        <v>0.1</v>
      </c>
    </row>
    <row r="55" ht="14.25" spans="1:6">
      <c r="A55" s="291" t="s">
        <v>1664</v>
      </c>
      <c r="B55" s="296" t="s">
        <v>1671</v>
      </c>
      <c r="C55" s="378">
        <v>0.1</v>
      </c>
      <c r="D55" s="378">
        <v>0.1</v>
      </c>
      <c r="E55" s="378">
        <v>0.096</v>
      </c>
      <c r="F55" s="379">
        <v>0.1</v>
      </c>
    </row>
    <row r="56" ht="14.25" spans="1:6">
      <c r="A56" s="291" t="s">
        <v>1664</v>
      </c>
      <c r="B56" s="296" t="s">
        <v>1672</v>
      </c>
      <c r="C56" s="378">
        <v>0.1</v>
      </c>
      <c r="D56" s="378">
        <v>0.096</v>
      </c>
      <c r="E56" s="378">
        <v>0.052</v>
      </c>
      <c r="F56" s="379">
        <v>0.1</v>
      </c>
    </row>
    <row r="57" ht="14.25" spans="1:6">
      <c r="A57" s="291" t="s">
        <v>1664</v>
      </c>
      <c r="B57" s="296" t="s">
        <v>1673</v>
      </c>
      <c r="C57" s="378">
        <v>0.097</v>
      </c>
      <c r="D57" s="378">
        <v>0.096</v>
      </c>
      <c r="E57" s="378">
        <v>0.096</v>
      </c>
      <c r="F57" s="379">
        <v>0.1</v>
      </c>
    </row>
    <row r="58" ht="14.25" spans="1:6">
      <c r="A58" s="291" t="s">
        <v>1664</v>
      </c>
      <c r="B58" s="296" t="s">
        <v>1674</v>
      </c>
      <c r="C58" s="378">
        <v>0.096</v>
      </c>
      <c r="D58" s="378">
        <v>0.099</v>
      </c>
      <c r="E58" s="378">
        <v>0.096</v>
      </c>
      <c r="F58" s="379">
        <v>0.1</v>
      </c>
    </row>
    <row r="59" ht="14.25" spans="1:6">
      <c r="A59" s="291" t="s">
        <v>1664</v>
      </c>
      <c r="B59" s="296" t="s">
        <v>1675</v>
      </c>
      <c r="C59" s="378">
        <v>0.072</v>
      </c>
      <c r="D59" s="378">
        <v>0.096</v>
      </c>
      <c r="E59" s="378">
        <v>0.071</v>
      </c>
      <c r="F59" s="379">
        <v>0.1</v>
      </c>
    </row>
    <row r="60" ht="14.25" spans="1:6">
      <c r="A60" s="291" t="s">
        <v>1664</v>
      </c>
      <c r="B60" s="296" t="s">
        <v>1676</v>
      </c>
      <c r="C60" s="378">
        <v>0.096</v>
      </c>
      <c r="D60" s="378">
        <v>0.089</v>
      </c>
      <c r="E60" s="378">
        <v>0.096</v>
      </c>
      <c r="F60" s="379">
        <v>0.1</v>
      </c>
    </row>
    <row r="61" ht="14.25" spans="1:6">
      <c r="A61" s="291" t="s">
        <v>1664</v>
      </c>
      <c r="B61" s="296" t="s">
        <v>1677</v>
      </c>
      <c r="C61" s="378">
        <v>0.089</v>
      </c>
      <c r="D61" s="378">
        <v>0.098</v>
      </c>
      <c r="E61" s="378">
        <v>0.088</v>
      </c>
      <c r="F61" s="383"/>
    </row>
    <row r="62" ht="14.25" spans="1:6">
      <c r="A62" s="291" t="s">
        <v>1664</v>
      </c>
      <c r="B62" s="296" t="s">
        <v>1678</v>
      </c>
      <c r="C62" s="378">
        <v>0.098</v>
      </c>
      <c r="D62" s="378">
        <v>0.093</v>
      </c>
      <c r="E62" s="378">
        <v>0.097</v>
      </c>
      <c r="F62" s="383"/>
    </row>
    <row r="63" ht="14.25" spans="1:6">
      <c r="A63" s="291" t="s">
        <v>1664</v>
      </c>
      <c r="B63" s="296" t="s">
        <v>1679</v>
      </c>
      <c r="C63" s="378">
        <v>0.096</v>
      </c>
      <c r="D63" s="378">
        <v>0.098</v>
      </c>
      <c r="E63" s="378">
        <v>0.09</v>
      </c>
      <c r="F63" s="383"/>
    </row>
    <row r="64" ht="14.25" spans="1:6">
      <c r="A64" s="291" t="s">
        <v>1664</v>
      </c>
      <c r="B64" s="296" t="s">
        <v>1680</v>
      </c>
      <c r="C64" s="378">
        <v>0.099</v>
      </c>
      <c r="D64" s="378">
        <v>0.097</v>
      </c>
      <c r="E64" s="378">
        <v>0.099</v>
      </c>
      <c r="F64" s="383"/>
    </row>
    <row r="65" ht="14.25" spans="1:6">
      <c r="A65" s="291" t="s">
        <v>1664</v>
      </c>
      <c r="B65" s="296" t="s">
        <v>1681</v>
      </c>
      <c r="C65" s="378">
        <v>0.098</v>
      </c>
      <c r="D65" s="378">
        <v>0.096</v>
      </c>
      <c r="E65" s="378">
        <v>0.096</v>
      </c>
      <c r="F65" s="383"/>
    </row>
    <row r="66" ht="14.25" spans="1:6">
      <c r="A66" s="291" t="s">
        <v>1664</v>
      </c>
      <c r="B66" s="296" t="s">
        <v>1682</v>
      </c>
      <c r="C66" s="378">
        <v>0.096</v>
      </c>
      <c r="D66" s="378">
        <v>0.092</v>
      </c>
      <c r="E66" s="378">
        <v>0.096</v>
      </c>
      <c r="F66" s="383"/>
    </row>
    <row r="67" ht="14.25" spans="1:6">
      <c r="A67" s="291" t="s">
        <v>1664</v>
      </c>
      <c r="B67" s="296" t="s">
        <v>1683</v>
      </c>
      <c r="C67" s="378">
        <v>0.094</v>
      </c>
      <c r="D67" s="378">
        <v>0.1</v>
      </c>
      <c r="E67" s="378">
        <v>0.088</v>
      </c>
      <c r="F67" s="383"/>
    </row>
    <row r="68" ht="14.25" spans="1:6">
      <c r="A68" s="291" t="s">
        <v>1664</v>
      </c>
      <c r="B68" s="296" t="s">
        <v>1684</v>
      </c>
      <c r="C68" s="378">
        <v>0.1</v>
      </c>
      <c r="D68" s="378">
        <v>0.088</v>
      </c>
      <c r="E68" s="378">
        <v>0.097</v>
      </c>
      <c r="F68" s="383"/>
    </row>
    <row r="69" ht="14.25" spans="1:6">
      <c r="A69" s="291" t="s">
        <v>1664</v>
      </c>
      <c r="B69" s="296" t="s">
        <v>1685</v>
      </c>
      <c r="C69" s="378">
        <v>0.064</v>
      </c>
      <c r="D69" s="378">
        <v>0.1</v>
      </c>
      <c r="E69" s="378">
        <v>0.1</v>
      </c>
      <c r="F69" s="383"/>
    </row>
    <row r="70" ht="14.25" spans="1:6">
      <c r="A70" s="291" t="s">
        <v>1664</v>
      </c>
      <c r="B70" s="296" t="s">
        <v>1686</v>
      </c>
      <c r="C70" s="378">
        <v>0.091</v>
      </c>
      <c r="D70" s="384"/>
      <c r="E70" s="384"/>
      <c r="F70" s="383"/>
    </row>
    <row r="71" ht="14.25" spans="1:6">
      <c r="A71" s="291" t="s">
        <v>1664</v>
      </c>
      <c r="B71" s="296" t="s">
        <v>1687</v>
      </c>
      <c r="C71" s="378">
        <v>0.1</v>
      </c>
      <c r="D71" s="384"/>
      <c r="E71" s="384"/>
      <c r="F71" s="383"/>
    </row>
    <row r="72" ht="14.25" spans="1:6">
      <c r="A72" s="291" t="s">
        <v>1664</v>
      </c>
      <c r="B72" s="296" t="s">
        <v>1688</v>
      </c>
      <c r="C72" s="384"/>
      <c r="D72" s="384"/>
      <c r="E72" s="384"/>
      <c r="F72" s="379">
        <v>0.05</v>
      </c>
    </row>
    <row r="73" ht="14.25" spans="1:6">
      <c r="A73" s="291" t="s">
        <v>1664</v>
      </c>
      <c r="B73" s="296" t="s">
        <v>1689</v>
      </c>
      <c r="C73" s="384"/>
      <c r="D73" s="384"/>
      <c r="E73" s="384"/>
      <c r="F73" s="379">
        <v>0.05</v>
      </c>
    </row>
    <row r="74" ht="14.25" spans="1:6">
      <c r="A74" s="291" t="s">
        <v>1664</v>
      </c>
      <c r="B74" s="296" t="s">
        <v>1690</v>
      </c>
      <c r="C74" s="384"/>
      <c r="D74" s="384"/>
      <c r="E74" s="384"/>
      <c r="F74" s="379">
        <v>0.05</v>
      </c>
    </row>
    <row r="75" ht="14.25" spans="1:6">
      <c r="A75" s="309" t="s">
        <v>1664</v>
      </c>
      <c r="B75" s="302" t="s">
        <v>1691</v>
      </c>
      <c r="C75" s="381"/>
      <c r="D75" s="381"/>
      <c r="E75" s="381"/>
      <c r="F75" s="385">
        <v>0.05</v>
      </c>
    </row>
    <row r="76" ht="14.25" spans="1:6">
      <c r="A76" s="291" t="s">
        <v>1692</v>
      </c>
      <c r="B76" s="292" t="s">
        <v>1693</v>
      </c>
      <c r="C76" s="376">
        <v>0.1</v>
      </c>
      <c r="D76" s="376">
        <v>0.1</v>
      </c>
      <c r="E76" s="376">
        <v>0.1</v>
      </c>
      <c r="F76" s="377">
        <v>0.1</v>
      </c>
    </row>
    <row r="77" ht="14.25" spans="1:6">
      <c r="A77" s="291" t="s">
        <v>1692</v>
      </c>
      <c r="B77" s="296" t="s">
        <v>1694</v>
      </c>
      <c r="C77" s="378">
        <v>0.088</v>
      </c>
      <c r="D77" s="378">
        <v>0.087</v>
      </c>
      <c r="E77" s="378">
        <v>0.079</v>
      </c>
      <c r="F77" s="379">
        <v>0.1</v>
      </c>
    </row>
    <row r="78" ht="14.25" spans="1:6">
      <c r="A78" s="291" t="s">
        <v>1692</v>
      </c>
      <c r="B78" s="296" t="s">
        <v>1695</v>
      </c>
      <c r="C78" s="378">
        <v>0.087</v>
      </c>
      <c r="D78" s="378">
        <v>0.084</v>
      </c>
      <c r="E78" s="378">
        <v>0.096</v>
      </c>
      <c r="F78" s="379">
        <v>0.1</v>
      </c>
    </row>
    <row r="79" ht="14.25" spans="1:6">
      <c r="A79" s="291" t="s">
        <v>1692</v>
      </c>
      <c r="B79" s="296" t="s">
        <v>1696</v>
      </c>
      <c r="C79" s="378">
        <v>0.098</v>
      </c>
      <c r="D79" s="378">
        <v>0.098</v>
      </c>
      <c r="E79" s="378">
        <v>0.091</v>
      </c>
      <c r="F79" s="379">
        <v>0.1</v>
      </c>
    </row>
    <row r="80" ht="14.25" spans="1:6">
      <c r="A80" s="291" t="s">
        <v>1692</v>
      </c>
      <c r="B80" s="296" t="s">
        <v>1697</v>
      </c>
      <c r="C80" s="378">
        <v>0.096</v>
      </c>
      <c r="D80" s="378">
        <v>0.096</v>
      </c>
      <c r="E80" s="378">
        <v>0.1</v>
      </c>
      <c r="F80" s="379">
        <v>0.1</v>
      </c>
    </row>
    <row r="81" ht="14.25" spans="1:6">
      <c r="A81" s="291" t="s">
        <v>1692</v>
      </c>
      <c r="B81" s="296" t="s">
        <v>1698</v>
      </c>
      <c r="C81" s="378">
        <v>0.099</v>
      </c>
      <c r="D81" s="378">
        <v>0.099</v>
      </c>
      <c r="E81" s="378">
        <v>0.098</v>
      </c>
      <c r="F81" s="379">
        <v>0.1</v>
      </c>
    </row>
    <row r="82" ht="14.25" spans="1:6">
      <c r="A82" s="291" t="s">
        <v>1692</v>
      </c>
      <c r="B82" s="296" t="s">
        <v>1699</v>
      </c>
      <c r="C82" s="378">
        <v>0.099</v>
      </c>
      <c r="D82" s="378">
        <v>0.099</v>
      </c>
      <c r="E82" s="378">
        <v>0.097</v>
      </c>
      <c r="F82" s="379">
        <v>0.1</v>
      </c>
    </row>
    <row r="83" ht="14.25" spans="1:6">
      <c r="A83" s="291" t="s">
        <v>1692</v>
      </c>
      <c r="B83" s="296" t="s">
        <v>1700</v>
      </c>
      <c r="C83" s="378">
        <v>0.098</v>
      </c>
      <c r="D83" s="378">
        <v>0.098</v>
      </c>
      <c r="E83" s="378">
        <v>0.098</v>
      </c>
      <c r="F83" s="379">
        <v>0.1</v>
      </c>
    </row>
    <row r="84" ht="14.25" spans="1:6">
      <c r="A84" s="291" t="s">
        <v>1692</v>
      </c>
      <c r="B84" s="296" t="s">
        <v>1701</v>
      </c>
      <c r="C84" s="378">
        <v>0.099</v>
      </c>
      <c r="D84" s="378">
        <v>0.099</v>
      </c>
      <c r="E84" s="378">
        <v>0.099</v>
      </c>
      <c r="F84" s="379">
        <v>0.1</v>
      </c>
    </row>
    <row r="85" ht="14.25" spans="1:6">
      <c r="A85" s="291" t="s">
        <v>1692</v>
      </c>
      <c r="B85" s="296" t="s">
        <v>1702</v>
      </c>
      <c r="C85" s="378">
        <v>0.099</v>
      </c>
      <c r="D85" s="378">
        <v>0.099</v>
      </c>
      <c r="E85" s="378">
        <v>0.099</v>
      </c>
      <c r="F85" s="379">
        <v>0.1</v>
      </c>
    </row>
    <row r="86" ht="14.25" spans="1:6">
      <c r="A86" s="291" t="s">
        <v>1692</v>
      </c>
      <c r="B86" s="296" t="s">
        <v>1703</v>
      </c>
      <c r="C86" s="378">
        <v>0.1</v>
      </c>
      <c r="D86" s="378">
        <v>0.1</v>
      </c>
      <c r="E86" s="378">
        <v>0.077</v>
      </c>
      <c r="F86" s="379">
        <v>0.1</v>
      </c>
    </row>
    <row r="87" ht="14.25" spans="1:6">
      <c r="A87" s="291" t="s">
        <v>1692</v>
      </c>
      <c r="B87" s="296" t="s">
        <v>1704</v>
      </c>
      <c r="C87" s="378">
        <v>0.1</v>
      </c>
      <c r="D87" s="378">
        <v>0.1</v>
      </c>
      <c r="E87" s="378">
        <v>0.098</v>
      </c>
      <c r="F87" s="383"/>
    </row>
    <row r="88" ht="14.25" spans="1:6">
      <c r="A88" s="291" t="s">
        <v>1692</v>
      </c>
      <c r="B88" s="296" t="s">
        <v>1705</v>
      </c>
      <c r="C88" s="378">
        <v>0.092</v>
      </c>
      <c r="D88" s="378">
        <v>0.085</v>
      </c>
      <c r="E88" s="378">
        <v>0.096</v>
      </c>
      <c r="F88" s="383"/>
    </row>
    <row r="89" ht="14.25" spans="1:6">
      <c r="A89" s="291" t="s">
        <v>1692</v>
      </c>
      <c r="B89" s="296" t="s">
        <v>1706</v>
      </c>
      <c r="C89" s="378">
        <v>0.1</v>
      </c>
      <c r="D89" s="378">
        <v>0.1</v>
      </c>
      <c r="E89" s="378">
        <v>0.097</v>
      </c>
      <c r="F89" s="383"/>
    </row>
    <row r="90" ht="14.25" spans="1:6">
      <c r="A90" s="291" t="s">
        <v>1692</v>
      </c>
      <c r="B90" s="296" t="s">
        <v>1707</v>
      </c>
      <c r="C90" s="378">
        <v>0.098</v>
      </c>
      <c r="D90" s="378">
        <v>0.098</v>
      </c>
      <c r="E90" s="378">
        <v>0.088</v>
      </c>
      <c r="F90" s="383"/>
    </row>
    <row r="91" ht="14.25" spans="1:6">
      <c r="A91" s="291" t="s">
        <v>1692</v>
      </c>
      <c r="B91" s="296" t="s">
        <v>1708</v>
      </c>
      <c r="C91" s="378">
        <v>0.099</v>
      </c>
      <c r="D91" s="378">
        <v>0.099</v>
      </c>
      <c r="E91" s="378">
        <v>0.091</v>
      </c>
      <c r="F91" s="383"/>
    </row>
    <row r="92" ht="14.25" spans="1:6">
      <c r="A92" s="291" t="s">
        <v>1692</v>
      </c>
      <c r="B92" s="296" t="s">
        <v>1709</v>
      </c>
      <c r="C92" s="378">
        <v>0.096</v>
      </c>
      <c r="D92" s="378">
        <v>0.096</v>
      </c>
      <c r="E92" s="378">
        <v>0.073</v>
      </c>
      <c r="F92" s="383"/>
    </row>
    <row r="93" ht="14.25" spans="1:6">
      <c r="A93" s="291" t="s">
        <v>1692</v>
      </c>
      <c r="B93" s="296" t="s">
        <v>1710</v>
      </c>
      <c r="C93" s="378">
        <v>0.096</v>
      </c>
      <c r="D93" s="378">
        <v>0.096</v>
      </c>
      <c r="E93" s="378">
        <v>0.099</v>
      </c>
      <c r="F93" s="383"/>
    </row>
    <row r="94" ht="14.25" spans="1:6">
      <c r="A94" s="291" t="s">
        <v>1692</v>
      </c>
      <c r="B94" s="296" t="s">
        <v>1711</v>
      </c>
      <c r="C94" s="378">
        <v>0.076</v>
      </c>
      <c r="D94" s="378">
        <v>0.074</v>
      </c>
      <c r="E94" s="378">
        <v>0.097</v>
      </c>
      <c r="F94" s="383"/>
    </row>
    <row r="95" ht="14.25" spans="1:6">
      <c r="A95" s="291" t="s">
        <v>1692</v>
      </c>
      <c r="B95" s="296" t="s">
        <v>1712</v>
      </c>
      <c r="C95" s="378">
        <v>0.099</v>
      </c>
      <c r="D95" s="378">
        <v>0.094</v>
      </c>
      <c r="E95" s="378">
        <v>0.096</v>
      </c>
      <c r="F95" s="383"/>
    </row>
    <row r="96" ht="14.25" spans="1:6">
      <c r="A96" s="291" t="s">
        <v>1692</v>
      </c>
      <c r="B96" s="296" t="s">
        <v>1713</v>
      </c>
      <c r="C96" s="378">
        <v>0.099</v>
      </c>
      <c r="D96" s="378">
        <v>0.099</v>
      </c>
      <c r="E96" s="378">
        <v>0.099</v>
      </c>
      <c r="F96" s="383"/>
    </row>
    <row r="97" ht="14.25" spans="1:6">
      <c r="A97" s="291" t="s">
        <v>1692</v>
      </c>
      <c r="B97" s="296" t="s">
        <v>1714</v>
      </c>
      <c r="C97" s="378">
        <v>0.098</v>
      </c>
      <c r="D97" s="378">
        <v>0.098</v>
      </c>
      <c r="E97" s="378">
        <v>0.097</v>
      </c>
      <c r="F97" s="383"/>
    </row>
    <row r="98" ht="14.25" spans="1:6">
      <c r="A98" s="291" t="s">
        <v>1692</v>
      </c>
      <c r="B98" s="296" t="s">
        <v>1715</v>
      </c>
      <c r="C98" s="378">
        <v>0.1</v>
      </c>
      <c r="D98" s="378">
        <v>0.1</v>
      </c>
      <c r="E98" s="378">
        <v>0.097</v>
      </c>
      <c r="F98" s="383"/>
    </row>
    <row r="99" ht="14.25" spans="1:6">
      <c r="A99" s="291" t="s">
        <v>1692</v>
      </c>
      <c r="B99" s="296" t="s">
        <v>1716</v>
      </c>
      <c r="C99" s="378">
        <v>0.1</v>
      </c>
      <c r="D99" s="378">
        <v>0.1</v>
      </c>
      <c r="E99" s="384"/>
      <c r="F99" s="383"/>
    </row>
    <row r="100" ht="14.25" spans="1:6">
      <c r="A100" s="291" t="s">
        <v>1692</v>
      </c>
      <c r="B100" s="296" t="s">
        <v>1717</v>
      </c>
      <c r="C100" s="378">
        <v>0.09</v>
      </c>
      <c r="D100" s="378">
        <v>0.089</v>
      </c>
      <c r="E100" s="384"/>
      <c r="F100" s="383"/>
    </row>
    <row r="101" ht="14.25" spans="1:6">
      <c r="A101" s="291" t="s">
        <v>1692</v>
      </c>
      <c r="B101" s="296" t="s">
        <v>1718</v>
      </c>
      <c r="C101" s="378">
        <v>0.098</v>
      </c>
      <c r="D101" s="378">
        <v>0.097</v>
      </c>
      <c r="E101" s="384"/>
      <c r="F101" s="383"/>
    </row>
    <row r="102" ht="14.25" spans="1:6">
      <c r="A102" s="291" t="s">
        <v>1692</v>
      </c>
      <c r="B102" s="296" t="s">
        <v>1719</v>
      </c>
      <c r="C102" s="384"/>
      <c r="D102" s="384"/>
      <c r="E102" s="384"/>
      <c r="F102" s="379">
        <v>0.05</v>
      </c>
    </row>
    <row r="103" ht="24.75" spans="1:6">
      <c r="A103" s="291" t="s">
        <v>1692</v>
      </c>
      <c r="B103" s="296" t="s">
        <v>1720</v>
      </c>
      <c r="C103" s="384"/>
      <c r="D103" s="384"/>
      <c r="E103" s="384"/>
      <c r="F103" s="379">
        <v>0.05</v>
      </c>
    </row>
    <row r="104" ht="14.25" spans="1:6">
      <c r="A104" s="291" t="s">
        <v>1692</v>
      </c>
      <c r="B104" s="296" t="s">
        <v>1721</v>
      </c>
      <c r="C104" s="384"/>
      <c r="D104" s="384"/>
      <c r="E104" s="384"/>
      <c r="F104" s="379">
        <v>0.05</v>
      </c>
    </row>
    <row r="105" ht="14.25" spans="1:6">
      <c r="A105" s="291" t="s">
        <v>1692</v>
      </c>
      <c r="B105" s="296" t="s">
        <v>1722</v>
      </c>
      <c r="C105" s="384"/>
      <c r="D105" s="384"/>
      <c r="E105" s="384"/>
      <c r="F105" s="379">
        <v>0.05</v>
      </c>
    </row>
    <row r="106" ht="14.25" spans="1:6">
      <c r="A106" s="291" t="s">
        <v>1692</v>
      </c>
      <c r="B106" s="296" t="s">
        <v>1723</v>
      </c>
      <c r="C106" s="384"/>
      <c r="D106" s="384"/>
      <c r="E106" s="384"/>
      <c r="F106" s="379">
        <v>0.05</v>
      </c>
    </row>
    <row r="107" ht="24.75" spans="1:6">
      <c r="A107" s="291" t="s">
        <v>1692</v>
      </c>
      <c r="B107" s="296" t="s">
        <v>1724</v>
      </c>
      <c r="C107" s="384"/>
      <c r="D107" s="384"/>
      <c r="E107" s="384"/>
      <c r="F107" s="379">
        <v>0.05</v>
      </c>
    </row>
    <row r="108" ht="24.75" spans="1:6">
      <c r="A108" s="291" t="s">
        <v>1692</v>
      </c>
      <c r="B108" s="296" t="s">
        <v>1725</v>
      </c>
      <c r="C108" s="384"/>
      <c r="D108" s="384"/>
      <c r="E108" s="384"/>
      <c r="F108" s="379">
        <v>0.05</v>
      </c>
    </row>
    <row r="109" ht="24.75" spans="1:6">
      <c r="A109" s="309" t="s">
        <v>1692</v>
      </c>
      <c r="B109" s="302" t="s">
        <v>1726</v>
      </c>
      <c r="C109" s="381"/>
      <c r="D109" s="381"/>
      <c r="E109" s="381"/>
      <c r="F109" s="385">
        <v>0.05</v>
      </c>
    </row>
    <row r="110" ht="14.25" spans="1:6">
      <c r="A110" s="291" t="s">
        <v>1727</v>
      </c>
      <c r="B110" s="292" t="s">
        <v>1728</v>
      </c>
      <c r="C110" s="376">
        <v>0.129</v>
      </c>
      <c r="D110" s="376">
        <v>0.129</v>
      </c>
      <c r="E110" s="376">
        <v>0.126</v>
      </c>
      <c r="F110" s="377">
        <v>0.13</v>
      </c>
    </row>
    <row r="111" ht="14.25" spans="1:6">
      <c r="A111" s="291" t="s">
        <v>1727</v>
      </c>
      <c r="B111" s="296" t="s">
        <v>1729</v>
      </c>
      <c r="C111" s="378">
        <v>0.11</v>
      </c>
      <c r="D111" s="378">
        <v>0.11</v>
      </c>
      <c r="E111" s="378">
        <v>0.099</v>
      </c>
      <c r="F111" s="379">
        <v>0.128</v>
      </c>
    </row>
    <row r="112" ht="14.25" spans="1:6">
      <c r="A112" s="291" t="s">
        <v>1727</v>
      </c>
      <c r="B112" s="296" t="s">
        <v>1730</v>
      </c>
      <c r="C112" s="378">
        <v>0.125</v>
      </c>
      <c r="D112" s="378">
        <v>0.125</v>
      </c>
      <c r="E112" s="378">
        <v>0.12</v>
      </c>
      <c r="F112" s="379">
        <v>0.125</v>
      </c>
    </row>
    <row r="113" ht="14.25" spans="1:6">
      <c r="A113" s="291" t="s">
        <v>1727</v>
      </c>
      <c r="B113" s="296" t="s">
        <v>1731</v>
      </c>
      <c r="C113" s="378">
        <v>0.13</v>
      </c>
      <c r="D113" s="378">
        <v>0.13</v>
      </c>
      <c r="E113" s="378">
        <v>0.13</v>
      </c>
      <c r="F113" s="379">
        <v>0.13</v>
      </c>
    </row>
    <row r="114" ht="14.25" spans="1:6">
      <c r="A114" s="291" t="s">
        <v>1727</v>
      </c>
      <c r="B114" s="296" t="s">
        <v>1732</v>
      </c>
      <c r="C114" s="378">
        <v>0.123</v>
      </c>
      <c r="D114" s="378">
        <v>0.123</v>
      </c>
      <c r="E114" s="378">
        <v>0.12</v>
      </c>
      <c r="F114" s="379">
        <v>0.13</v>
      </c>
    </row>
    <row r="115" ht="14.25" spans="1:6">
      <c r="A115" s="291" t="s">
        <v>1727</v>
      </c>
      <c r="B115" s="296" t="s">
        <v>1733</v>
      </c>
      <c r="C115" s="378">
        <v>0.125</v>
      </c>
      <c r="D115" s="378">
        <v>0.125</v>
      </c>
      <c r="E115" s="378">
        <v>0.117</v>
      </c>
      <c r="F115" s="379">
        <v>0.13</v>
      </c>
    </row>
    <row r="116" ht="14.25" spans="1:6">
      <c r="A116" s="291" t="s">
        <v>1727</v>
      </c>
      <c r="B116" s="296" t="s">
        <v>1734</v>
      </c>
      <c r="C116" s="378">
        <v>0.117</v>
      </c>
      <c r="D116" s="378">
        <v>0.117</v>
      </c>
      <c r="E116" s="378">
        <v>0.088</v>
      </c>
      <c r="F116" s="379">
        <v>0.13</v>
      </c>
    </row>
    <row r="117" ht="14.25" spans="1:6">
      <c r="A117" s="291" t="s">
        <v>1727</v>
      </c>
      <c r="B117" s="296" t="s">
        <v>1735</v>
      </c>
      <c r="C117" s="378">
        <v>0.13</v>
      </c>
      <c r="D117" s="378">
        <v>0.13</v>
      </c>
      <c r="E117" s="378">
        <v>0.129</v>
      </c>
      <c r="F117" s="379">
        <v>0.13</v>
      </c>
    </row>
    <row r="118" ht="14.25" spans="1:6">
      <c r="A118" s="291" t="s">
        <v>1727</v>
      </c>
      <c r="B118" s="296" t="s">
        <v>1736</v>
      </c>
      <c r="C118" s="378">
        <v>0.123</v>
      </c>
      <c r="D118" s="378">
        <v>0.123</v>
      </c>
      <c r="E118" s="378">
        <v>0.116</v>
      </c>
      <c r="F118" s="379">
        <v>0.13</v>
      </c>
    </row>
    <row r="119" ht="14.25" spans="1:6">
      <c r="A119" s="291" t="s">
        <v>1727</v>
      </c>
      <c r="B119" s="296" t="s">
        <v>1737</v>
      </c>
      <c r="C119" s="378">
        <v>0.127</v>
      </c>
      <c r="D119" s="378">
        <v>0.127</v>
      </c>
      <c r="E119" s="378">
        <v>0.124</v>
      </c>
      <c r="F119" s="379">
        <v>0.13</v>
      </c>
    </row>
    <row r="120" ht="14.25" spans="1:6">
      <c r="A120" s="291" t="s">
        <v>1727</v>
      </c>
      <c r="B120" s="296" t="s">
        <v>1738</v>
      </c>
      <c r="C120" s="378">
        <v>0.125</v>
      </c>
      <c r="D120" s="378">
        <v>0.125</v>
      </c>
      <c r="E120" s="378">
        <v>0.122</v>
      </c>
      <c r="F120" s="379">
        <v>0.13</v>
      </c>
    </row>
    <row r="121" ht="14.25" spans="1:6">
      <c r="A121" s="291" t="s">
        <v>1727</v>
      </c>
      <c r="B121" s="296" t="s">
        <v>1739</v>
      </c>
      <c r="C121" s="378">
        <v>0.13</v>
      </c>
      <c r="D121" s="378">
        <v>0.13</v>
      </c>
      <c r="E121" s="378">
        <v>0.13</v>
      </c>
      <c r="F121" s="379">
        <v>0.13</v>
      </c>
    </row>
    <row r="122" ht="14.25" spans="1:6">
      <c r="A122" s="291" t="s">
        <v>1727</v>
      </c>
      <c r="B122" s="296" t="s">
        <v>1740</v>
      </c>
      <c r="C122" s="378">
        <v>0.13</v>
      </c>
      <c r="D122" s="378">
        <v>0.13</v>
      </c>
      <c r="E122" s="378">
        <v>0.125</v>
      </c>
      <c r="F122" s="379">
        <v>0.13</v>
      </c>
    </row>
    <row r="123" ht="14.25" spans="1:6">
      <c r="A123" s="291" t="s">
        <v>1727</v>
      </c>
      <c r="B123" s="296" t="s">
        <v>1741</v>
      </c>
      <c r="C123" s="378">
        <v>0.129</v>
      </c>
      <c r="D123" s="378">
        <v>0.129</v>
      </c>
      <c r="E123" s="378">
        <v>0.123</v>
      </c>
      <c r="F123" s="379">
        <v>0.13</v>
      </c>
    </row>
    <row r="124" ht="14.25" spans="1:6">
      <c r="A124" s="291" t="s">
        <v>1727</v>
      </c>
      <c r="B124" s="296" t="s">
        <v>1742</v>
      </c>
      <c r="C124" s="378">
        <v>0.102</v>
      </c>
      <c r="D124" s="378">
        <v>0.101</v>
      </c>
      <c r="E124" s="378">
        <v>0.08</v>
      </c>
      <c r="F124" s="383"/>
    </row>
    <row r="125" ht="14.25" spans="1:6">
      <c r="A125" s="291" t="s">
        <v>1727</v>
      </c>
      <c r="B125" s="296" t="s">
        <v>1743</v>
      </c>
      <c r="C125" s="378">
        <v>0.13</v>
      </c>
      <c r="D125" s="378">
        <v>0.13</v>
      </c>
      <c r="E125" s="378">
        <v>0.129</v>
      </c>
      <c r="F125" s="383"/>
    </row>
    <row r="126" ht="14.25" spans="1:6">
      <c r="A126" s="291" t="s">
        <v>1727</v>
      </c>
      <c r="B126" s="296" t="s">
        <v>1744</v>
      </c>
      <c r="C126" s="378">
        <v>0.13</v>
      </c>
      <c r="D126" s="378">
        <v>0.13</v>
      </c>
      <c r="E126" s="378">
        <v>0.126</v>
      </c>
      <c r="F126" s="383"/>
    </row>
    <row r="127" ht="14.25" spans="1:6">
      <c r="A127" s="291" t="s">
        <v>1727</v>
      </c>
      <c r="B127" s="296" t="s">
        <v>1745</v>
      </c>
      <c r="C127" s="378">
        <v>0.125</v>
      </c>
      <c r="D127" s="378">
        <v>0.125</v>
      </c>
      <c r="E127" s="378">
        <v>0.121</v>
      </c>
      <c r="F127" s="383"/>
    </row>
    <row r="128" ht="14.25" spans="1:6">
      <c r="A128" s="291" t="s">
        <v>1727</v>
      </c>
      <c r="B128" s="296" t="s">
        <v>1746</v>
      </c>
      <c r="C128" s="378">
        <v>0.12</v>
      </c>
      <c r="D128" s="378">
        <v>0.12</v>
      </c>
      <c r="E128" s="378">
        <v>0.105</v>
      </c>
      <c r="F128" s="383"/>
    </row>
    <row r="129" ht="14.25" spans="1:6">
      <c r="A129" s="291" t="s">
        <v>1727</v>
      </c>
      <c r="B129" s="296" t="s">
        <v>1747</v>
      </c>
      <c r="C129" s="378">
        <v>0.13</v>
      </c>
      <c r="D129" s="378">
        <v>0.13</v>
      </c>
      <c r="E129" s="378">
        <v>0.126</v>
      </c>
      <c r="F129" s="383"/>
    </row>
    <row r="130" ht="14.25" spans="1:6">
      <c r="A130" s="291" t="s">
        <v>1727</v>
      </c>
      <c r="B130" s="296" t="s">
        <v>1748</v>
      </c>
      <c r="C130" s="378">
        <v>0.125</v>
      </c>
      <c r="D130" s="378">
        <v>0.125</v>
      </c>
      <c r="E130" s="378">
        <v>0.122</v>
      </c>
      <c r="F130" s="383"/>
    </row>
    <row r="131" ht="14.25" spans="1:6">
      <c r="A131" s="291" t="s">
        <v>1727</v>
      </c>
      <c r="B131" s="296" t="s">
        <v>1749</v>
      </c>
      <c r="C131" s="378">
        <v>0.127</v>
      </c>
      <c r="D131" s="378">
        <v>0.126</v>
      </c>
      <c r="E131" s="378">
        <v>0.123</v>
      </c>
      <c r="F131" s="383"/>
    </row>
    <row r="132" ht="14.25" spans="1:6">
      <c r="A132" s="291" t="s">
        <v>1727</v>
      </c>
      <c r="B132" s="296" t="s">
        <v>1750</v>
      </c>
      <c r="C132" s="378">
        <v>0.091</v>
      </c>
      <c r="D132" s="378">
        <v>0.121</v>
      </c>
      <c r="E132" s="378">
        <v>0.099</v>
      </c>
      <c r="F132" s="383"/>
    </row>
    <row r="133" ht="14.25" spans="1:6">
      <c r="A133" s="291" t="s">
        <v>1727</v>
      </c>
      <c r="B133" s="296" t="s">
        <v>1751</v>
      </c>
      <c r="C133" s="378">
        <v>0.13</v>
      </c>
      <c r="D133" s="378">
        <v>0.13</v>
      </c>
      <c r="E133" s="378">
        <v>0.129</v>
      </c>
      <c r="F133" s="383"/>
    </row>
    <row r="134" ht="14.25" spans="1:6">
      <c r="A134" s="291" t="s">
        <v>1727</v>
      </c>
      <c r="B134" s="296" t="s">
        <v>1752</v>
      </c>
      <c r="C134" s="378">
        <v>0.068</v>
      </c>
      <c r="D134" s="378">
        <v>0.065</v>
      </c>
      <c r="E134" s="378">
        <v>0.065</v>
      </c>
      <c r="F134" s="379">
        <v>0.13</v>
      </c>
    </row>
    <row r="135" ht="14.25" spans="1:6">
      <c r="A135" s="291" t="s">
        <v>1727</v>
      </c>
      <c r="B135" s="296" t="s">
        <v>1753</v>
      </c>
      <c r="C135" s="378">
        <v>0.123</v>
      </c>
      <c r="D135" s="378">
        <v>0.123</v>
      </c>
      <c r="E135" s="378">
        <v>0.11</v>
      </c>
      <c r="F135" s="383"/>
    </row>
    <row r="136" ht="14.25" spans="1:6">
      <c r="A136" s="291" t="s">
        <v>1727</v>
      </c>
      <c r="B136" s="296" t="s">
        <v>1754</v>
      </c>
      <c r="C136" s="378">
        <v>0.13</v>
      </c>
      <c r="D136" s="378">
        <v>0.13</v>
      </c>
      <c r="E136" s="378">
        <v>0.125</v>
      </c>
      <c r="F136" s="383"/>
    </row>
    <row r="137" ht="14.25" spans="1:6">
      <c r="A137" s="291" t="s">
        <v>1727</v>
      </c>
      <c r="B137" s="296" t="s">
        <v>1755</v>
      </c>
      <c r="C137" s="378">
        <v>0.121</v>
      </c>
      <c r="D137" s="378">
        <v>0.122</v>
      </c>
      <c r="E137" s="378">
        <v>0.115</v>
      </c>
      <c r="F137" s="383"/>
    </row>
    <row r="138" ht="14.25" spans="1:6">
      <c r="A138" s="291" t="s">
        <v>1727</v>
      </c>
      <c r="B138" s="296" t="s">
        <v>1756</v>
      </c>
      <c r="C138" s="378">
        <v>0.105</v>
      </c>
      <c r="D138" s="378">
        <v>0.125</v>
      </c>
      <c r="E138" s="378">
        <v>0.112</v>
      </c>
      <c r="F138" s="383"/>
    </row>
    <row r="139" ht="14.25" spans="1:6">
      <c r="A139" s="291" t="s">
        <v>1727</v>
      </c>
      <c r="B139" s="296" t="s">
        <v>1757</v>
      </c>
      <c r="C139" s="378">
        <v>0.127</v>
      </c>
      <c r="D139" s="378">
        <v>0.127</v>
      </c>
      <c r="E139" s="378">
        <v>0.122</v>
      </c>
      <c r="F139" s="379">
        <v>0.13</v>
      </c>
    </row>
    <row r="140" ht="14.25" spans="1:6">
      <c r="A140" s="291" t="s">
        <v>1727</v>
      </c>
      <c r="B140" s="296" t="s">
        <v>1758</v>
      </c>
      <c r="C140" s="378">
        <v>0.125</v>
      </c>
      <c r="D140" s="378">
        <v>0.125</v>
      </c>
      <c r="E140" s="378">
        <v>0.119</v>
      </c>
      <c r="F140" s="379">
        <v>0.13</v>
      </c>
    </row>
    <row r="141" ht="14.25" spans="1:6">
      <c r="A141" s="291" t="s">
        <v>1727</v>
      </c>
      <c r="B141" s="296" t="s">
        <v>1759</v>
      </c>
      <c r="C141" s="378">
        <v>0.125</v>
      </c>
      <c r="D141" s="378">
        <v>0.125</v>
      </c>
      <c r="E141" s="378">
        <v>0.117</v>
      </c>
      <c r="F141" s="383"/>
    </row>
    <row r="142" ht="14.25" spans="1:6">
      <c r="A142" s="291" t="s">
        <v>1727</v>
      </c>
      <c r="B142" s="296" t="s">
        <v>1760</v>
      </c>
      <c r="C142" s="378">
        <v>0.125</v>
      </c>
      <c r="D142" s="378">
        <v>0.125</v>
      </c>
      <c r="E142" s="378">
        <v>0.115</v>
      </c>
      <c r="F142" s="383"/>
    </row>
    <row r="143" ht="14.25" spans="1:6">
      <c r="A143" s="291" t="s">
        <v>1727</v>
      </c>
      <c r="B143" s="296" t="s">
        <v>1761</v>
      </c>
      <c r="C143" s="378">
        <v>0.121</v>
      </c>
      <c r="D143" s="378">
        <v>0.121</v>
      </c>
      <c r="E143" s="378">
        <v>0.108</v>
      </c>
      <c r="F143" s="383"/>
    </row>
    <row r="144" ht="14.25" spans="1:6">
      <c r="A144" s="291" t="s">
        <v>1727</v>
      </c>
      <c r="B144" s="386" t="s">
        <v>1762</v>
      </c>
      <c r="C144" s="387">
        <v>0.126</v>
      </c>
      <c r="D144" s="387">
        <v>0.126</v>
      </c>
      <c r="E144" s="387">
        <v>0.121</v>
      </c>
      <c r="F144" s="383"/>
    </row>
    <row r="145" ht="14.25" spans="1:6">
      <c r="A145" s="309" t="s">
        <v>1727</v>
      </c>
      <c r="B145" s="388" t="s">
        <v>1763</v>
      </c>
      <c r="C145" s="389"/>
      <c r="D145" s="389"/>
      <c r="E145" s="389"/>
      <c r="F145" s="390">
        <v>0.05</v>
      </c>
    </row>
    <row r="146" ht="24.75" spans="1:6">
      <c r="A146" s="391" t="s">
        <v>1727</v>
      </c>
      <c r="B146" s="300" t="s">
        <v>1764</v>
      </c>
      <c r="C146" s="384"/>
      <c r="D146" s="384"/>
      <c r="E146" s="384"/>
      <c r="F146" s="392">
        <v>0.05</v>
      </c>
    </row>
    <row r="147" ht="24.75" spans="1:6">
      <c r="A147" s="291" t="s">
        <v>1727</v>
      </c>
      <c r="B147" s="296" t="s">
        <v>1765</v>
      </c>
      <c r="C147" s="384"/>
      <c r="D147" s="384"/>
      <c r="E147" s="384"/>
      <c r="F147" s="379">
        <v>0.05</v>
      </c>
    </row>
    <row r="148" ht="24.75" spans="1:6">
      <c r="A148" s="291" t="s">
        <v>1727</v>
      </c>
      <c r="B148" s="296" t="s">
        <v>1766</v>
      </c>
      <c r="C148" s="384"/>
      <c r="D148" s="384"/>
      <c r="E148" s="384"/>
      <c r="F148" s="379">
        <v>0.05</v>
      </c>
    </row>
    <row r="149" ht="24.75" spans="1:6">
      <c r="A149" s="291" t="s">
        <v>1727</v>
      </c>
      <c r="B149" s="296" t="s">
        <v>1767</v>
      </c>
      <c r="C149" s="384"/>
      <c r="D149" s="384"/>
      <c r="E149" s="384"/>
      <c r="F149" s="379">
        <v>0.05</v>
      </c>
    </row>
    <row r="150" ht="24.75" spans="1:6">
      <c r="A150" s="291" t="s">
        <v>1727</v>
      </c>
      <c r="B150" s="296" t="s">
        <v>1768</v>
      </c>
      <c r="C150" s="384"/>
      <c r="D150" s="384"/>
      <c r="E150" s="384"/>
      <c r="F150" s="379">
        <v>0.05</v>
      </c>
    </row>
    <row r="151" ht="24.75" spans="1:6">
      <c r="A151" s="291" t="s">
        <v>1727</v>
      </c>
      <c r="B151" s="296" t="s">
        <v>1769</v>
      </c>
      <c r="C151" s="384"/>
      <c r="D151" s="384"/>
      <c r="E151" s="384"/>
      <c r="F151" s="379">
        <v>0.05</v>
      </c>
    </row>
    <row r="152" ht="24.75" spans="1:6">
      <c r="A152" s="291" t="s">
        <v>1727</v>
      </c>
      <c r="B152" s="296" t="s">
        <v>1770</v>
      </c>
      <c r="C152" s="384"/>
      <c r="D152" s="384"/>
      <c r="E152" s="384"/>
      <c r="F152" s="379">
        <v>0.05</v>
      </c>
    </row>
    <row r="153" ht="14.25" spans="1:6">
      <c r="A153" s="291" t="s">
        <v>1727</v>
      </c>
      <c r="B153" s="296" t="s">
        <v>1771</v>
      </c>
      <c r="C153" s="384"/>
      <c r="D153" s="384"/>
      <c r="E153" s="384"/>
      <c r="F153" s="379">
        <v>0.05</v>
      </c>
    </row>
    <row r="154" ht="14.25" spans="1:6">
      <c r="A154" s="291" t="s">
        <v>1727</v>
      </c>
      <c r="B154" s="296" t="s">
        <v>1772</v>
      </c>
      <c r="C154" s="384"/>
      <c r="D154" s="384"/>
      <c r="E154" s="384"/>
      <c r="F154" s="379">
        <v>0.05</v>
      </c>
    </row>
    <row r="155" ht="24.75" spans="1:6">
      <c r="A155" s="291" t="s">
        <v>1727</v>
      </c>
      <c r="B155" s="296" t="s">
        <v>1773</v>
      </c>
      <c r="C155" s="384"/>
      <c r="D155" s="384"/>
      <c r="E155" s="384"/>
      <c r="F155" s="379">
        <v>0.05</v>
      </c>
    </row>
    <row r="156" ht="24.75" spans="1:6">
      <c r="A156" s="291" t="s">
        <v>1727</v>
      </c>
      <c r="B156" s="296" t="s">
        <v>1774</v>
      </c>
      <c r="C156" s="384"/>
      <c r="D156" s="384"/>
      <c r="E156" s="384"/>
      <c r="F156" s="379">
        <v>0.05</v>
      </c>
    </row>
    <row r="157" ht="14.25" spans="1:6">
      <c r="A157" s="309" t="s">
        <v>1727</v>
      </c>
      <c r="B157" s="302" t="s">
        <v>1775</v>
      </c>
      <c r="C157" s="381"/>
      <c r="D157" s="381"/>
      <c r="E157" s="381"/>
      <c r="F157" s="385">
        <v>0.05</v>
      </c>
    </row>
    <row r="158" ht="14.25" spans="1:6">
      <c r="A158" s="291" t="s">
        <v>1776</v>
      </c>
      <c r="B158" s="292" t="s">
        <v>1777</v>
      </c>
      <c r="C158" s="376">
        <v>0.13</v>
      </c>
      <c r="D158" s="376">
        <v>0.13</v>
      </c>
      <c r="E158" s="376">
        <v>0.13</v>
      </c>
      <c r="F158" s="377">
        <v>0.13</v>
      </c>
    </row>
    <row r="159" ht="14.25" spans="1:6">
      <c r="A159" s="291" t="s">
        <v>1776</v>
      </c>
      <c r="B159" s="296" t="s">
        <v>1778</v>
      </c>
      <c r="C159" s="378">
        <v>0.13</v>
      </c>
      <c r="D159" s="378">
        <v>0.13</v>
      </c>
      <c r="E159" s="378">
        <v>0.13</v>
      </c>
      <c r="F159" s="379">
        <v>0.13</v>
      </c>
    </row>
    <row r="160" ht="14.25" spans="1:6">
      <c r="A160" s="291" t="s">
        <v>1776</v>
      </c>
      <c r="B160" s="296" t="s">
        <v>1779</v>
      </c>
      <c r="C160" s="378">
        <v>0.13</v>
      </c>
      <c r="D160" s="378">
        <v>0.13</v>
      </c>
      <c r="E160" s="378">
        <v>0.129</v>
      </c>
      <c r="F160" s="379">
        <v>0.13</v>
      </c>
    </row>
    <row r="161" ht="14.25" spans="1:6">
      <c r="A161" s="291" t="s">
        <v>1776</v>
      </c>
      <c r="B161" s="296" t="s">
        <v>1780</v>
      </c>
      <c r="C161" s="378">
        <v>0.128</v>
      </c>
      <c r="D161" s="378">
        <v>0.128</v>
      </c>
      <c r="E161" s="378">
        <v>0.125</v>
      </c>
      <c r="F161" s="379">
        <v>0.13</v>
      </c>
    </row>
    <row r="162" ht="14.25" spans="1:6">
      <c r="A162" s="291" t="s">
        <v>1776</v>
      </c>
      <c r="B162" s="296" t="s">
        <v>1781</v>
      </c>
      <c r="C162" s="378">
        <v>0.122</v>
      </c>
      <c r="D162" s="378">
        <v>0.122</v>
      </c>
      <c r="E162" s="378">
        <v>0.126</v>
      </c>
      <c r="F162" s="379">
        <v>0.122</v>
      </c>
    </row>
    <row r="163" ht="14.25" spans="1:6">
      <c r="A163" s="291" t="s">
        <v>1776</v>
      </c>
      <c r="B163" s="296" t="s">
        <v>1782</v>
      </c>
      <c r="C163" s="378">
        <v>0.13</v>
      </c>
      <c r="D163" s="378">
        <v>0.13</v>
      </c>
      <c r="E163" s="378">
        <v>0.125</v>
      </c>
      <c r="F163" s="379">
        <v>0.13</v>
      </c>
    </row>
    <row r="164" ht="14.25" spans="1:6">
      <c r="A164" s="291" t="s">
        <v>1776</v>
      </c>
      <c r="B164" s="296" t="s">
        <v>1783</v>
      </c>
      <c r="C164" s="378">
        <v>0.13</v>
      </c>
      <c r="D164" s="378">
        <v>0.13</v>
      </c>
      <c r="E164" s="378">
        <v>0.13</v>
      </c>
      <c r="F164" s="379">
        <v>0.13</v>
      </c>
    </row>
    <row r="165" ht="14.25" spans="1:6">
      <c r="A165" s="291" t="s">
        <v>1776</v>
      </c>
      <c r="B165" s="296" t="s">
        <v>1784</v>
      </c>
      <c r="C165" s="378">
        <v>0.13</v>
      </c>
      <c r="D165" s="378">
        <v>0.13</v>
      </c>
      <c r="E165" s="378">
        <v>0.124</v>
      </c>
      <c r="F165" s="379">
        <v>0.13</v>
      </c>
    </row>
    <row r="166" ht="14.25" spans="1:6">
      <c r="A166" s="291" t="s">
        <v>1776</v>
      </c>
      <c r="B166" s="296" t="s">
        <v>1785</v>
      </c>
      <c r="C166" s="378">
        <v>0.13</v>
      </c>
      <c r="D166" s="378">
        <v>0.13</v>
      </c>
      <c r="E166" s="378">
        <v>0.13</v>
      </c>
      <c r="F166" s="379">
        <v>0.13</v>
      </c>
    </row>
    <row r="167" ht="14.25" spans="1:6">
      <c r="A167" s="291" t="s">
        <v>1776</v>
      </c>
      <c r="B167" s="296" t="s">
        <v>1786</v>
      </c>
      <c r="C167" s="378">
        <v>0.125</v>
      </c>
      <c r="D167" s="378">
        <v>0.125</v>
      </c>
      <c r="E167" s="378">
        <v>0.121</v>
      </c>
      <c r="F167" s="383"/>
    </row>
    <row r="168" ht="14.25" spans="1:6">
      <c r="A168" s="291" t="s">
        <v>1776</v>
      </c>
      <c r="B168" s="296" t="s">
        <v>1787</v>
      </c>
      <c r="C168" s="378">
        <v>0.13</v>
      </c>
      <c r="D168" s="378">
        <v>0.13</v>
      </c>
      <c r="E168" s="378">
        <v>0.126</v>
      </c>
      <c r="F168" s="383"/>
    </row>
    <row r="169" ht="14.25" spans="1:6">
      <c r="A169" s="291" t="s">
        <v>1776</v>
      </c>
      <c r="B169" s="296" t="s">
        <v>1788</v>
      </c>
      <c r="C169" s="378">
        <v>0.128</v>
      </c>
      <c r="D169" s="378">
        <v>0.129</v>
      </c>
      <c r="E169" s="378">
        <v>0.13</v>
      </c>
      <c r="F169" s="383"/>
    </row>
    <row r="170" ht="14.25" spans="1:6">
      <c r="A170" s="291" t="s">
        <v>1776</v>
      </c>
      <c r="B170" s="296" t="s">
        <v>1789</v>
      </c>
      <c r="C170" s="378">
        <v>0.141</v>
      </c>
      <c r="D170" s="378">
        <v>0.13</v>
      </c>
      <c r="E170" s="378">
        <v>0.125</v>
      </c>
      <c r="F170" s="383"/>
    </row>
    <row r="171" ht="14.25" spans="1:6">
      <c r="A171" s="291" t="s">
        <v>1776</v>
      </c>
      <c r="B171" s="296" t="s">
        <v>1790</v>
      </c>
      <c r="C171" s="378">
        <v>0.127</v>
      </c>
      <c r="D171" s="378">
        <v>0.126</v>
      </c>
      <c r="E171" s="378">
        <v>0.126</v>
      </c>
      <c r="F171" s="379">
        <v>0.118</v>
      </c>
    </row>
    <row r="172" ht="14.25" spans="1:6">
      <c r="A172" s="291" t="s">
        <v>1776</v>
      </c>
      <c r="B172" s="296" t="s">
        <v>1791</v>
      </c>
      <c r="C172" s="378">
        <v>0.13</v>
      </c>
      <c r="D172" s="378">
        <v>0.13</v>
      </c>
      <c r="E172" s="378">
        <v>0.13</v>
      </c>
      <c r="F172" s="383"/>
    </row>
    <row r="173" ht="14.25" spans="1:6">
      <c r="A173" s="291" t="s">
        <v>1776</v>
      </c>
      <c r="B173" s="296" t="s">
        <v>1792</v>
      </c>
      <c r="C173" s="378">
        <v>0.13</v>
      </c>
      <c r="D173" s="378">
        <v>0.13</v>
      </c>
      <c r="E173" s="378">
        <v>0.13</v>
      </c>
      <c r="F173" s="383"/>
    </row>
    <row r="174" ht="14.25" spans="1:6">
      <c r="A174" s="291" t="s">
        <v>1776</v>
      </c>
      <c r="B174" s="296" t="s">
        <v>1793</v>
      </c>
      <c r="C174" s="378">
        <v>0.13</v>
      </c>
      <c r="D174" s="378">
        <v>0.13</v>
      </c>
      <c r="E174" s="378">
        <v>0.13</v>
      </c>
      <c r="F174" s="379">
        <v>0.13</v>
      </c>
    </row>
    <row r="175" ht="14.25" spans="1:6">
      <c r="A175" s="291" t="s">
        <v>1776</v>
      </c>
      <c r="B175" s="296" t="s">
        <v>1794</v>
      </c>
      <c r="C175" s="378">
        <v>0.13</v>
      </c>
      <c r="D175" s="378">
        <v>0.13</v>
      </c>
      <c r="E175" s="378">
        <v>0.13</v>
      </c>
      <c r="F175" s="379">
        <v>0.13</v>
      </c>
    </row>
    <row r="176" ht="14.25" spans="1:6">
      <c r="A176" s="291" t="s">
        <v>1776</v>
      </c>
      <c r="B176" s="296" t="s">
        <v>1795</v>
      </c>
      <c r="C176" s="378">
        <v>0.13</v>
      </c>
      <c r="D176" s="378">
        <v>0.13</v>
      </c>
      <c r="E176" s="378">
        <v>0.13</v>
      </c>
      <c r="F176" s="379">
        <v>0.13</v>
      </c>
    </row>
    <row r="177" ht="14.25" spans="1:6">
      <c r="A177" s="291" t="s">
        <v>1776</v>
      </c>
      <c r="B177" s="296" t="s">
        <v>1796</v>
      </c>
      <c r="C177" s="378">
        <v>0.13</v>
      </c>
      <c r="D177" s="378">
        <v>0.13</v>
      </c>
      <c r="E177" s="378">
        <v>0.13</v>
      </c>
      <c r="F177" s="379">
        <v>0.13</v>
      </c>
    </row>
    <row r="178" ht="14.25" spans="1:6">
      <c r="A178" s="291" t="s">
        <v>1776</v>
      </c>
      <c r="B178" s="296" t="s">
        <v>1797</v>
      </c>
      <c r="C178" s="378">
        <v>0.13</v>
      </c>
      <c r="D178" s="378">
        <v>0.13</v>
      </c>
      <c r="E178" s="378">
        <v>0.13</v>
      </c>
      <c r="F178" s="379">
        <v>0.127</v>
      </c>
    </row>
    <row r="179" ht="14.25" spans="1:6">
      <c r="A179" s="291" t="s">
        <v>1776</v>
      </c>
      <c r="B179" s="296" t="s">
        <v>1798</v>
      </c>
      <c r="C179" s="378">
        <v>0.13</v>
      </c>
      <c r="D179" s="378">
        <v>0.13</v>
      </c>
      <c r="E179" s="378">
        <v>0.13</v>
      </c>
      <c r="F179" s="383"/>
    </row>
    <row r="180" ht="14.25" spans="1:6">
      <c r="A180" s="291" t="s">
        <v>1776</v>
      </c>
      <c r="B180" s="296" t="s">
        <v>1799</v>
      </c>
      <c r="C180" s="378">
        <v>0.13</v>
      </c>
      <c r="D180" s="378">
        <v>0.13</v>
      </c>
      <c r="E180" s="378">
        <v>0.125</v>
      </c>
      <c r="F180" s="379">
        <v>0.13</v>
      </c>
    </row>
    <row r="181" ht="14.25" spans="1:6">
      <c r="A181" s="291" t="s">
        <v>1776</v>
      </c>
      <c r="B181" s="296" t="s">
        <v>1800</v>
      </c>
      <c r="C181" s="378">
        <v>0.122</v>
      </c>
      <c r="D181" s="378">
        <v>0.123</v>
      </c>
      <c r="E181" s="378">
        <v>0.126</v>
      </c>
      <c r="F181" s="379">
        <v>0.121</v>
      </c>
    </row>
    <row r="182" ht="14.25" spans="1:6">
      <c r="A182" s="291" t="s">
        <v>1776</v>
      </c>
      <c r="B182" s="296" t="s">
        <v>1801</v>
      </c>
      <c r="C182" s="378">
        <v>0.125</v>
      </c>
      <c r="D182" s="378">
        <v>0.125</v>
      </c>
      <c r="E182" s="378">
        <v>0.117</v>
      </c>
      <c r="F182" s="379">
        <v>0.13</v>
      </c>
    </row>
    <row r="183" ht="14.25" spans="1:6">
      <c r="A183" s="291" t="s">
        <v>1776</v>
      </c>
      <c r="B183" s="296" t="s">
        <v>1802</v>
      </c>
      <c r="C183" s="378">
        <v>0.127</v>
      </c>
      <c r="D183" s="378">
        <v>0.127</v>
      </c>
      <c r="E183" s="378">
        <v>0.128</v>
      </c>
      <c r="F183" s="383"/>
    </row>
    <row r="184" ht="14.25" spans="1:6">
      <c r="A184" s="291" t="s">
        <v>1776</v>
      </c>
      <c r="B184" s="296" t="s">
        <v>1803</v>
      </c>
      <c r="C184" s="378">
        <v>0.125</v>
      </c>
      <c r="D184" s="378">
        <v>0.125</v>
      </c>
      <c r="E184" s="378">
        <v>0.127</v>
      </c>
      <c r="F184" s="383"/>
    </row>
    <row r="185" ht="14.25" spans="1:6">
      <c r="A185" s="291" t="s">
        <v>1776</v>
      </c>
      <c r="B185" s="296" t="s">
        <v>1804</v>
      </c>
      <c r="C185" s="378">
        <v>0.127</v>
      </c>
      <c r="D185" s="378">
        <v>0.127</v>
      </c>
      <c r="E185" s="378">
        <v>0.128</v>
      </c>
      <c r="F185" s="379">
        <v>0.13</v>
      </c>
    </row>
    <row r="186" ht="24.75" spans="1:6">
      <c r="A186" s="291" t="s">
        <v>1776</v>
      </c>
      <c r="B186" s="296" t="s">
        <v>1805</v>
      </c>
      <c r="C186" s="384"/>
      <c r="D186" s="384"/>
      <c r="E186" s="384"/>
      <c r="F186" s="379">
        <v>0.05</v>
      </c>
    </row>
    <row r="187" ht="14.25" spans="1:6">
      <c r="A187" s="291" t="s">
        <v>1776</v>
      </c>
      <c r="B187" s="296" t="s">
        <v>1806</v>
      </c>
      <c r="C187" s="384"/>
      <c r="D187" s="384"/>
      <c r="E187" s="384"/>
      <c r="F187" s="379">
        <v>0.05</v>
      </c>
    </row>
    <row r="188" ht="14.25" spans="1:6">
      <c r="A188" s="291" t="s">
        <v>1776</v>
      </c>
      <c r="B188" s="296" t="s">
        <v>1807</v>
      </c>
      <c r="C188" s="384"/>
      <c r="D188" s="384"/>
      <c r="E188" s="384"/>
      <c r="F188" s="379">
        <v>0.05</v>
      </c>
    </row>
    <row r="189" ht="24.75" spans="1:6">
      <c r="A189" s="291" t="s">
        <v>1776</v>
      </c>
      <c r="B189" s="296" t="s">
        <v>1808</v>
      </c>
      <c r="C189" s="384"/>
      <c r="D189" s="384"/>
      <c r="E189" s="384"/>
      <c r="F189" s="379">
        <v>0.05</v>
      </c>
    </row>
    <row r="190" ht="24.75" spans="1:6">
      <c r="A190" s="291" t="s">
        <v>1776</v>
      </c>
      <c r="B190" s="296" t="s">
        <v>1809</v>
      </c>
      <c r="C190" s="384"/>
      <c r="D190" s="384"/>
      <c r="E190" s="384"/>
      <c r="F190" s="379">
        <v>0.05</v>
      </c>
    </row>
    <row r="191" ht="24.75" spans="1:6">
      <c r="A191" s="291" t="s">
        <v>1776</v>
      </c>
      <c r="B191" s="296" t="s">
        <v>1810</v>
      </c>
      <c r="C191" s="384"/>
      <c r="D191" s="384"/>
      <c r="E191" s="384"/>
      <c r="F191" s="379">
        <v>0.05</v>
      </c>
    </row>
    <row r="192" ht="24.75" spans="1:6">
      <c r="A192" s="291" t="s">
        <v>1776</v>
      </c>
      <c r="B192" s="296" t="s">
        <v>1811</v>
      </c>
      <c r="C192" s="384"/>
      <c r="D192" s="384"/>
      <c r="E192" s="384"/>
      <c r="F192" s="379">
        <v>0.05</v>
      </c>
    </row>
    <row r="193" ht="24.75" spans="1:6">
      <c r="A193" s="291" t="s">
        <v>1776</v>
      </c>
      <c r="B193" s="296" t="s">
        <v>1812</v>
      </c>
      <c r="C193" s="384"/>
      <c r="D193" s="384"/>
      <c r="E193" s="384"/>
      <c r="F193" s="379">
        <v>0.05</v>
      </c>
    </row>
    <row r="194" ht="24.75" spans="1:6">
      <c r="A194" s="291" t="s">
        <v>1776</v>
      </c>
      <c r="B194" s="296" t="s">
        <v>1813</v>
      </c>
      <c r="C194" s="384"/>
      <c r="D194" s="384"/>
      <c r="E194" s="384"/>
      <c r="F194" s="379">
        <v>0.05</v>
      </c>
    </row>
    <row r="195" ht="14.25" spans="1:6">
      <c r="A195" s="291" t="s">
        <v>1776</v>
      </c>
      <c r="B195" s="296" t="s">
        <v>1814</v>
      </c>
      <c r="C195" s="384"/>
      <c r="D195" s="384"/>
      <c r="E195" s="384"/>
      <c r="F195" s="379">
        <v>0.05</v>
      </c>
    </row>
    <row r="196" ht="24.75" spans="1:6">
      <c r="A196" s="291" t="s">
        <v>1776</v>
      </c>
      <c r="B196" s="296" t="s">
        <v>1815</v>
      </c>
      <c r="C196" s="384"/>
      <c r="D196" s="384"/>
      <c r="E196" s="384"/>
      <c r="F196" s="379">
        <v>0.05</v>
      </c>
    </row>
    <row r="197" ht="24.75" spans="1:6">
      <c r="A197" s="291" t="s">
        <v>1776</v>
      </c>
      <c r="B197" s="296" t="s">
        <v>1816</v>
      </c>
      <c r="C197" s="384"/>
      <c r="D197" s="384"/>
      <c r="E197" s="384"/>
      <c r="F197" s="379">
        <v>0.05</v>
      </c>
    </row>
    <row r="198" ht="24.75" spans="1:6">
      <c r="A198" s="291" t="s">
        <v>1776</v>
      </c>
      <c r="B198" s="296" t="s">
        <v>1817</v>
      </c>
      <c r="C198" s="384"/>
      <c r="D198" s="384"/>
      <c r="E198" s="384"/>
      <c r="F198" s="379">
        <v>0.05</v>
      </c>
    </row>
    <row r="199" ht="24.75" spans="1:6">
      <c r="A199" s="291" t="s">
        <v>1776</v>
      </c>
      <c r="B199" s="296" t="s">
        <v>1818</v>
      </c>
      <c r="C199" s="384"/>
      <c r="D199" s="384"/>
      <c r="E199" s="384"/>
      <c r="F199" s="379">
        <v>0.05</v>
      </c>
    </row>
    <row r="200" ht="24.75" spans="1:6">
      <c r="A200" s="291" t="s">
        <v>1776</v>
      </c>
      <c r="B200" s="296" t="s">
        <v>1819</v>
      </c>
      <c r="C200" s="384"/>
      <c r="D200" s="384"/>
      <c r="E200" s="384"/>
      <c r="F200" s="379">
        <v>0.05</v>
      </c>
    </row>
    <row r="201" ht="24.75" spans="1:6">
      <c r="A201" s="291" t="s">
        <v>1776</v>
      </c>
      <c r="B201" s="296" t="s">
        <v>1820</v>
      </c>
      <c r="C201" s="384"/>
      <c r="D201" s="384"/>
      <c r="E201" s="384"/>
      <c r="F201" s="379">
        <v>0.05</v>
      </c>
    </row>
    <row r="202" ht="24.75" spans="1:6">
      <c r="A202" s="291" t="s">
        <v>1776</v>
      </c>
      <c r="B202" s="296" t="s">
        <v>1821</v>
      </c>
      <c r="C202" s="384"/>
      <c r="D202" s="384"/>
      <c r="E202" s="384"/>
      <c r="F202" s="379">
        <v>0.05</v>
      </c>
    </row>
    <row r="203" ht="24.75" spans="1:6">
      <c r="A203" s="291" t="s">
        <v>1776</v>
      </c>
      <c r="B203" s="296" t="s">
        <v>1822</v>
      </c>
      <c r="C203" s="384"/>
      <c r="D203" s="384"/>
      <c r="E203" s="384"/>
      <c r="F203" s="379">
        <v>0.05</v>
      </c>
    </row>
    <row r="204" ht="14.25" spans="1:6">
      <c r="A204" s="291" t="s">
        <v>1776</v>
      </c>
      <c r="B204" s="296" t="s">
        <v>1823</v>
      </c>
      <c r="C204" s="384"/>
      <c r="D204" s="384"/>
      <c r="E204" s="384"/>
      <c r="F204" s="379">
        <v>0.05</v>
      </c>
    </row>
    <row r="205" ht="14.25" spans="1:6">
      <c r="A205" s="309" t="s">
        <v>1776</v>
      </c>
      <c r="B205" s="302" t="s">
        <v>1824</v>
      </c>
      <c r="C205" s="381"/>
      <c r="D205" s="381"/>
      <c r="E205" s="381"/>
      <c r="F205" s="385">
        <v>0.05</v>
      </c>
    </row>
    <row r="206" ht="14.25" spans="1:6">
      <c r="A206" s="291" t="s">
        <v>1825</v>
      </c>
      <c r="B206" s="292" t="s">
        <v>1826</v>
      </c>
      <c r="C206" s="376">
        <v>0.15</v>
      </c>
      <c r="D206" s="376">
        <v>0.15</v>
      </c>
      <c r="E206" s="376">
        <v>0.15</v>
      </c>
      <c r="F206" s="377">
        <v>0.15</v>
      </c>
    </row>
    <row r="207" ht="14.25" spans="1:6">
      <c r="A207" s="291" t="s">
        <v>1825</v>
      </c>
      <c r="B207" s="296" t="s">
        <v>1827</v>
      </c>
      <c r="C207" s="378">
        <v>0.15</v>
      </c>
      <c r="D207" s="378">
        <v>0.15</v>
      </c>
      <c r="E207" s="378">
        <v>0.15</v>
      </c>
      <c r="F207" s="379">
        <v>0.144</v>
      </c>
    </row>
    <row r="208" ht="14.25" spans="1:6">
      <c r="A208" s="291" t="s">
        <v>1825</v>
      </c>
      <c r="B208" s="296" t="s">
        <v>1828</v>
      </c>
      <c r="C208" s="378">
        <v>0.15</v>
      </c>
      <c r="D208" s="378">
        <v>0.15</v>
      </c>
      <c r="E208" s="378">
        <v>0.15</v>
      </c>
      <c r="F208" s="379">
        <v>0.15</v>
      </c>
    </row>
    <row r="209" ht="14.25" spans="1:6">
      <c r="A209" s="291" t="s">
        <v>1825</v>
      </c>
      <c r="B209" s="296" t="s">
        <v>1829</v>
      </c>
      <c r="C209" s="378">
        <v>0.137</v>
      </c>
      <c r="D209" s="378">
        <v>0.137</v>
      </c>
      <c r="E209" s="378">
        <v>0.14</v>
      </c>
      <c r="F209" s="379">
        <v>0.117</v>
      </c>
    </row>
    <row r="210" ht="14.25" spans="1:6">
      <c r="A210" s="291" t="s">
        <v>1825</v>
      </c>
      <c r="B210" s="296" t="s">
        <v>1830</v>
      </c>
      <c r="C210" s="378">
        <v>0.15</v>
      </c>
      <c r="D210" s="378">
        <v>0.15</v>
      </c>
      <c r="E210" s="378">
        <v>0.15</v>
      </c>
      <c r="F210" s="379">
        <v>0.138</v>
      </c>
    </row>
    <row r="211" ht="14.25" spans="1:6">
      <c r="A211" s="291" t="s">
        <v>1825</v>
      </c>
      <c r="B211" s="296" t="s">
        <v>1831</v>
      </c>
      <c r="C211" s="378">
        <v>0.137</v>
      </c>
      <c r="D211" s="378">
        <v>0.135</v>
      </c>
      <c r="E211" s="378">
        <v>0.136</v>
      </c>
      <c r="F211" s="379">
        <v>0.1</v>
      </c>
    </row>
    <row r="212" ht="14.25" spans="1:6">
      <c r="A212" s="291" t="s">
        <v>1825</v>
      </c>
      <c r="B212" s="296" t="s">
        <v>1832</v>
      </c>
      <c r="C212" s="378">
        <v>0.15</v>
      </c>
      <c r="D212" s="378">
        <v>0.15</v>
      </c>
      <c r="E212" s="378">
        <v>0.148</v>
      </c>
      <c r="F212" s="379">
        <v>0.136</v>
      </c>
    </row>
    <row r="213" ht="14.25" spans="1:6">
      <c r="A213" s="291" t="s">
        <v>1825</v>
      </c>
      <c r="B213" s="296" t="s">
        <v>1833</v>
      </c>
      <c r="C213" s="378">
        <v>0.15</v>
      </c>
      <c r="D213" s="378">
        <v>0.15</v>
      </c>
      <c r="E213" s="378">
        <v>0.15</v>
      </c>
      <c r="F213" s="379">
        <v>0.138</v>
      </c>
    </row>
    <row r="214" ht="14.25" spans="1:6">
      <c r="A214" s="291" t="s">
        <v>1825</v>
      </c>
      <c r="B214" s="296" t="s">
        <v>1834</v>
      </c>
      <c r="C214" s="378">
        <v>0.091</v>
      </c>
      <c r="D214" s="378">
        <v>0.09</v>
      </c>
      <c r="E214" s="378">
        <v>0.092</v>
      </c>
      <c r="F214" s="383"/>
    </row>
    <row r="215" ht="14.25" spans="1:6">
      <c r="A215" s="291" t="s">
        <v>1825</v>
      </c>
      <c r="B215" s="296" t="s">
        <v>1835</v>
      </c>
      <c r="C215" s="378">
        <v>0.15</v>
      </c>
      <c r="D215" s="378">
        <v>0.15</v>
      </c>
      <c r="E215" s="378">
        <v>0.15</v>
      </c>
      <c r="F215" s="379">
        <v>0.15</v>
      </c>
    </row>
    <row r="216" ht="14.25" spans="1:6">
      <c r="A216" s="291" t="s">
        <v>1825</v>
      </c>
      <c r="B216" s="296" t="s">
        <v>1836</v>
      </c>
      <c r="C216" s="378">
        <v>0.147</v>
      </c>
      <c r="D216" s="378">
        <v>0.147</v>
      </c>
      <c r="E216" s="378">
        <v>0.15</v>
      </c>
      <c r="F216" s="379">
        <v>0.14</v>
      </c>
    </row>
    <row r="217" ht="14.25" spans="1:6">
      <c r="A217" s="291" t="s">
        <v>1825</v>
      </c>
      <c r="B217" s="296" t="s">
        <v>1837</v>
      </c>
      <c r="C217" s="378">
        <v>0.15</v>
      </c>
      <c r="D217" s="378">
        <v>0.15</v>
      </c>
      <c r="E217" s="378">
        <v>0.15</v>
      </c>
      <c r="F217" s="379">
        <v>0.15</v>
      </c>
    </row>
    <row r="218" ht="14.25" spans="1:6">
      <c r="A218" s="291" t="s">
        <v>1825</v>
      </c>
      <c r="B218" s="296" t="s">
        <v>1838</v>
      </c>
      <c r="C218" s="378">
        <v>0.15</v>
      </c>
      <c r="D218" s="378">
        <v>0.15</v>
      </c>
      <c r="E218" s="378">
        <v>0.15</v>
      </c>
      <c r="F218" s="379">
        <v>0.15</v>
      </c>
    </row>
    <row r="219" ht="14.25" spans="1:6">
      <c r="A219" s="291" t="s">
        <v>1825</v>
      </c>
      <c r="B219" s="296" t="s">
        <v>1839</v>
      </c>
      <c r="C219" s="378">
        <v>0.15</v>
      </c>
      <c r="D219" s="378">
        <v>0.15</v>
      </c>
      <c r="E219" s="378">
        <v>0.15</v>
      </c>
      <c r="F219" s="379">
        <v>0.148</v>
      </c>
    </row>
    <row r="220" ht="14.25" spans="1:6">
      <c r="A220" s="291" t="s">
        <v>1825</v>
      </c>
      <c r="B220" s="296" t="s">
        <v>1840</v>
      </c>
      <c r="C220" s="378">
        <v>0.15</v>
      </c>
      <c r="D220" s="378">
        <v>0.15</v>
      </c>
      <c r="E220" s="378">
        <v>0.15</v>
      </c>
      <c r="F220" s="379">
        <v>0.15</v>
      </c>
    </row>
    <row r="221" ht="14.25" spans="1:6">
      <c r="A221" s="291" t="s">
        <v>1825</v>
      </c>
      <c r="B221" s="296" t="s">
        <v>1841</v>
      </c>
      <c r="C221" s="378"/>
      <c r="D221" s="384"/>
      <c r="E221" s="384"/>
      <c r="F221" s="379">
        <v>0.148</v>
      </c>
    </row>
    <row r="222" ht="14.25" spans="1:6">
      <c r="A222" s="291" t="s">
        <v>1825</v>
      </c>
      <c r="B222" s="296" t="s">
        <v>1842</v>
      </c>
      <c r="C222" s="378"/>
      <c r="D222" s="384"/>
      <c r="E222" s="384"/>
      <c r="F222" s="379">
        <v>0.1</v>
      </c>
    </row>
    <row r="223" ht="14.25" spans="1:6">
      <c r="A223" s="291" t="s">
        <v>1825</v>
      </c>
      <c r="B223" s="296" t="s">
        <v>1843</v>
      </c>
      <c r="C223" s="378"/>
      <c r="D223" s="384"/>
      <c r="E223" s="384"/>
      <c r="F223" s="379">
        <v>0.15</v>
      </c>
    </row>
    <row r="224" ht="14.25" spans="1:6">
      <c r="A224" s="291" t="s">
        <v>1825</v>
      </c>
      <c r="B224" s="296" t="s">
        <v>1844</v>
      </c>
      <c r="C224" s="378"/>
      <c r="D224" s="384"/>
      <c r="E224" s="384"/>
      <c r="F224" s="379">
        <v>0.15</v>
      </c>
    </row>
    <row r="225" ht="14.25" spans="1:6">
      <c r="A225" s="291" t="s">
        <v>1825</v>
      </c>
      <c r="B225" s="296" t="s">
        <v>1845</v>
      </c>
      <c r="C225" s="378">
        <v>0.15</v>
      </c>
      <c r="D225" s="378">
        <v>0.15</v>
      </c>
      <c r="E225" s="378">
        <v>0.15</v>
      </c>
      <c r="F225" s="379">
        <v>0.15</v>
      </c>
    </row>
    <row r="226" ht="14.25" spans="1:6">
      <c r="A226" s="291" t="s">
        <v>1825</v>
      </c>
      <c r="B226" s="296" t="s">
        <v>1846</v>
      </c>
      <c r="C226" s="378">
        <v>0.15</v>
      </c>
      <c r="D226" s="378">
        <v>0.15</v>
      </c>
      <c r="E226" s="378">
        <v>0.15</v>
      </c>
      <c r="F226" s="379">
        <v>0.148</v>
      </c>
    </row>
    <row r="227" ht="14.25" spans="1:6">
      <c r="A227" s="291" t="s">
        <v>1825</v>
      </c>
      <c r="B227" s="296" t="s">
        <v>1847</v>
      </c>
      <c r="C227" s="378">
        <v>0.15</v>
      </c>
      <c r="D227" s="378">
        <v>0.15</v>
      </c>
      <c r="E227" s="378">
        <v>0.15</v>
      </c>
      <c r="F227" s="379">
        <v>0.15</v>
      </c>
    </row>
    <row r="228" ht="14.25" spans="1:6">
      <c r="A228" s="291" t="s">
        <v>1825</v>
      </c>
      <c r="B228" s="296" t="s">
        <v>1848</v>
      </c>
      <c r="C228" s="378">
        <v>0.15</v>
      </c>
      <c r="D228" s="378">
        <v>0.15</v>
      </c>
      <c r="E228" s="378">
        <v>0.15</v>
      </c>
      <c r="F228" s="379">
        <v>0.15</v>
      </c>
    </row>
    <row r="229" ht="14.25" spans="1:6">
      <c r="A229" s="291" t="s">
        <v>1825</v>
      </c>
      <c r="B229" s="296" t="s">
        <v>1849</v>
      </c>
      <c r="C229" s="378">
        <v>0.15</v>
      </c>
      <c r="D229" s="378">
        <v>0.15</v>
      </c>
      <c r="E229" s="378">
        <v>0.15</v>
      </c>
      <c r="F229" s="383"/>
    </row>
    <row r="230" ht="14.25" spans="1:6">
      <c r="A230" s="291" t="s">
        <v>1825</v>
      </c>
      <c r="B230" s="296" t="s">
        <v>1850</v>
      </c>
      <c r="C230" s="378">
        <v>0.145</v>
      </c>
      <c r="D230" s="378">
        <v>0.145</v>
      </c>
      <c r="E230" s="378">
        <v>0.144</v>
      </c>
      <c r="F230" s="383"/>
    </row>
    <row r="231" ht="14.25" spans="1:6">
      <c r="A231" s="291" t="s">
        <v>1825</v>
      </c>
      <c r="B231" s="296" t="s">
        <v>1851</v>
      </c>
      <c r="C231" s="378">
        <v>0.128</v>
      </c>
      <c r="D231" s="378">
        <v>0.125</v>
      </c>
      <c r="E231" s="378">
        <v>0.132</v>
      </c>
      <c r="F231" s="383"/>
    </row>
    <row r="232" ht="14.25" spans="1:6">
      <c r="A232" s="291" t="s">
        <v>1825</v>
      </c>
      <c r="B232" s="296" t="s">
        <v>1852</v>
      </c>
      <c r="C232" s="378">
        <v>0.145</v>
      </c>
      <c r="D232" s="378">
        <v>0.144</v>
      </c>
      <c r="E232" s="378">
        <v>0.146</v>
      </c>
      <c r="F232" s="379">
        <v>0.138</v>
      </c>
    </row>
    <row r="233" ht="14.25" spans="1:6">
      <c r="A233" s="291" t="s">
        <v>1825</v>
      </c>
      <c r="B233" s="296" t="s">
        <v>1853</v>
      </c>
      <c r="C233" s="378">
        <v>0.145</v>
      </c>
      <c r="D233" s="378">
        <v>0.143</v>
      </c>
      <c r="E233" s="378">
        <v>0.142</v>
      </c>
      <c r="F233" s="383"/>
    </row>
    <row r="234" ht="14.25" spans="1:6">
      <c r="A234" s="291" t="s">
        <v>1825</v>
      </c>
      <c r="B234" s="296" t="s">
        <v>1854</v>
      </c>
      <c r="C234" s="378">
        <v>0.14</v>
      </c>
      <c r="D234" s="378">
        <v>0.14</v>
      </c>
      <c r="E234" s="378">
        <v>0.144</v>
      </c>
      <c r="F234" s="383"/>
    </row>
    <row r="235" ht="14.25" spans="1:6">
      <c r="A235" s="291" t="s">
        <v>1825</v>
      </c>
      <c r="B235" s="296" t="s">
        <v>1855</v>
      </c>
      <c r="C235" s="378">
        <v>0.141</v>
      </c>
      <c r="D235" s="378">
        <v>0.142</v>
      </c>
      <c r="E235" s="378">
        <v>0.145</v>
      </c>
      <c r="F235" s="379">
        <v>0.15</v>
      </c>
    </row>
    <row r="236" ht="14.25" spans="1:6">
      <c r="A236" s="291" t="s">
        <v>1825</v>
      </c>
      <c r="B236" s="296" t="s">
        <v>1856</v>
      </c>
      <c r="C236" s="384"/>
      <c r="D236" s="384"/>
      <c r="E236" s="384"/>
      <c r="F236" s="379">
        <v>0.143</v>
      </c>
    </row>
    <row r="237" ht="24.75" spans="1:6">
      <c r="A237" s="291" t="s">
        <v>1825</v>
      </c>
      <c r="B237" s="296" t="s">
        <v>1857</v>
      </c>
      <c r="C237" s="384"/>
      <c r="D237" s="384"/>
      <c r="E237" s="384"/>
      <c r="F237" s="379">
        <v>0.05</v>
      </c>
    </row>
    <row r="238" ht="24.75" spans="1:6">
      <c r="A238" s="291" t="s">
        <v>1825</v>
      </c>
      <c r="B238" s="296" t="s">
        <v>1858</v>
      </c>
      <c r="C238" s="384"/>
      <c r="D238" s="384"/>
      <c r="E238" s="384"/>
      <c r="F238" s="379">
        <v>0.05</v>
      </c>
    </row>
    <row r="239" ht="24.75" spans="1:6">
      <c r="A239" s="291" t="s">
        <v>1825</v>
      </c>
      <c r="B239" s="296" t="s">
        <v>1859</v>
      </c>
      <c r="C239" s="384"/>
      <c r="D239" s="384"/>
      <c r="E239" s="384"/>
      <c r="F239" s="379">
        <v>0.05</v>
      </c>
    </row>
    <row r="240" ht="24.75" spans="1:6">
      <c r="A240" s="291" t="s">
        <v>1825</v>
      </c>
      <c r="B240" s="296" t="s">
        <v>1860</v>
      </c>
      <c r="C240" s="384"/>
      <c r="D240" s="384"/>
      <c r="E240" s="384"/>
      <c r="F240" s="379">
        <v>0.05</v>
      </c>
    </row>
    <row r="241" ht="24.75" spans="1:6">
      <c r="A241" s="291" t="s">
        <v>1825</v>
      </c>
      <c r="B241" s="296" t="s">
        <v>1861</v>
      </c>
      <c r="C241" s="384"/>
      <c r="D241" s="384"/>
      <c r="E241" s="384"/>
      <c r="F241" s="379">
        <v>0.05</v>
      </c>
    </row>
    <row r="242" ht="24.75" spans="1:6">
      <c r="A242" s="291" t="s">
        <v>1825</v>
      </c>
      <c r="B242" s="296" t="s">
        <v>1862</v>
      </c>
      <c r="C242" s="384"/>
      <c r="D242" s="384"/>
      <c r="E242" s="384"/>
      <c r="F242" s="379">
        <v>0.05</v>
      </c>
    </row>
    <row r="243" ht="24.75" spans="1:6">
      <c r="A243" s="291" t="s">
        <v>1825</v>
      </c>
      <c r="B243" s="296" t="s">
        <v>1863</v>
      </c>
      <c r="C243" s="384"/>
      <c r="D243" s="384"/>
      <c r="E243" s="384"/>
      <c r="F243" s="379">
        <v>0.05</v>
      </c>
    </row>
    <row r="244" ht="24.75" spans="1:6">
      <c r="A244" s="309" t="s">
        <v>1825</v>
      </c>
      <c r="B244" s="302" t="s">
        <v>1864</v>
      </c>
      <c r="C244" s="381"/>
      <c r="D244" s="381"/>
      <c r="E244" s="381"/>
      <c r="F244" s="385">
        <v>0.05</v>
      </c>
    </row>
    <row r="245" ht="14.25" spans="1:6">
      <c r="A245" s="291" t="s">
        <v>1865</v>
      </c>
      <c r="B245" s="292" t="s">
        <v>1866</v>
      </c>
      <c r="C245" s="376">
        <v>0.15</v>
      </c>
      <c r="D245" s="376">
        <v>0.15</v>
      </c>
      <c r="E245" s="376">
        <v>0.15</v>
      </c>
      <c r="F245" s="377">
        <v>0.143</v>
      </c>
    </row>
    <row r="246" ht="14.25" spans="1:6">
      <c r="A246" s="291" t="s">
        <v>1865</v>
      </c>
      <c r="B246" s="296" t="s">
        <v>1867</v>
      </c>
      <c r="C246" s="378">
        <v>0.15</v>
      </c>
      <c r="D246" s="378">
        <v>0.15</v>
      </c>
      <c r="E246" s="378">
        <v>0.15</v>
      </c>
      <c r="F246" s="379">
        <v>0.114</v>
      </c>
    </row>
    <row r="247" ht="14.25" spans="1:6">
      <c r="A247" s="291" t="s">
        <v>1865</v>
      </c>
      <c r="B247" s="296" t="s">
        <v>1868</v>
      </c>
      <c r="C247" s="378">
        <v>0.15</v>
      </c>
      <c r="D247" s="378">
        <v>0.15</v>
      </c>
      <c r="E247" s="378">
        <v>0.15</v>
      </c>
      <c r="F247" s="379">
        <v>0.15</v>
      </c>
    </row>
    <row r="248" ht="14.25" spans="1:6">
      <c r="A248" s="291" t="s">
        <v>1865</v>
      </c>
      <c r="B248" s="296" t="s">
        <v>1869</v>
      </c>
      <c r="C248" s="378">
        <v>0.15</v>
      </c>
      <c r="D248" s="378">
        <v>0.15</v>
      </c>
      <c r="E248" s="378">
        <v>0.15</v>
      </c>
      <c r="F248" s="379">
        <v>0.14</v>
      </c>
    </row>
    <row r="249" ht="14.25" spans="1:6">
      <c r="A249" s="291" t="s">
        <v>1865</v>
      </c>
      <c r="B249" s="296" t="s">
        <v>1870</v>
      </c>
      <c r="C249" s="378">
        <v>0.15</v>
      </c>
      <c r="D249" s="378">
        <v>0.149</v>
      </c>
      <c r="E249" s="378">
        <v>0.15</v>
      </c>
      <c r="F249" s="379">
        <v>0.1</v>
      </c>
    </row>
    <row r="250" ht="14.25" spans="1:6">
      <c r="A250" s="291" t="s">
        <v>1865</v>
      </c>
      <c r="B250" s="296" t="s">
        <v>1871</v>
      </c>
      <c r="C250" s="378">
        <v>0.15</v>
      </c>
      <c r="D250" s="378">
        <v>0.15</v>
      </c>
      <c r="E250" s="378">
        <v>0.15</v>
      </c>
      <c r="F250" s="379">
        <v>0.144</v>
      </c>
    </row>
    <row r="251" ht="14.25" spans="1:6">
      <c r="A251" s="291" t="s">
        <v>1865</v>
      </c>
      <c r="B251" s="296" t="s">
        <v>1872</v>
      </c>
      <c r="C251" s="378">
        <v>0.15</v>
      </c>
      <c r="D251" s="378">
        <v>0.15</v>
      </c>
      <c r="E251" s="378">
        <v>0.15</v>
      </c>
      <c r="F251" s="379">
        <v>0.143</v>
      </c>
    </row>
    <row r="252" ht="14.25" spans="1:6">
      <c r="A252" s="291" t="s">
        <v>1865</v>
      </c>
      <c r="B252" s="296" t="s">
        <v>1873</v>
      </c>
      <c r="C252" s="378">
        <v>0.15</v>
      </c>
      <c r="D252" s="378">
        <v>0.15</v>
      </c>
      <c r="E252" s="378">
        <v>0.15</v>
      </c>
      <c r="F252" s="379">
        <v>0.1</v>
      </c>
    </row>
    <row r="253" ht="14.25" spans="1:6">
      <c r="A253" s="291" t="s">
        <v>1865</v>
      </c>
      <c r="B253" s="296" t="s">
        <v>1874</v>
      </c>
      <c r="C253" s="378">
        <v>0.15</v>
      </c>
      <c r="D253" s="378">
        <v>0.15</v>
      </c>
      <c r="E253" s="378">
        <v>0.15</v>
      </c>
      <c r="F253" s="379">
        <v>0.1</v>
      </c>
    </row>
    <row r="254" ht="14.25" spans="1:6">
      <c r="A254" s="291" t="s">
        <v>1865</v>
      </c>
      <c r="B254" s="296" t="s">
        <v>1875</v>
      </c>
      <c r="C254" s="384"/>
      <c r="D254" s="384"/>
      <c r="E254" s="384"/>
      <c r="F254" s="379">
        <v>0.15</v>
      </c>
    </row>
    <row r="255" ht="14.25" spans="1:6">
      <c r="A255" s="291" t="s">
        <v>1865</v>
      </c>
      <c r="B255" s="296" t="s">
        <v>1876</v>
      </c>
      <c r="C255" s="384"/>
      <c r="D255" s="384"/>
      <c r="E255" s="384"/>
      <c r="F255" s="379">
        <v>0.143</v>
      </c>
    </row>
    <row r="256" ht="14.25" spans="1:6">
      <c r="A256" s="291" t="s">
        <v>1865</v>
      </c>
      <c r="B256" s="296" t="s">
        <v>1877</v>
      </c>
      <c r="C256" s="378">
        <v>0.146</v>
      </c>
      <c r="D256" s="378">
        <v>0.147</v>
      </c>
      <c r="E256" s="378">
        <v>0.15</v>
      </c>
      <c r="F256" s="379">
        <v>0.132</v>
      </c>
    </row>
    <row r="257" ht="14.25" spans="1:6">
      <c r="A257" s="291" t="s">
        <v>1865</v>
      </c>
      <c r="B257" s="296" t="s">
        <v>1878</v>
      </c>
      <c r="C257" s="378">
        <v>0.15</v>
      </c>
      <c r="D257" s="378">
        <v>0.15</v>
      </c>
      <c r="E257" s="378">
        <v>0.15</v>
      </c>
      <c r="F257" s="379">
        <v>0.139</v>
      </c>
    </row>
    <row r="258" ht="14.25" spans="1:6">
      <c r="A258" s="291" t="s">
        <v>1865</v>
      </c>
      <c r="B258" s="296" t="s">
        <v>1879</v>
      </c>
      <c r="C258" s="378">
        <v>0.15</v>
      </c>
      <c r="D258" s="378">
        <v>0.15</v>
      </c>
      <c r="E258" s="378">
        <v>0.15</v>
      </c>
      <c r="F258" s="379">
        <v>0.13</v>
      </c>
    </row>
    <row r="259" ht="14.25" spans="1:6">
      <c r="A259" s="291" t="s">
        <v>1865</v>
      </c>
      <c r="B259" s="296" t="s">
        <v>1880</v>
      </c>
      <c r="C259" s="378">
        <v>0.148</v>
      </c>
      <c r="D259" s="378">
        <v>0.149</v>
      </c>
      <c r="E259" s="378">
        <v>0.15</v>
      </c>
      <c r="F259" s="379">
        <v>0.137</v>
      </c>
    </row>
    <row r="260" ht="14.25" spans="1:6">
      <c r="A260" s="291" t="s">
        <v>1865</v>
      </c>
      <c r="B260" s="296" t="s">
        <v>1881</v>
      </c>
      <c r="C260" s="378">
        <v>0.15</v>
      </c>
      <c r="D260" s="378">
        <v>0.15</v>
      </c>
      <c r="E260" s="378">
        <v>0.15</v>
      </c>
      <c r="F260" s="379">
        <v>0.142</v>
      </c>
    </row>
    <row r="261" ht="14.25" spans="1:6">
      <c r="A261" s="291" t="s">
        <v>1865</v>
      </c>
      <c r="B261" s="296" t="s">
        <v>1882</v>
      </c>
      <c r="C261" s="378">
        <v>0.15</v>
      </c>
      <c r="D261" s="378">
        <v>0.15</v>
      </c>
      <c r="E261" s="378">
        <v>0.149</v>
      </c>
      <c r="F261" s="379">
        <v>0.148</v>
      </c>
    </row>
    <row r="262" ht="14.25" spans="1:6">
      <c r="A262" s="291" t="s">
        <v>1865</v>
      </c>
      <c r="B262" s="296" t="s">
        <v>1883</v>
      </c>
      <c r="C262" s="378">
        <v>0.15</v>
      </c>
      <c r="D262" s="378">
        <v>0.15</v>
      </c>
      <c r="E262" s="378">
        <v>0.15</v>
      </c>
      <c r="F262" s="383"/>
    </row>
    <row r="263" ht="14.25" spans="1:6">
      <c r="A263" s="291" t="s">
        <v>1865</v>
      </c>
      <c r="B263" s="296" t="s">
        <v>1884</v>
      </c>
      <c r="C263" s="378">
        <v>0.149</v>
      </c>
      <c r="D263" s="378">
        <v>0.149</v>
      </c>
      <c r="E263" s="378">
        <v>0.15</v>
      </c>
      <c r="F263" s="379">
        <v>0.13</v>
      </c>
    </row>
    <row r="264" ht="14.25" spans="1:6">
      <c r="A264" s="291" t="s">
        <v>1865</v>
      </c>
      <c r="B264" s="296" t="s">
        <v>1885</v>
      </c>
      <c r="C264" s="378">
        <v>0.148</v>
      </c>
      <c r="D264" s="378">
        <v>0.147</v>
      </c>
      <c r="E264" s="378">
        <v>0.15</v>
      </c>
      <c r="F264" s="379">
        <v>0.078</v>
      </c>
    </row>
    <row r="265" ht="14.25" spans="1:6">
      <c r="A265" s="291" t="s">
        <v>1865</v>
      </c>
      <c r="B265" s="296" t="s">
        <v>1886</v>
      </c>
      <c r="C265" s="378">
        <v>0.15</v>
      </c>
      <c r="D265" s="378">
        <v>0.15</v>
      </c>
      <c r="E265" s="378">
        <v>0.15</v>
      </c>
      <c r="F265" s="379">
        <v>0.074</v>
      </c>
    </row>
    <row r="266" ht="14.25" spans="1:6">
      <c r="A266" s="291" t="s">
        <v>1865</v>
      </c>
      <c r="B266" s="296" t="s">
        <v>1887</v>
      </c>
      <c r="C266" s="378">
        <v>0.147</v>
      </c>
      <c r="D266" s="378">
        <v>0.147</v>
      </c>
      <c r="E266" s="378">
        <v>0.15</v>
      </c>
      <c r="F266" s="379">
        <v>0.143</v>
      </c>
    </row>
    <row r="267" ht="14.25" spans="1:6">
      <c r="A267" s="291" t="s">
        <v>1865</v>
      </c>
      <c r="B267" s="296" t="s">
        <v>1888</v>
      </c>
      <c r="C267" s="378">
        <v>0.142</v>
      </c>
      <c r="D267" s="378">
        <v>0.143</v>
      </c>
      <c r="E267" s="378">
        <v>0.15</v>
      </c>
      <c r="F267" s="383"/>
    </row>
    <row r="268" ht="14.25" spans="1:6">
      <c r="A268" s="291" t="s">
        <v>1865</v>
      </c>
      <c r="B268" s="296" t="s">
        <v>1889</v>
      </c>
      <c r="C268" s="378">
        <v>0.15</v>
      </c>
      <c r="D268" s="378">
        <v>0.15</v>
      </c>
      <c r="E268" s="378">
        <v>0.15</v>
      </c>
      <c r="F268" s="379">
        <v>0.13</v>
      </c>
    </row>
    <row r="269" ht="14.25" spans="1:6">
      <c r="A269" s="291" t="s">
        <v>1865</v>
      </c>
      <c r="B269" s="296" t="s">
        <v>1890</v>
      </c>
      <c r="C269" s="378">
        <v>0.15</v>
      </c>
      <c r="D269" s="378">
        <v>0.15</v>
      </c>
      <c r="E269" s="378">
        <v>0.15</v>
      </c>
      <c r="F269" s="379">
        <v>0.143</v>
      </c>
    </row>
    <row r="270" ht="14.25" spans="1:6">
      <c r="A270" s="291" t="s">
        <v>1865</v>
      </c>
      <c r="B270" s="296" t="s">
        <v>1891</v>
      </c>
      <c r="C270" s="378">
        <v>0.145</v>
      </c>
      <c r="D270" s="378">
        <v>0.145</v>
      </c>
      <c r="E270" s="378">
        <v>0.15</v>
      </c>
      <c r="F270" s="379">
        <v>0.147</v>
      </c>
    </row>
    <row r="271" ht="14.25" spans="1:6">
      <c r="A271" s="291" t="s">
        <v>1865</v>
      </c>
      <c r="B271" s="296" t="s">
        <v>1892</v>
      </c>
      <c r="C271" s="378">
        <v>0.15</v>
      </c>
      <c r="D271" s="378">
        <v>0.15</v>
      </c>
      <c r="E271" s="378">
        <v>0.15</v>
      </c>
      <c r="F271" s="379">
        <v>0.138</v>
      </c>
    </row>
    <row r="272" ht="14.25" spans="1:6">
      <c r="A272" s="291" t="s">
        <v>1865</v>
      </c>
      <c r="B272" s="296" t="s">
        <v>1893</v>
      </c>
      <c r="C272" s="384"/>
      <c r="D272" s="384"/>
      <c r="E272" s="384"/>
      <c r="F272" s="379">
        <v>0.14</v>
      </c>
    </row>
    <row r="273" ht="14.25" spans="1:6">
      <c r="A273" s="291" t="s">
        <v>1865</v>
      </c>
      <c r="B273" s="296" t="s">
        <v>1894</v>
      </c>
      <c r="C273" s="378">
        <v>0.142</v>
      </c>
      <c r="D273" s="378">
        <v>0.143</v>
      </c>
      <c r="E273" s="378">
        <v>0.15</v>
      </c>
      <c r="F273" s="379">
        <v>0.1</v>
      </c>
    </row>
    <row r="274" ht="14.25" spans="1:6">
      <c r="A274" s="291" t="s">
        <v>1865</v>
      </c>
      <c r="B274" s="296" t="s">
        <v>1895</v>
      </c>
      <c r="C274" s="378">
        <v>0.148</v>
      </c>
      <c r="D274" s="378">
        <v>0.148</v>
      </c>
      <c r="E274" s="378">
        <v>0.15</v>
      </c>
      <c r="F274" s="379">
        <v>0.067</v>
      </c>
    </row>
    <row r="275" ht="14.25" spans="1:6">
      <c r="A275" s="291" t="s">
        <v>1865</v>
      </c>
      <c r="B275" s="296" t="s">
        <v>1896</v>
      </c>
      <c r="C275" s="378">
        <v>0.15</v>
      </c>
      <c r="D275" s="378">
        <v>0.15</v>
      </c>
      <c r="E275" s="378">
        <v>0.15</v>
      </c>
      <c r="F275" s="379">
        <v>0.15</v>
      </c>
    </row>
    <row r="276" ht="14.25" spans="1:6">
      <c r="A276" s="291" t="s">
        <v>1865</v>
      </c>
      <c r="B276" s="296" t="s">
        <v>1897</v>
      </c>
      <c r="C276" s="378">
        <v>0.145</v>
      </c>
      <c r="D276" s="378">
        <v>0.143</v>
      </c>
      <c r="E276" s="378">
        <v>0.15</v>
      </c>
      <c r="F276" s="379">
        <v>0.059</v>
      </c>
    </row>
    <row r="277" ht="14.25" spans="1:6">
      <c r="A277" s="291" t="s">
        <v>1865</v>
      </c>
      <c r="B277" s="296" t="s">
        <v>1898</v>
      </c>
      <c r="C277" s="378">
        <v>0.15</v>
      </c>
      <c r="D277" s="378">
        <v>0.15</v>
      </c>
      <c r="E277" s="378">
        <v>0.15</v>
      </c>
      <c r="F277" s="379">
        <v>0.121</v>
      </c>
    </row>
    <row r="278" ht="14.25" spans="1:6">
      <c r="A278" s="291" t="s">
        <v>1865</v>
      </c>
      <c r="B278" s="296" t="s">
        <v>1899</v>
      </c>
      <c r="C278" s="378">
        <v>0.15</v>
      </c>
      <c r="D278" s="378">
        <v>0.15</v>
      </c>
      <c r="E278" s="378">
        <v>0.15</v>
      </c>
      <c r="F278" s="379">
        <v>0.138</v>
      </c>
    </row>
    <row r="279" ht="24.75" spans="1:6">
      <c r="A279" s="291" t="s">
        <v>1865</v>
      </c>
      <c r="B279" s="296" t="s">
        <v>1900</v>
      </c>
      <c r="C279" s="384"/>
      <c r="D279" s="384"/>
      <c r="E279" s="384"/>
      <c r="F279" s="379">
        <v>0.05</v>
      </c>
    </row>
    <row r="280" ht="24.75" spans="1:6">
      <c r="A280" s="291" t="s">
        <v>1865</v>
      </c>
      <c r="B280" s="296" t="s">
        <v>1901</v>
      </c>
      <c r="C280" s="384"/>
      <c r="D280" s="384"/>
      <c r="E280" s="384"/>
      <c r="F280" s="379">
        <v>0.05</v>
      </c>
    </row>
    <row r="281" ht="24.75" spans="1:6">
      <c r="A281" s="291" t="s">
        <v>1865</v>
      </c>
      <c r="B281" s="296" t="s">
        <v>1902</v>
      </c>
      <c r="C281" s="384"/>
      <c r="D281" s="384"/>
      <c r="E281" s="384"/>
      <c r="F281" s="379">
        <v>0.05</v>
      </c>
    </row>
    <row r="282" ht="24.75" spans="1:6">
      <c r="A282" s="291" t="s">
        <v>1865</v>
      </c>
      <c r="B282" s="296" t="s">
        <v>1903</v>
      </c>
      <c r="C282" s="384"/>
      <c r="D282" s="384"/>
      <c r="E282" s="384"/>
      <c r="F282" s="379">
        <v>0.05</v>
      </c>
    </row>
    <row r="283" ht="24.75" spans="1:6">
      <c r="A283" s="291" t="s">
        <v>1865</v>
      </c>
      <c r="B283" s="296" t="s">
        <v>1904</v>
      </c>
      <c r="C283" s="384"/>
      <c r="D283" s="384"/>
      <c r="E283" s="384"/>
      <c r="F283" s="379">
        <v>0.05</v>
      </c>
    </row>
    <row r="284" ht="24.75" spans="1:6">
      <c r="A284" s="291" t="s">
        <v>1865</v>
      </c>
      <c r="B284" s="296" t="s">
        <v>1905</v>
      </c>
      <c r="C284" s="384"/>
      <c r="D284" s="384"/>
      <c r="E284" s="384"/>
      <c r="F284" s="379">
        <v>0.05</v>
      </c>
    </row>
    <row r="285" ht="24.75" spans="1:6">
      <c r="A285" s="291" t="s">
        <v>1865</v>
      </c>
      <c r="B285" s="296" t="s">
        <v>1906</v>
      </c>
      <c r="C285" s="384"/>
      <c r="D285" s="384"/>
      <c r="E285" s="384"/>
      <c r="F285" s="379">
        <v>0.05</v>
      </c>
    </row>
    <row r="286" ht="24.75" spans="1:6">
      <c r="A286" s="291" t="s">
        <v>1865</v>
      </c>
      <c r="B286" s="296" t="s">
        <v>1907</v>
      </c>
      <c r="C286" s="384"/>
      <c r="D286" s="384"/>
      <c r="E286" s="384"/>
      <c r="F286" s="379">
        <v>0.05</v>
      </c>
    </row>
    <row r="287" ht="24.75" spans="1:6">
      <c r="A287" s="291" t="s">
        <v>1865</v>
      </c>
      <c r="B287" s="296" t="s">
        <v>1908</v>
      </c>
      <c r="C287" s="384"/>
      <c r="D287" s="384"/>
      <c r="E287" s="384"/>
      <c r="F287" s="379">
        <v>0.05</v>
      </c>
    </row>
    <row r="288" ht="24.75" spans="1:6">
      <c r="A288" s="291" t="s">
        <v>1865</v>
      </c>
      <c r="B288" s="296" t="s">
        <v>1909</v>
      </c>
      <c r="C288" s="384"/>
      <c r="D288" s="384"/>
      <c r="E288" s="384"/>
      <c r="F288" s="379">
        <v>0.05</v>
      </c>
    </row>
    <row r="289" ht="24.75" spans="1:6">
      <c r="A289" s="309" t="s">
        <v>1865</v>
      </c>
      <c r="B289" s="302" t="s">
        <v>1910</v>
      </c>
      <c r="C289" s="381"/>
      <c r="D289" s="381"/>
      <c r="E289" s="381"/>
      <c r="F289" s="385">
        <v>0.05</v>
      </c>
    </row>
    <row r="290" ht="14.25" spans="1:6">
      <c r="A290" s="291" t="s">
        <v>1911</v>
      </c>
      <c r="B290" s="292" t="s">
        <v>1912</v>
      </c>
      <c r="C290" s="376">
        <v>0.15</v>
      </c>
      <c r="D290" s="376">
        <v>0.15</v>
      </c>
      <c r="E290" s="376">
        <v>0.15</v>
      </c>
      <c r="F290" s="393"/>
    </row>
    <row r="291" ht="14.25" spans="1:6">
      <c r="A291" s="291" t="s">
        <v>1911</v>
      </c>
      <c r="B291" s="296" t="s">
        <v>1913</v>
      </c>
      <c r="C291" s="378">
        <v>0.15</v>
      </c>
      <c r="D291" s="378">
        <v>0.15</v>
      </c>
      <c r="E291" s="378">
        <v>0.15</v>
      </c>
      <c r="F291" s="383"/>
    </row>
    <row r="292" ht="14.25" spans="1:6">
      <c r="A292" s="291" t="s">
        <v>1911</v>
      </c>
      <c r="B292" s="296" t="s">
        <v>1914</v>
      </c>
      <c r="C292" s="378">
        <v>0.15</v>
      </c>
      <c r="D292" s="378">
        <v>0.15</v>
      </c>
      <c r="E292" s="378">
        <v>0.15</v>
      </c>
      <c r="F292" s="379">
        <v>0.147</v>
      </c>
    </row>
    <row r="293" ht="14.25" spans="1:6">
      <c r="A293" s="291" t="s">
        <v>1911</v>
      </c>
      <c r="B293" s="296" t="s">
        <v>1915</v>
      </c>
      <c r="C293" s="384"/>
      <c r="D293" s="384"/>
      <c r="E293" s="384"/>
      <c r="F293" s="379">
        <v>0.1</v>
      </c>
    </row>
    <row r="294" ht="14.25" spans="1:6">
      <c r="A294" s="291" t="s">
        <v>1911</v>
      </c>
      <c r="B294" s="296" t="s">
        <v>1916</v>
      </c>
      <c r="C294" s="378">
        <v>0.15</v>
      </c>
      <c r="D294" s="378">
        <v>0.15</v>
      </c>
      <c r="E294" s="378">
        <v>0.15</v>
      </c>
      <c r="F294" s="379">
        <v>0.15</v>
      </c>
    </row>
    <row r="295" ht="14.25" spans="1:6">
      <c r="A295" s="291" t="s">
        <v>1911</v>
      </c>
      <c r="B295" s="296" t="s">
        <v>1917</v>
      </c>
      <c r="C295" s="378">
        <v>0.15</v>
      </c>
      <c r="D295" s="378">
        <v>0.15</v>
      </c>
      <c r="E295" s="378">
        <v>0.15</v>
      </c>
      <c r="F295" s="379">
        <v>0.15</v>
      </c>
    </row>
    <row r="296" ht="14.25" spans="1:6">
      <c r="A296" s="291" t="s">
        <v>1911</v>
      </c>
      <c r="B296" s="296" t="s">
        <v>1918</v>
      </c>
      <c r="C296" s="378">
        <v>0.15</v>
      </c>
      <c r="D296" s="378">
        <v>0.15</v>
      </c>
      <c r="E296" s="378">
        <v>0.15</v>
      </c>
      <c r="F296" s="379">
        <v>0.15</v>
      </c>
    </row>
    <row r="297" ht="14.25" spans="1:6">
      <c r="A297" s="291" t="s">
        <v>1911</v>
      </c>
      <c r="B297" s="296" t="s">
        <v>1919</v>
      </c>
      <c r="C297" s="378">
        <v>0.148</v>
      </c>
      <c r="D297" s="378">
        <v>0.149</v>
      </c>
      <c r="E297" s="378">
        <v>0.15</v>
      </c>
      <c r="F297" s="379">
        <v>0.137</v>
      </c>
    </row>
    <row r="298" ht="14.25" spans="1:6">
      <c r="A298" s="291" t="s">
        <v>1911</v>
      </c>
      <c r="B298" s="296" t="s">
        <v>1920</v>
      </c>
      <c r="C298" s="378">
        <v>0.134</v>
      </c>
      <c r="D298" s="378">
        <v>0.134</v>
      </c>
      <c r="E298" s="378">
        <v>0.145</v>
      </c>
      <c r="F298" s="379">
        <v>0.148</v>
      </c>
    </row>
    <row r="299" ht="14.25" spans="1:6">
      <c r="A299" s="291" t="s">
        <v>1911</v>
      </c>
      <c r="B299" s="296" t="s">
        <v>1921</v>
      </c>
      <c r="C299" s="378">
        <v>0.15</v>
      </c>
      <c r="D299" s="378">
        <v>0.15</v>
      </c>
      <c r="E299" s="378">
        <v>0.15</v>
      </c>
      <c r="F299" s="383"/>
    </row>
    <row r="300" ht="14.25" spans="1:6">
      <c r="A300" s="291" t="s">
        <v>1911</v>
      </c>
      <c r="B300" s="296" t="s">
        <v>1922</v>
      </c>
      <c r="C300" s="378">
        <v>0.15</v>
      </c>
      <c r="D300" s="378">
        <v>0.15</v>
      </c>
      <c r="E300" s="378">
        <v>0.15</v>
      </c>
      <c r="F300" s="379">
        <v>0.15</v>
      </c>
    </row>
    <row r="301" ht="14.25" spans="1:6">
      <c r="A301" s="291" t="s">
        <v>1911</v>
      </c>
      <c r="B301" s="296" t="s">
        <v>1923</v>
      </c>
      <c r="C301" s="378">
        <v>0.15</v>
      </c>
      <c r="D301" s="378">
        <v>0.15</v>
      </c>
      <c r="E301" s="378">
        <v>0.15</v>
      </c>
      <c r="F301" s="383"/>
    </row>
    <row r="302" ht="14.25" spans="1:6">
      <c r="A302" s="291" t="s">
        <v>1911</v>
      </c>
      <c r="B302" s="296" t="s">
        <v>1924</v>
      </c>
      <c r="C302" s="378">
        <v>0.15</v>
      </c>
      <c r="D302" s="378">
        <v>0.15</v>
      </c>
      <c r="E302" s="378">
        <v>0.15</v>
      </c>
      <c r="F302" s="379">
        <v>0.15</v>
      </c>
    </row>
    <row r="303" ht="14.25" spans="1:6">
      <c r="A303" s="291" t="s">
        <v>1911</v>
      </c>
      <c r="B303" s="296" t="s">
        <v>1925</v>
      </c>
      <c r="C303" s="378">
        <v>0.15</v>
      </c>
      <c r="D303" s="378">
        <v>0.15</v>
      </c>
      <c r="E303" s="378">
        <v>0.15</v>
      </c>
      <c r="F303" s="379">
        <v>0.15</v>
      </c>
    </row>
    <row r="304" ht="14.25" spans="1:6">
      <c r="A304" s="291" t="s">
        <v>1911</v>
      </c>
      <c r="B304" s="296" t="s">
        <v>1926</v>
      </c>
      <c r="C304" s="378">
        <v>0.15</v>
      </c>
      <c r="D304" s="378">
        <v>0.15</v>
      </c>
      <c r="E304" s="378">
        <v>0.15</v>
      </c>
      <c r="F304" s="383"/>
    </row>
    <row r="305" ht="14.25" spans="1:6">
      <c r="A305" s="291" t="s">
        <v>1911</v>
      </c>
      <c r="B305" s="296" t="s">
        <v>1927</v>
      </c>
      <c r="C305" s="378">
        <v>0.15</v>
      </c>
      <c r="D305" s="378">
        <v>0.15</v>
      </c>
      <c r="E305" s="378">
        <v>0.15</v>
      </c>
      <c r="F305" s="379">
        <v>0.14</v>
      </c>
    </row>
    <row r="306" ht="14.25" spans="1:6">
      <c r="A306" s="291" t="s">
        <v>1911</v>
      </c>
      <c r="B306" s="296" t="s">
        <v>1928</v>
      </c>
      <c r="C306" s="378">
        <v>0.15</v>
      </c>
      <c r="D306" s="378">
        <v>0.15</v>
      </c>
      <c r="E306" s="378">
        <v>0.15</v>
      </c>
      <c r="F306" s="383"/>
    </row>
    <row r="307" ht="14.25" spans="1:6">
      <c r="A307" s="291" t="s">
        <v>1911</v>
      </c>
      <c r="B307" s="296" t="s">
        <v>1929</v>
      </c>
      <c r="C307" s="378">
        <v>0.15</v>
      </c>
      <c r="D307" s="378">
        <v>0.15</v>
      </c>
      <c r="E307" s="378">
        <v>0.15</v>
      </c>
      <c r="F307" s="379">
        <v>0.143</v>
      </c>
    </row>
    <row r="308" ht="14.25" spans="1:6">
      <c r="A308" s="291" t="s">
        <v>1911</v>
      </c>
      <c r="B308" s="296" t="s">
        <v>1930</v>
      </c>
      <c r="C308" s="378">
        <v>0.15</v>
      </c>
      <c r="D308" s="378">
        <v>0.15</v>
      </c>
      <c r="E308" s="378">
        <v>0.15</v>
      </c>
      <c r="F308" s="379">
        <v>0.15</v>
      </c>
    </row>
    <row r="309" ht="14.25" spans="1:6">
      <c r="A309" s="291" t="s">
        <v>1911</v>
      </c>
      <c r="B309" s="296" t="s">
        <v>1931</v>
      </c>
      <c r="C309" s="378">
        <v>0.15</v>
      </c>
      <c r="D309" s="378">
        <v>0.15</v>
      </c>
      <c r="E309" s="378">
        <v>0.15</v>
      </c>
      <c r="F309" s="383"/>
    </row>
    <row r="310" ht="14.25" spans="1:6">
      <c r="A310" s="291" t="s">
        <v>1911</v>
      </c>
      <c r="B310" s="296" t="s">
        <v>1932</v>
      </c>
      <c r="C310" s="378">
        <v>0.15</v>
      </c>
      <c r="D310" s="378">
        <v>0.15</v>
      </c>
      <c r="E310" s="378">
        <v>0.15</v>
      </c>
      <c r="F310" s="379">
        <v>0.137</v>
      </c>
    </row>
    <row r="311" ht="14.25" spans="1:6">
      <c r="A311" s="291" t="s">
        <v>1911</v>
      </c>
      <c r="B311" s="296" t="s">
        <v>1933</v>
      </c>
      <c r="C311" s="378">
        <v>0.15</v>
      </c>
      <c r="D311" s="378">
        <v>0.15</v>
      </c>
      <c r="E311" s="378">
        <v>0.15</v>
      </c>
      <c r="F311" s="379">
        <v>0.15</v>
      </c>
    </row>
    <row r="312" ht="14.25" spans="1:6">
      <c r="A312" s="291" t="s">
        <v>1911</v>
      </c>
      <c r="B312" s="296" t="s">
        <v>1934</v>
      </c>
      <c r="C312" s="378">
        <v>0.15</v>
      </c>
      <c r="D312" s="378">
        <v>0.15</v>
      </c>
      <c r="E312" s="378">
        <v>0.15</v>
      </c>
      <c r="F312" s="379">
        <v>0.1</v>
      </c>
    </row>
    <row r="313" ht="14.25" spans="1:6">
      <c r="A313" s="291" t="s">
        <v>1911</v>
      </c>
      <c r="B313" s="296" t="s">
        <v>1935</v>
      </c>
      <c r="C313" s="378">
        <v>0.15</v>
      </c>
      <c r="D313" s="378">
        <v>0.15</v>
      </c>
      <c r="E313" s="378">
        <v>0.15</v>
      </c>
      <c r="F313" s="379">
        <v>0.15</v>
      </c>
    </row>
    <row r="314" ht="24.75" spans="1:6">
      <c r="A314" s="291" t="s">
        <v>1911</v>
      </c>
      <c r="B314" s="296" t="s">
        <v>1936</v>
      </c>
      <c r="C314" s="384"/>
      <c r="D314" s="384"/>
      <c r="E314" s="384"/>
      <c r="F314" s="379">
        <v>0.05</v>
      </c>
    </row>
    <row r="315" ht="24.75" spans="1:6">
      <c r="A315" s="291" t="s">
        <v>1911</v>
      </c>
      <c r="B315" s="296" t="s">
        <v>1937</v>
      </c>
      <c r="C315" s="384"/>
      <c r="D315" s="384"/>
      <c r="E315" s="384"/>
      <c r="F315" s="379">
        <v>0.05</v>
      </c>
    </row>
    <row r="316" ht="24.75" spans="1:6">
      <c r="A316" s="309" t="s">
        <v>1911</v>
      </c>
      <c r="B316" s="302" t="s">
        <v>1938</v>
      </c>
      <c r="C316" s="381"/>
      <c r="D316" s="381"/>
      <c r="E316" s="381"/>
      <c r="F316" s="385">
        <v>0.05</v>
      </c>
    </row>
    <row r="317" ht="14.25" spans="1:6">
      <c r="A317" s="291" t="s">
        <v>1939</v>
      </c>
      <c r="B317" s="292" t="s">
        <v>1940</v>
      </c>
      <c r="C317" s="376">
        <v>0.15</v>
      </c>
      <c r="D317" s="376">
        <v>0.15</v>
      </c>
      <c r="E317" s="376">
        <v>0.15</v>
      </c>
      <c r="F317" s="377">
        <v>0.15</v>
      </c>
    </row>
    <row r="318" ht="14.25" spans="1:6">
      <c r="A318" s="291" t="s">
        <v>1939</v>
      </c>
      <c r="B318" s="296" t="s">
        <v>1941</v>
      </c>
      <c r="C318" s="378">
        <v>0.107</v>
      </c>
      <c r="D318" s="378">
        <v>0.11</v>
      </c>
      <c r="E318" s="378">
        <v>0.112</v>
      </c>
      <c r="F318" s="383"/>
    </row>
    <row r="319" ht="14.25" spans="1:6">
      <c r="A319" s="291" t="s">
        <v>1939</v>
      </c>
      <c r="B319" s="296" t="s">
        <v>1942</v>
      </c>
      <c r="C319" s="378">
        <v>0.15</v>
      </c>
      <c r="D319" s="378">
        <v>0.15</v>
      </c>
      <c r="E319" s="378">
        <v>0.15</v>
      </c>
      <c r="F319" s="379">
        <v>0.15</v>
      </c>
    </row>
    <row r="320" ht="14.25" spans="1:6">
      <c r="A320" s="291" t="s">
        <v>1939</v>
      </c>
      <c r="B320" s="296" t="s">
        <v>1943</v>
      </c>
      <c r="C320" s="378">
        <v>0.15</v>
      </c>
      <c r="D320" s="378">
        <v>0.15</v>
      </c>
      <c r="E320" s="378">
        <v>0.15</v>
      </c>
      <c r="F320" s="383"/>
    </row>
    <row r="321" ht="14.25" spans="1:6">
      <c r="A321" s="291" t="s">
        <v>1939</v>
      </c>
      <c r="B321" s="296" t="s">
        <v>1944</v>
      </c>
      <c r="C321" s="378">
        <v>0.15</v>
      </c>
      <c r="D321" s="378">
        <v>0.15</v>
      </c>
      <c r="E321" s="378">
        <v>0.15</v>
      </c>
      <c r="F321" s="383"/>
    </row>
    <row r="322" ht="14.25" spans="1:6">
      <c r="A322" s="291" t="s">
        <v>1939</v>
      </c>
      <c r="B322" s="296" t="s">
        <v>1945</v>
      </c>
      <c r="C322" s="378">
        <v>0.15</v>
      </c>
      <c r="D322" s="378">
        <v>0.15</v>
      </c>
      <c r="E322" s="378">
        <v>0.15</v>
      </c>
      <c r="F322" s="379">
        <v>0.15</v>
      </c>
    </row>
    <row r="323" ht="14.25" spans="1:6">
      <c r="A323" s="291" t="s">
        <v>1939</v>
      </c>
      <c r="B323" s="296" t="s">
        <v>1946</v>
      </c>
      <c r="C323" s="378">
        <v>0.15</v>
      </c>
      <c r="D323" s="378">
        <v>0.15</v>
      </c>
      <c r="E323" s="378">
        <v>0.15</v>
      </c>
      <c r="F323" s="383"/>
    </row>
    <row r="324" ht="14.25" spans="1:6">
      <c r="A324" s="291" t="s">
        <v>1939</v>
      </c>
      <c r="B324" s="296" t="s">
        <v>1947</v>
      </c>
      <c r="C324" s="378">
        <v>0.15</v>
      </c>
      <c r="D324" s="378">
        <v>0.15</v>
      </c>
      <c r="E324" s="378">
        <v>0.15</v>
      </c>
      <c r="F324" s="383"/>
    </row>
    <row r="325" ht="14.25" spans="1:6">
      <c r="A325" s="291" t="s">
        <v>1939</v>
      </c>
      <c r="B325" s="296" t="s">
        <v>1948</v>
      </c>
      <c r="C325" s="378">
        <v>0.15</v>
      </c>
      <c r="D325" s="378">
        <v>0.15</v>
      </c>
      <c r="E325" s="378">
        <v>0.15</v>
      </c>
      <c r="F325" s="379">
        <v>0.147</v>
      </c>
    </row>
    <row r="326" ht="14.25" spans="1:6">
      <c r="A326" s="291" t="s">
        <v>1939</v>
      </c>
      <c r="B326" s="296" t="s">
        <v>1949</v>
      </c>
      <c r="C326" s="378">
        <v>0.15</v>
      </c>
      <c r="D326" s="378">
        <v>0.15</v>
      </c>
      <c r="E326" s="378">
        <v>0.15</v>
      </c>
      <c r="F326" s="383"/>
    </row>
    <row r="327" ht="14.25" spans="1:6">
      <c r="A327" s="291" t="s">
        <v>1939</v>
      </c>
      <c r="B327" s="296" t="s">
        <v>1950</v>
      </c>
      <c r="C327" s="378">
        <v>0.15</v>
      </c>
      <c r="D327" s="378">
        <v>0.15</v>
      </c>
      <c r="E327" s="378">
        <v>0.15</v>
      </c>
      <c r="F327" s="379">
        <v>0.15</v>
      </c>
    </row>
    <row r="328" ht="14.25" spans="1:6">
      <c r="A328" s="291" t="s">
        <v>1939</v>
      </c>
      <c r="B328" s="296" t="s">
        <v>1951</v>
      </c>
      <c r="C328" s="378">
        <v>0.15</v>
      </c>
      <c r="D328" s="378">
        <v>0.15</v>
      </c>
      <c r="E328" s="378">
        <v>0.15</v>
      </c>
      <c r="F328" s="379">
        <v>0.141</v>
      </c>
    </row>
    <row r="329" ht="14.25" spans="1:6">
      <c r="A329" s="291" t="s">
        <v>1939</v>
      </c>
      <c r="B329" s="296" t="s">
        <v>1952</v>
      </c>
      <c r="C329" s="378">
        <v>0.15</v>
      </c>
      <c r="D329" s="378">
        <v>0.15</v>
      </c>
      <c r="E329" s="378">
        <v>0.15</v>
      </c>
      <c r="F329" s="379">
        <v>0.15</v>
      </c>
    </row>
    <row r="330" ht="14.25" spans="1:6">
      <c r="A330" s="291" t="s">
        <v>1939</v>
      </c>
      <c r="B330" s="296" t="s">
        <v>1953</v>
      </c>
      <c r="C330" s="378">
        <v>0.15</v>
      </c>
      <c r="D330" s="378">
        <v>0.15</v>
      </c>
      <c r="E330" s="378">
        <v>0.15</v>
      </c>
      <c r="F330" s="383"/>
    </row>
    <row r="331" ht="14.25" spans="1:6">
      <c r="A331" s="291" t="s">
        <v>1939</v>
      </c>
      <c r="B331" s="296" t="s">
        <v>1954</v>
      </c>
      <c r="C331" s="378">
        <v>0.15</v>
      </c>
      <c r="D331" s="378">
        <v>0.15</v>
      </c>
      <c r="E331" s="378">
        <v>0.15</v>
      </c>
      <c r="F331" s="379">
        <v>0.15</v>
      </c>
    </row>
    <row r="332" ht="14.25" spans="1:6">
      <c r="A332" s="291" t="s">
        <v>1939</v>
      </c>
      <c r="B332" s="296" t="s">
        <v>1955</v>
      </c>
      <c r="C332" s="378">
        <v>0.15</v>
      </c>
      <c r="D332" s="378">
        <v>0.15</v>
      </c>
      <c r="E332" s="378">
        <v>0.15</v>
      </c>
      <c r="F332" s="379">
        <v>0.15</v>
      </c>
    </row>
    <row r="333" ht="14.25" spans="1:6">
      <c r="A333" s="291" t="s">
        <v>1939</v>
      </c>
      <c r="B333" s="296" t="s">
        <v>1956</v>
      </c>
      <c r="C333" s="378">
        <v>0.15</v>
      </c>
      <c r="D333" s="378">
        <v>0.15</v>
      </c>
      <c r="E333" s="378">
        <v>0.15</v>
      </c>
      <c r="F333" s="379">
        <v>0.141</v>
      </c>
    </row>
    <row r="334" ht="14.25" spans="1:6">
      <c r="A334" s="291" t="s">
        <v>1939</v>
      </c>
      <c r="B334" s="296" t="s">
        <v>1957</v>
      </c>
      <c r="C334" s="378">
        <v>0.15</v>
      </c>
      <c r="D334" s="378">
        <v>0.15</v>
      </c>
      <c r="E334" s="378">
        <v>0.15</v>
      </c>
      <c r="F334" s="379">
        <v>0.15</v>
      </c>
    </row>
    <row r="335" ht="14.25" spans="1:6">
      <c r="A335" s="291" t="s">
        <v>1939</v>
      </c>
      <c r="B335" s="296" t="s">
        <v>1958</v>
      </c>
      <c r="C335" s="378">
        <v>0.15</v>
      </c>
      <c r="D335" s="378">
        <v>0.15</v>
      </c>
      <c r="E335" s="378">
        <v>0.15</v>
      </c>
      <c r="F335" s="383"/>
    </row>
    <row r="336" ht="14.25" spans="1:6">
      <c r="A336" s="291" t="s">
        <v>1939</v>
      </c>
      <c r="B336" s="296" t="s">
        <v>1959</v>
      </c>
      <c r="C336" s="378">
        <v>0.15</v>
      </c>
      <c r="D336" s="378">
        <v>0.15</v>
      </c>
      <c r="E336" s="378">
        <v>0.15</v>
      </c>
      <c r="F336" s="379">
        <v>0.118</v>
      </c>
    </row>
    <row r="337" ht="14.25" spans="1:6">
      <c r="A337" s="309" t="s">
        <v>1939</v>
      </c>
      <c r="B337" s="302" t="s">
        <v>1960</v>
      </c>
      <c r="C337" s="381"/>
      <c r="D337" s="381"/>
      <c r="E337" s="381"/>
      <c r="F337" s="385">
        <v>0.143</v>
      </c>
    </row>
    <row r="338" ht="14.25" spans="1:6">
      <c r="A338" s="291" t="s">
        <v>1961</v>
      </c>
      <c r="B338" s="292" t="s">
        <v>1962</v>
      </c>
      <c r="C338" s="376">
        <v>0.15</v>
      </c>
      <c r="D338" s="376">
        <v>0.15</v>
      </c>
      <c r="E338" s="376">
        <v>0.15</v>
      </c>
      <c r="F338" s="393"/>
    </row>
    <row r="339" ht="14.25" spans="1:6">
      <c r="A339" s="291" t="s">
        <v>1961</v>
      </c>
      <c r="B339" s="296" t="s">
        <v>1963</v>
      </c>
      <c r="C339" s="378">
        <v>0.15</v>
      </c>
      <c r="D339" s="378">
        <v>0.15</v>
      </c>
      <c r="E339" s="378">
        <v>0.15</v>
      </c>
      <c r="F339" s="383"/>
    </row>
    <row r="340" ht="14.25" spans="1:6">
      <c r="A340" s="291" t="s">
        <v>1961</v>
      </c>
      <c r="B340" s="296" t="s">
        <v>1964</v>
      </c>
      <c r="C340" s="378">
        <v>0.15</v>
      </c>
      <c r="D340" s="378">
        <v>0.15</v>
      </c>
      <c r="E340" s="378">
        <v>0.15</v>
      </c>
      <c r="F340" s="383"/>
    </row>
    <row r="341" ht="14.25" spans="1:6">
      <c r="A341" s="291" t="s">
        <v>1961</v>
      </c>
      <c r="B341" s="296" t="s">
        <v>1965</v>
      </c>
      <c r="C341" s="378">
        <v>0.15</v>
      </c>
      <c r="D341" s="378">
        <v>0.15</v>
      </c>
      <c r="E341" s="378">
        <v>0.15</v>
      </c>
      <c r="F341" s="379">
        <v>0.15</v>
      </c>
    </row>
    <row r="342" ht="14.25" spans="1:6">
      <c r="A342" s="291" t="s">
        <v>1961</v>
      </c>
      <c r="B342" s="296" t="s">
        <v>1966</v>
      </c>
      <c r="C342" s="378">
        <v>0.15</v>
      </c>
      <c r="D342" s="378">
        <v>0.15</v>
      </c>
      <c r="E342" s="378">
        <v>0.15</v>
      </c>
      <c r="F342" s="379">
        <v>0.15</v>
      </c>
    </row>
    <row r="343" ht="14.25" spans="1:6">
      <c r="A343" s="291" t="s">
        <v>1961</v>
      </c>
      <c r="B343" s="296" t="s">
        <v>1967</v>
      </c>
      <c r="C343" s="378">
        <v>0.15</v>
      </c>
      <c r="D343" s="378">
        <v>0.15</v>
      </c>
      <c r="E343" s="378">
        <v>0.15</v>
      </c>
      <c r="F343" s="379">
        <v>0.15</v>
      </c>
    </row>
    <row r="344" ht="14.25" spans="1:6">
      <c r="A344" s="309" t="s">
        <v>1961</v>
      </c>
      <c r="B344" s="302" t="s">
        <v>1968</v>
      </c>
      <c r="C344" s="380">
        <v>0.15</v>
      </c>
      <c r="D344" s="380">
        <v>0.15</v>
      </c>
      <c r="E344" s="380">
        <v>0.15</v>
      </c>
      <c r="F344" s="385">
        <v>0.15</v>
      </c>
    </row>
  </sheetData>
  <sheetProtection password="C66D" sheet="1" objects="1" scenarios="1"/>
  <mergeCells count="1">
    <mergeCell ref="A1:B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33333333333" style="320" customWidth="1"/>
    <col min="2" max="2" width="40.6333333333333"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1969</v>
      </c>
      <c r="B1" s="326"/>
      <c r="C1" s="327"/>
      <c r="D1" s="328"/>
      <c r="E1" s="328"/>
      <c r="F1" s="329"/>
      <c r="G1" s="330"/>
      <c r="H1" s="329"/>
      <c r="I1" s="330"/>
      <c r="J1" s="330"/>
      <c r="K1" s="330"/>
      <c r="L1" s="330"/>
      <c r="M1" s="330"/>
      <c r="N1" s="319"/>
      <c r="O1" s="319"/>
      <c r="P1" s="319"/>
      <c r="Q1" s="319"/>
      <c r="R1" s="319"/>
      <c r="S1" s="319"/>
      <c r="T1" s="319"/>
    </row>
    <row r="2" customHeight="1" spans="1:13">
      <c r="A2" s="331" t="s">
        <v>1614</v>
      </c>
      <c r="B2" s="332">
        <f>1+F4</f>
        <v>1.0129</v>
      </c>
      <c r="C2" s="333"/>
      <c r="D2" s="334"/>
      <c r="E2" s="334"/>
      <c r="F2" s="335"/>
      <c r="G2" s="336"/>
      <c r="H2" s="329"/>
      <c r="I2" s="330"/>
      <c r="J2" s="330"/>
      <c r="K2" s="330"/>
      <c r="L2" s="330"/>
      <c r="M2" s="330"/>
    </row>
    <row r="3" ht="13.5" spans="1:13">
      <c r="A3" s="248" t="s">
        <v>1970</v>
      </c>
      <c r="B3" s="249" t="s">
        <v>1971</v>
      </c>
      <c r="C3" s="337" t="s">
        <v>1972</v>
      </c>
      <c r="D3" s="338" t="s">
        <v>1973</v>
      </c>
      <c r="E3" s="338" t="s">
        <v>1974</v>
      </c>
      <c r="F3" s="339" t="s">
        <v>1975</v>
      </c>
      <c r="G3" s="340" t="s">
        <v>1976</v>
      </c>
      <c r="H3" s="338" t="s">
        <v>1235</v>
      </c>
      <c r="I3" s="370" t="s">
        <v>1977</v>
      </c>
      <c r="J3" s="370" t="s">
        <v>1978</v>
      </c>
      <c r="K3" s="370" t="s">
        <v>1979</v>
      </c>
      <c r="L3" s="370" t="s">
        <v>1980</v>
      </c>
      <c r="M3" s="370" t="s">
        <v>1981</v>
      </c>
    </row>
    <row r="4" ht="24" spans="1:13">
      <c r="A4" s="248" t="s">
        <v>1982</v>
      </c>
      <c r="B4" s="341" t="str">
        <f>估价对象房地状况!C4</f>
        <v>估价对象周边道路状况、公共交通通达情况、停车便捷程度，综合评价交通便捷度好</v>
      </c>
      <c r="C4" s="342" t="s">
        <v>1583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24" spans="1:13">
      <c r="A5" s="248" t="s">
        <v>1983</v>
      </c>
      <c r="B5" s="348" t="str">
        <f>估价对象房地状况!C6</f>
        <v>估价对象周边道路状况、公共交通通达情况、停车便捷程度，综合评价交通便捷度好</v>
      </c>
      <c r="C5" s="342" t="s">
        <v>1984</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1985</v>
      </c>
      <c r="B6" s="249">
        <f>估价对象房地状况!C19</f>
        <v>0</v>
      </c>
      <c r="C6" s="342" t="s">
        <v>1583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1986</v>
      </c>
      <c r="B7" s="351" t="s">
        <v>1987</v>
      </c>
      <c r="C7" s="342" t="s">
        <v>1988</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1989</v>
      </c>
      <c r="B8" s="249" t="str">
        <f>估价对象房地状况!C10</f>
        <v>城市主干道——东三环中路</v>
      </c>
      <c r="C8" s="342" t="s">
        <v>1583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1990</v>
      </c>
      <c r="B9" s="352" t="s">
        <v>1991</v>
      </c>
      <c r="C9" s="342" t="s">
        <v>1583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1992</v>
      </c>
      <c r="B10" s="251" t="str">
        <f>估价对象房地状况!C7</f>
        <v>估价对象所在区域公共配套设施完备程度好</v>
      </c>
      <c r="C10" s="342" t="s">
        <v>1582</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1993</v>
      </c>
      <c r="B11" s="354"/>
      <c r="C11" s="342" t="s">
        <v>1984</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1994</v>
      </c>
      <c r="B12" s="356" t="str">
        <f>估价对象房地状况!C9</f>
        <v>区域自然环境：CBD历史文化公园、呼家楼社区公园、联馨园；人文环境韩国文化院、考文垂大学、北京今日美术馆：综合评价环境状况好</v>
      </c>
      <c r="C12" s="342" t="s">
        <v>1582</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353</v>
      </c>
      <c r="B13" s="332">
        <f>1+F15</f>
        <v>1.0149</v>
      </c>
      <c r="C13" s="359"/>
      <c r="D13" s="334"/>
      <c r="E13" s="334"/>
      <c r="F13" s="335"/>
      <c r="G13" s="336"/>
      <c r="H13" s="329"/>
      <c r="I13" s="281"/>
      <c r="J13" s="281"/>
      <c r="K13" s="281"/>
      <c r="L13" s="281"/>
      <c r="M13" s="281"/>
    </row>
    <row r="14" customHeight="1" spans="1:13">
      <c r="A14" s="248" t="s">
        <v>1970</v>
      </c>
      <c r="B14" s="249"/>
      <c r="C14" s="337" t="s">
        <v>1972</v>
      </c>
      <c r="D14" s="338" t="s">
        <v>1973</v>
      </c>
      <c r="E14" s="338" t="s">
        <v>1974</v>
      </c>
      <c r="F14" s="339" t="s">
        <v>1975</v>
      </c>
      <c r="G14" s="340" t="s">
        <v>1976</v>
      </c>
      <c r="H14" s="338" t="s">
        <v>1235</v>
      </c>
      <c r="I14" s="370" t="s">
        <v>1977</v>
      </c>
      <c r="J14" s="370" t="s">
        <v>1978</v>
      </c>
      <c r="K14" s="370" t="s">
        <v>1979</v>
      </c>
      <c r="L14" s="370" t="s">
        <v>1980</v>
      </c>
      <c r="M14" s="370" t="s">
        <v>1981</v>
      </c>
    </row>
    <row r="15" ht="24" spans="1:13">
      <c r="A15" s="248" t="s">
        <v>1995</v>
      </c>
      <c r="B15" s="341" t="str">
        <f>估价对象房地状况!C5</f>
        <v>估价对象位于CBD商圈，周边办公楼项目成熟度好，办公集聚程度好</v>
      </c>
      <c r="C15" s="342" t="s">
        <v>1583</v>
      </c>
      <c r="D15" s="343">
        <f t="shared" ref="D15:D23" si="4">SUMIF($I$3:$M$3,C15,I15:M15)</f>
        <v>0.02</v>
      </c>
      <c r="E15" s="344">
        <v>0.24</v>
      </c>
      <c r="F15" s="345">
        <f>D15*E15+D16*E16+D17*E17+D18*E18+D19*E19+D20*E20+D21*E21+D22*E22+D23*E23</f>
        <v>0.0149</v>
      </c>
      <c r="G15" s="346">
        <f>IF(基准地价修正!E2="办公",SUMIF(基准地价修正!L1:L12,基准地价修正!G2,基准地价修正!N1:N12),"——")</f>
        <v>0.098</v>
      </c>
      <c r="H15" s="347">
        <v>0.02</v>
      </c>
      <c r="I15" s="371">
        <f>J15+$H15</f>
        <v>0.04</v>
      </c>
      <c r="J15" s="371">
        <f>$K15+$H15</f>
        <v>0.02</v>
      </c>
      <c r="K15" s="372">
        <v>0</v>
      </c>
      <c r="L15" s="371">
        <f t="shared" ref="L15:M23" si="5">K15-$H15</f>
        <v>-0.02</v>
      </c>
      <c r="M15" s="371">
        <f t="shared" si="5"/>
        <v>-0.04</v>
      </c>
    </row>
    <row r="16" ht="24" spans="1:13">
      <c r="A16" s="248" t="s">
        <v>1983</v>
      </c>
      <c r="B16" s="249" t="str">
        <f>估价对象房地状况!C6</f>
        <v>估价对象周边道路状况、公共交通通达情况、停车便捷程度，综合评价交通便捷度好</v>
      </c>
      <c r="C16" s="342" t="s">
        <v>1583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1985</v>
      </c>
      <c r="B17" s="249">
        <f>估价对象房地状况!C19</f>
        <v>0</v>
      </c>
      <c r="C17" s="342" t="s">
        <v>1583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1986</v>
      </c>
      <c r="B18" s="351" t="s">
        <v>1987</v>
      </c>
      <c r="C18" s="342" t="s">
        <v>1583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1989</v>
      </c>
      <c r="B19" s="249" t="str">
        <f>估价对象房地状况!C10</f>
        <v>城市主干道——东三环中路</v>
      </c>
      <c r="C19" s="342" t="s">
        <v>1583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1990</v>
      </c>
      <c r="B20" s="352" t="s">
        <v>1991</v>
      </c>
      <c r="C20" s="342" t="s">
        <v>1583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1992</v>
      </c>
      <c r="B21" s="251" t="str">
        <f>估价对象房地状况!C7</f>
        <v>估价对象所在区域公共配套设施完备程度好</v>
      </c>
      <c r="C21" s="342" t="s">
        <v>1583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1993</v>
      </c>
      <c r="B22" s="354"/>
      <c r="C22" s="342" t="s">
        <v>1583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1994</v>
      </c>
      <c r="B23" s="360" t="str">
        <f>估价对象房地状况!C9</f>
        <v>区域自然环境：CBD历史文化公园、呼家楼社区公园、联馨园；人文环境韩国文化院、考文垂大学、北京今日美术馆：综合评价环境状况好</v>
      </c>
      <c r="C23" s="342" t="s">
        <v>1583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1615</v>
      </c>
      <c r="B24" s="332">
        <f>1+F26</f>
        <v>1.0597</v>
      </c>
      <c r="C24" s="359"/>
      <c r="D24" s="334"/>
      <c r="E24" s="334"/>
      <c r="F24" s="335"/>
      <c r="G24" s="336"/>
      <c r="H24" s="329"/>
      <c r="I24" s="281"/>
      <c r="J24" s="281"/>
      <c r="K24" s="281"/>
      <c r="L24" s="281"/>
      <c r="M24" s="281"/>
    </row>
    <row r="25" ht="13.5" spans="1:13">
      <c r="A25" s="248" t="s">
        <v>1970</v>
      </c>
      <c r="B25" s="249"/>
      <c r="C25" s="337" t="s">
        <v>1972</v>
      </c>
      <c r="D25" s="338" t="s">
        <v>1973</v>
      </c>
      <c r="E25" s="338" t="s">
        <v>1974</v>
      </c>
      <c r="F25" s="339" t="s">
        <v>1975</v>
      </c>
      <c r="G25" s="340" t="s">
        <v>1976</v>
      </c>
      <c r="H25" s="338" t="s">
        <v>1235</v>
      </c>
      <c r="I25" s="370" t="s">
        <v>1977</v>
      </c>
      <c r="J25" s="370" t="s">
        <v>1978</v>
      </c>
      <c r="K25" s="370" t="s">
        <v>1979</v>
      </c>
      <c r="L25" s="370" t="s">
        <v>1980</v>
      </c>
      <c r="M25" s="370" t="s">
        <v>1981</v>
      </c>
    </row>
    <row r="26" ht="24" spans="1:13">
      <c r="A26" s="248" t="s">
        <v>1996</v>
      </c>
      <c r="B26" s="341" t="str">
        <f>估价对象房地状况!C3</f>
        <v>估价对象位于CBD商圈，周边办公楼项目成熟度好，办公集聚程度好</v>
      </c>
      <c r="C26" s="342" t="s">
        <v>1583</v>
      </c>
      <c r="D26" s="343">
        <f t="shared" ref="D26:D34" si="8">SUMIF($I$3:$M$3,C26,I26:M26)</f>
        <v>0.08</v>
      </c>
      <c r="E26" s="344">
        <v>0.14</v>
      </c>
      <c r="F26" s="345">
        <f>D26*E26+D27*E27+D28*E28+D29*E29+D30*E30+D32*E32+D31*E31+D33*E33+D34*E34</f>
        <v>0.0597</v>
      </c>
      <c r="G26" s="346" t="str">
        <f>IF(基准地价修正!E2="住宅",SUMIF(基准地价修正!L1:L12,基准地价修正!G2,基准地价修正!N1:N12),"——")</f>
        <v>——</v>
      </c>
      <c r="H26" s="347">
        <v>0.08</v>
      </c>
      <c r="I26" s="371">
        <f>J26+$H26</f>
        <v>0.16</v>
      </c>
      <c r="J26" s="371">
        <f>$K26+$H26</f>
        <v>0.08</v>
      </c>
      <c r="K26" s="372">
        <v>0</v>
      </c>
      <c r="L26" s="371">
        <f t="shared" ref="L26:M34" si="9">K26-$H26</f>
        <v>-0.08</v>
      </c>
      <c r="M26" s="371">
        <f t="shared" si="9"/>
        <v>-0.16</v>
      </c>
    </row>
    <row r="27" ht="24" spans="1:13">
      <c r="A27" s="248" t="s">
        <v>1983</v>
      </c>
      <c r="B27" s="249" t="str">
        <f>估价对象房地状况!C6</f>
        <v>估价对象周边道路状况、公共交通通达情况、停车便捷程度，综合评价交通便捷度好</v>
      </c>
      <c r="C27" s="342" t="s">
        <v>1583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1985</v>
      </c>
      <c r="B28" s="249">
        <f>估价对象房地状况!C19</f>
        <v>0</v>
      </c>
      <c r="C28" s="342" t="s">
        <v>1583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1997</v>
      </c>
      <c r="B29" s="249" t="str">
        <f>估价对象房地状况!C10</f>
        <v>城市主干道——东三环中路</v>
      </c>
      <c r="C29" s="342" t="s">
        <v>1582</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1992</v>
      </c>
      <c r="B30" s="251" t="str">
        <f>估价对象房地状况!C7</f>
        <v>估价对象所在区域公共配套设施完备程度好</v>
      </c>
      <c r="C30" s="342" t="s">
        <v>1583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1993</v>
      </c>
      <c r="B31" s="354"/>
      <c r="C31" s="342" t="s">
        <v>1582</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1990</v>
      </c>
      <c r="B32" s="352" t="s">
        <v>1991</v>
      </c>
      <c r="C32" s="342" t="s">
        <v>1583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1994</v>
      </c>
      <c r="B33" s="341" t="str">
        <f>估价对象房地状况!C9</f>
        <v>区域自然环境：CBD历史文化公园、呼家楼社区公园、联馨园；人文环境韩国文化院、考文垂大学、北京今日美术馆：综合评价环境状况好</v>
      </c>
      <c r="C33" s="342" t="s">
        <v>1583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1998</v>
      </c>
      <c r="B34" s="363" t="s">
        <v>1999</v>
      </c>
      <c r="C34" s="342" t="s">
        <v>1984</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1616</v>
      </c>
      <c r="B35" s="332">
        <f>1+F37</f>
        <v>1.0128</v>
      </c>
      <c r="C35" s="359"/>
      <c r="D35" s="334"/>
      <c r="E35" s="334"/>
      <c r="F35" s="335"/>
      <c r="G35" s="336"/>
      <c r="H35" s="329"/>
      <c r="I35" s="281"/>
      <c r="J35" s="281"/>
      <c r="K35" s="281"/>
      <c r="L35" s="281"/>
      <c r="M35" s="281"/>
    </row>
    <row r="36" ht="13.5" spans="1:13">
      <c r="A36" s="248" t="s">
        <v>1970</v>
      </c>
      <c r="B36" s="249"/>
      <c r="C36" s="337" t="s">
        <v>1972</v>
      </c>
      <c r="D36" s="338" t="s">
        <v>1973</v>
      </c>
      <c r="E36" s="338" t="s">
        <v>1974</v>
      </c>
      <c r="F36" s="339" t="s">
        <v>1975</v>
      </c>
      <c r="G36" s="340" t="s">
        <v>1976</v>
      </c>
      <c r="H36" s="338" t="s">
        <v>1235</v>
      </c>
      <c r="I36" s="370" t="s">
        <v>1977</v>
      </c>
      <c r="J36" s="370" t="s">
        <v>1978</v>
      </c>
      <c r="K36" s="370" t="s">
        <v>1979</v>
      </c>
      <c r="L36" s="370" t="s">
        <v>1980</v>
      </c>
      <c r="M36" s="370" t="s">
        <v>1981</v>
      </c>
    </row>
    <row r="37" ht="24" spans="1:13">
      <c r="A37" s="248" t="s">
        <v>2000</v>
      </c>
      <c r="B37" s="249" t="str">
        <f>估价对象房地状况!G3</f>
        <v>估价对象位于XX开发区，园区建设成熟度XX，产业集聚程度XX</v>
      </c>
      <c r="C37" s="342" t="s">
        <v>1583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1983</v>
      </c>
      <c r="B38" s="249" t="str">
        <f>估价对象房地状况!G4</f>
        <v>估价对象周边道路状况、公共交通通达情况、停车便捷程度，综合评价交通便捷度较好</v>
      </c>
      <c r="C38" s="342" t="s">
        <v>1583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1985</v>
      </c>
      <c r="B39" s="249">
        <f>估价对象房地状况!G17</f>
        <v>0</v>
      </c>
      <c r="C39" s="342" t="s">
        <v>1583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1997</v>
      </c>
      <c r="B40" s="249">
        <f>估价对象房地状况!G22</f>
        <v>0</v>
      </c>
      <c r="C40" s="342" t="s">
        <v>1583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1992</v>
      </c>
      <c r="B41" s="251" t="str">
        <f>估价对象房地状况!G19</f>
        <v>估价对象所在区域公共配套设施齐备情况</v>
      </c>
      <c r="C41" s="342" t="s">
        <v>1583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1993</v>
      </c>
      <c r="B42" s="354"/>
      <c r="C42" s="342" t="s">
        <v>1583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1990</v>
      </c>
      <c r="B43" s="352" t="s">
        <v>1991</v>
      </c>
      <c r="C43" s="342" t="s">
        <v>2001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2002</v>
      </c>
      <c r="B44" s="365" t="str">
        <f>估价对象房地状况!G18</f>
        <v>该园区内是否有污染型企业，绿化情况，卫生条件，整体环境状况判断</v>
      </c>
      <c r="C44" s="342" t="s">
        <v>1582</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6" right="0.699305555555556"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333333333333" style="280" customWidth="1"/>
    <col min="2" max="5" width="10.25" style="281" customWidth="1"/>
    <col min="6" max="6" width="9" style="281"/>
    <col min="7" max="7" width="9" style="279"/>
    <col min="8" max="8" width="9" style="281"/>
    <col min="9" max="9" width="9" style="279"/>
    <col min="10" max="16384" width="9" style="281"/>
  </cols>
  <sheetData>
    <row r="1" spans="1:20">
      <c r="A1" s="282" t="s">
        <v>2003</v>
      </c>
      <c r="B1" s="282"/>
      <c r="C1" s="282"/>
      <c r="D1" s="282"/>
      <c r="E1" s="282"/>
      <c r="F1" s="282"/>
      <c r="H1" s="278"/>
      <c r="I1" s="314" t="s">
        <v>355</v>
      </c>
      <c r="J1" s="236" t="s">
        <v>1623</v>
      </c>
      <c r="K1" s="236" t="s">
        <v>1643</v>
      </c>
      <c r="L1" s="236" t="s">
        <v>1664</v>
      </c>
      <c r="M1" s="236" t="s">
        <v>1692</v>
      </c>
      <c r="N1" s="236" t="s">
        <v>1727</v>
      </c>
      <c r="O1" s="236" t="s">
        <v>1776</v>
      </c>
      <c r="P1" s="236" t="s">
        <v>1825</v>
      </c>
      <c r="Q1" s="236" t="s">
        <v>1865</v>
      </c>
      <c r="R1" s="236" t="s">
        <v>1911</v>
      </c>
      <c r="S1" s="236" t="s">
        <v>1939</v>
      </c>
      <c r="T1" s="271" t="s">
        <v>1961</v>
      </c>
    </row>
    <row r="2" ht="14.25" spans="1:20">
      <c r="A2" s="283" t="s">
        <v>2004</v>
      </c>
      <c r="B2" s="283"/>
      <c r="C2" s="283"/>
      <c r="D2" s="283"/>
      <c r="E2" s="283"/>
      <c r="F2" s="283"/>
      <c r="I2" s="315" t="s">
        <v>1619</v>
      </c>
      <c r="J2" s="296" t="s">
        <v>1624</v>
      </c>
      <c r="K2" s="296" t="s">
        <v>1644</v>
      </c>
      <c r="L2" s="296" t="s">
        <v>1665</v>
      </c>
      <c r="M2" s="296" t="s">
        <v>1693</v>
      </c>
      <c r="N2" s="296" t="s">
        <v>1728</v>
      </c>
      <c r="O2" s="296" t="s">
        <v>1777</v>
      </c>
      <c r="P2" s="296" t="s">
        <v>1826</v>
      </c>
      <c r="Q2" s="296" t="s">
        <v>1866</v>
      </c>
      <c r="R2" s="296" t="s">
        <v>1912</v>
      </c>
      <c r="S2" s="296" t="s">
        <v>1940</v>
      </c>
      <c r="T2" s="296" t="s">
        <v>1962</v>
      </c>
    </row>
    <row r="3" s="278" customFormat="1" ht="19.5" customHeight="1" spans="1:20">
      <c r="A3" s="284" t="s">
        <v>1617</v>
      </c>
      <c r="B3" s="285"/>
      <c r="C3" s="286" t="s">
        <v>1614</v>
      </c>
      <c r="D3" s="286" t="s">
        <v>353</v>
      </c>
      <c r="E3" s="286" t="s">
        <v>1615</v>
      </c>
      <c r="F3" s="286" t="s">
        <v>1616</v>
      </c>
      <c r="G3" s="287"/>
      <c r="I3" s="315" t="s">
        <v>1620</v>
      </c>
      <c r="J3" s="296" t="s">
        <v>1625</v>
      </c>
      <c r="K3" s="296" t="s">
        <v>1645</v>
      </c>
      <c r="L3" s="296" t="s">
        <v>1666</v>
      </c>
      <c r="M3" s="296" t="s">
        <v>1694</v>
      </c>
      <c r="N3" s="296" t="s">
        <v>1729</v>
      </c>
      <c r="O3" s="296" t="s">
        <v>1778</v>
      </c>
      <c r="P3" s="296" t="s">
        <v>1827</v>
      </c>
      <c r="Q3" s="296" t="s">
        <v>1867</v>
      </c>
      <c r="R3" s="296" t="s">
        <v>1913</v>
      </c>
      <c r="S3" s="296" t="s">
        <v>1941</v>
      </c>
      <c r="T3" s="296" t="s">
        <v>1963</v>
      </c>
    </row>
    <row r="4" s="278" customFormat="1" ht="19.5" customHeight="1" spans="1:20">
      <c r="A4" s="288"/>
      <c r="B4" s="289" t="s">
        <v>1618</v>
      </c>
      <c r="C4" s="289" t="s">
        <v>2005</v>
      </c>
      <c r="D4" s="289" t="s">
        <v>2005</v>
      </c>
      <c r="E4" s="289" t="s">
        <v>2005</v>
      </c>
      <c r="F4" s="290" t="s">
        <v>2005</v>
      </c>
      <c r="G4" s="287"/>
      <c r="I4" s="315" t="s">
        <v>1621</v>
      </c>
      <c r="J4" s="296" t="s">
        <v>1626</v>
      </c>
      <c r="K4" s="296" t="s">
        <v>1646</v>
      </c>
      <c r="L4" s="296" t="s">
        <v>1667</v>
      </c>
      <c r="M4" s="296" t="s">
        <v>1695</v>
      </c>
      <c r="N4" s="296" t="s">
        <v>1730</v>
      </c>
      <c r="O4" s="296" t="s">
        <v>1779</v>
      </c>
      <c r="P4" s="296" t="s">
        <v>1828</v>
      </c>
      <c r="Q4" s="296" t="s">
        <v>1868</v>
      </c>
      <c r="R4" s="296" t="s">
        <v>1914</v>
      </c>
      <c r="S4" s="296" t="s">
        <v>1942</v>
      </c>
      <c r="T4" s="296" t="s">
        <v>1964</v>
      </c>
    </row>
    <row r="5" ht="14.25" customHeight="1" spans="1:20">
      <c r="A5" s="291" t="s">
        <v>355</v>
      </c>
      <c r="B5" s="292" t="s">
        <v>1619</v>
      </c>
      <c r="C5" s="292">
        <v>29530</v>
      </c>
      <c r="D5" s="292">
        <v>28130</v>
      </c>
      <c r="E5" s="292">
        <v>27930</v>
      </c>
      <c r="F5" s="293">
        <v>11300</v>
      </c>
      <c r="G5" s="294" t="s">
        <v>355</v>
      </c>
      <c r="H5" s="295">
        <f>SUMPRODUCT((B5:B9=基准地价修正!I2)*(C3:F3=基准地价修正!E2)*(C5:F9))</f>
        <v>29780</v>
      </c>
      <c r="I5" s="315" t="s">
        <v>358</v>
      </c>
      <c r="J5" s="296" t="s">
        <v>1627</v>
      </c>
      <c r="K5" s="296" t="s">
        <v>1647</v>
      </c>
      <c r="L5" s="296" t="s">
        <v>1668</v>
      </c>
      <c r="M5" s="296" t="s">
        <v>1696</v>
      </c>
      <c r="N5" s="296" t="s">
        <v>1731</v>
      </c>
      <c r="O5" s="296" t="s">
        <v>1780</v>
      </c>
      <c r="P5" s="296" t="s">
        <v>1829</v>
      </c>
      <c r="Q5" s="296" t="s">
        <v>1869</v>
      </c>
      <c r="R5" s="296" t="s">
        <v>1916</v>
      </c>
      <c r="S5" s="296" t="s">
        <v>1943</v>
      </c>
      <c r="T5" s="296" t="s">
        <v>1965</v>
      </c>
    </row>
    <row r="6" ht="14.25" customHeight="1" spans="1:20">
      <c r="A6" s="291" t="s">
        <v>355</v>
      </c>
      <c r="B6" s="296" t="s">
        <v>1620</v>
      </c>
      <c r="C6" s="296">
        <v>30290</v>
      </c>
      <c r="D6" s="296">
        <v>29210</v>
      </c>
      <c r="E6" s="296">
        <v>28860</v>
      </c>
      <c r="F6" s="297">
        <v>12600</v>
      </c>
      <c r="G6" s="298" t="s">
        <v>1623</v>
      </c>
      <c r="H6" s="299">
        <f>SUMPRODUCT((B10:B28=基准地价修正!I2)*(C3:F3=基准地价修正!E2)*(C10:F28))</f>
        <v>0</v>
      </c>
      <c r="I6" s="315" t="s">
        <v>1622</v>
      </c>
      <c r="J6" s="296" t="s">
        <v>1628</v>
      </c>
      <c r="K6" s="296" t="s">
        <v>1648</v>
      </c>
      <c r="L6" s="296" t="s">
        <v>1669</v>
      </c>
      <c r="M6" s="296" t="s">
        <v>1697</v>
      </c>
      <c r="N6" s="296" t="s">
        <v>1732</v>
      </c>
      <c r="O6" s="296" t="s">
        <v>1781</v>
      </c>
      <c r="P6" s="296" t="s">
        <v>1830</v>
      </c>
      <c r="Q6" s="296" t="s">
        <v>1870</v>
      </c>
      <c r="R6" s="296" t="s">
        <v>1917</v>
      </c>
      <c r="S6" s="296" t="s">
        <v>1944</v>
      </c>
      <c r="T6" s="296" t="s">
        <v>1966</v>
      </c>
    </row>
    <row r="7" ht="14.25" customHeight="1" spans="1:20">
      <c r="A7" s="291" t="s">
        <v>355</v>
      </c>
      <c r="B7" s="300" t="s">
        <v>1621</v>
      </c>
      <c r="C7" s="296">
        <v>29350</v>
      </c>
      <c r="D7" s="296">
        <v>28410</v>
      </c>
      <c r="E7" s="296">
        <v>27990</v>
      </c>
      <c r="F7" s="297">
        <v>12300</v>
      </c>
      <c r="G7" s="298" t="s">
        <v>1643</v>
      </c>
      <c r="H7" s="299">
        <f>SUMPRODUCT((B29:B48=基准地价修正!I2)*(C3:F3=基准地价修正!E2)*(C29:F48))</f>
        <v>0</v>
      </c>
      <c r="J7" s="296" t="s">
        <v>1629</v>
      </c>
      <c r="K7" s="296" t="s">
        <v>1649</v>
      </c>
      <c r="L7" s="296" t="s">
        <v>1670</v>
      </c>
      <c r="M7" s="296" t="s">
        <v>1698</v>
      </c>
      <c r="N7" s="296" t="s">
        <v>1733</v>
      </c>
      <c r="O7" s="296" t="s">
        <v>1782</v>
      </c>
      <c r="P7" s="296" t="s">
        <v>1831</v>
      </c>
      <c r="Q7" s="296" t="s">
        <v>1871</v>
      </c>
      <c r="R7" s="296" t="s">
        <v>1918</v>
      </c>
      <c r="S7" s="296" t="s">
        <v>1945</v>
      </c>
      <c r="T7" s="300" t="s">
        <v>1967</v>
      </c>
    </row>
    <row r="8" ht="14.25" customHeight="1" spans="1:20">
      <c r="A8" s="291" t="s">
        <v>355</v>
      </c>
      <c r="B8" s="296" t="s">
        <v>358</v>
      </c>
      <c r="C8" s="296">
        <v>30890</v>
      </c>
      <c r="D8" s="296">
        <v>29780</v>
      </c>
      <c r="E8" s="296">
        <v>29270</v>
      </c>
      <c r="F8" s="297">
        <v>11600</v>
      </c>
      <c r="G8" s="298" t="s">
        <v>1664</v>
      </c>
      <c r="H8" s="299">
        <f>SUMPRODUCT((B49:B75=基准地价修正!I2)*(C3:F3=基准地价修正!E2)*(C49:F75))</f>
        <v>0</v>
      </c>
      <c r="J8" s="296" t="s">
        <v>1630</v>
      </c>
      <c r="K8" s="296" t="s">
        <v>1650</v>
      </c>
      <c r="L8" s="296" t="s">
        <v>1671</v>
      </c>
      <c r="M8" s="296" t="s">
        <v>1699</v>
      </c>
      <c r="N8" s="296" t="s">
        <v>1734</v>
      </c>
      <c r="O8" s="296" t="s">
        <v>1783</v>
      </c>
      <c r="P8" s="296" t="s">
        <v>1832</v>
      </c>
      <c r="Q8" s="296" t="s">
        <v>1872</v>
      </c>
      <c r="R8" s="296" t="s">
        <v>1919</v>
      </c>
      <c r="S8" s="296" t="s">
        <v>1946</v>
      </c>
      <c r="T8" s="296" t="s">
        <v>1968</v>
      </c>
    </row>
    <row r="9" ht="14.25" customHeight="1" spans="1:19">
      <c r="A9" s="291" t="s">
        <v>355</v>
      </c>
      <c r="B9" s="301" t="s">
        <v>1622</v>
      </c>
      <c r="C9" s="302">
        <v>28140</v>
      </c>
      <c r="D9" s="302"/>
      <c r="E9" s="302"/>
      <c r="F9" s="303"/>
      <c r="G9" s="298" t="s">
        <v>1692</v>
      </c>
      <c r="H9" s="299">
        <f>SUMPRODUCT((B76:B109=基准地价修正!I2)*(C3:F3=基准地价修正!E2)*(C76:F109))</f>
        <v>0</v>
      </c>
      <c r="J9" s="296" t="s">
        <v>1631</v>
      </c>
      <c r="K9" s="296" t="s">
        <v>1651</v>
      </c>
      <c r="L9" s="296" t="s">
        <v>1672</v>
      </c>
      <c r="M9" s="296" t="s">
        <v>1700</v>
      </c>
      <c r="N9" s="296" t="s">
        <v>1735</v>
      </c>
      <c r="O9" s="296" t="s">
        <v>1784</v>
      </c>
      <c r="P9" s="296" t="s">
        <v>1833</v>
      </c>
      <c r="Q9" s="296" t="s">
        <v>1873</v>
      </c>
      <c r="R9" s="296" t="s">
        <v>1920</v>
      </c>
      <c r="S9" s="296" t="s">
        <v>1947</v>
      </c>
    </row>
    <row r="10" ht="14.25" customHeight="1" spans="1:19">
      <c r="A10" s="291" t="s">
        <v>1623</v>
      </c>
      <c r="B10" s="292" t="s">
        <v>1624</v>
      </c>
      <c r="C10" s="292">
        <v>27450</v>
      </c>
      <c r="D10" s="292">
        <v>26180</v>
      </c>
      <c r="E10" s="292">
        <v>25980</v>
      </c>
      <c r="F10" s="293">
        <v>8910</v>
      </c>
      <c r="G10" s="298" t="s">
        <v>1727</v>
      </c>
      <c r="H10" s="299">
        <f>SUMPRODUCT((B110:B157=基准地价修正!I2)*(C3:F3=基准地价修正!E2)*(C110:F157))</f>
        <v>0</v>
      </c>
      <c r="J10" s="296" t="s">
        <v>1632</v>
      </c>
      <c r="K10" s="296" t="s">
        <v>1652</v>
      </c>
      <c r="L10" s="296" t="s">
        <v>1673</v>
      </c>
      <c r="M10" s="296" t="s">
        <v>1701</v>
      </c>
      <c r="N10" s="296" t="s">
        <v>1736</v>
      </c>
      <c r="O10" s="296" t="s">
        <v>1785</v>
      </c>
      <c r="P10" s="296" t="s">
        <v>1834</v>
      </c>
      <c r="Q10" s="296" t="s">
        <v>1874</v>
      </c>
      <c r="R10" s="296" t="s">
        <v>1921</v>
      </c>
      <c r="S10" s="296" t="s">
        <v>1948</v>
      </c>
    </row>
    <row r="11" ht="14.25" customHeight="1" spans="1:19">
      <c r="A11" s="291" t="s">
        <v>1623</v>
      </c>
      <c r="B11" s="300" t="s">
        <v>1625</v>
      </c>
      <c r="C11" s="296">
        <v>22950</v>
      </c>
      <c r="D11" s="296">
        <v>22630</v>
      </c>
      <c r="E11" s="296">
        <v>22030</v>
      </c>
      <c r="F11" s="304">
        <v>8330</v>
      </c>
      <c r="G11" s="298" t="s">
        <v>1776</v>
      </c>
      <c r="H11" s="299">
        <f>SUMPRODUCT((B158:B205=基准地价修正!I2)*(C3:F3=基准地价修正!E2)*(C158:F205))</f>
        <v>0</v>
      </c>
      <c r="J11" s="296" t="s">
        <v>1633</v>
      </c>
      <c r="K11" s="296" t="s">
        <v>1653</v>
      </c>
      <c r="L11" s="296" t="s">
        <v>1674</v>
      </c>
      <c r="M11" s="296" t="s">
        <v>1702</v>
      </c>
      <c r="N11" s="296" t="s">
        <v>1737</v>
      </c>
      <c r="O11" s="296" t="s">
        <v>1786</v>
      </c>
      <c r="P11" s="296" t="s">
        <v>1835</v>
      </c>
      <c r="Q11" s="296" t="s">
        <v>1875</v>
      </c>
      <c r="R11" s="296" t="s">
        <v>1922</v>
      </c>
      <c r="S11" s="296" t="s">
        <v>1949</v>
      </c>
    </row>
    <row r="12" ht="14.25" customHeight="1" spans="1:19">
      <c r="A12" s="291" t="s">
        <v>1623</v>
      </c>
      <c r="B12" s="300" t="s">
        <v>1626</v>
      </c>
      <c r="C12" s="296">
        <v>24940</v>
      </c>
      <c r="D12" s="296">
        <v>23180</v>
      </c>
      <c r="E12" s="296">
        <v>22910</v>
      </c>
      <c r="F12" s="304">
        <v>7180</v>
      </c>
      <c r="G12" s="298" t="s">
        <v>1825</v>
      </c>
      <c r="H12" s="299">
        <f>SUMPRODUCT((B206:B244=基准地价修正!I2)*(C3:F3=基准地价修正!E2)*(C206:F244))</f>
        <v>0</v>
      </c>
      <c r="J12" s="296" t="s">
        <v>1634</v>
      </c>
      <c r="K12" s="296" t="s">
        <v>1654</v>
      </c>
      <c r="L12" s="296" t="s">
        <v>1675</v>
      </c>
      <c r="M12" s="296" t="s">
        <v>1703</v>
      </c>
      <c r="N12" s="296" t="s">
        <v>1738</v>
      </c>
      <c r="O12" s="296" t="s">
        <v>1787</v>
      </c>
      <c r="P12" s="296" t="s">
        <v>1836</v>
      </c>
      <c r="Q12" s="296" t="s">
        <v>1876</v>
      </c>
      <c r="R12" s="296" t="s">
        <v>1923</v>
      </c>
      <c r="S12" s="296" t="s">
        <v>1950</v>
      </c>
    </row>
    <row r="13" ht="14.25" customHeight="1" spans="1:19">
      <c r="A13" s="291" t="s">
        <v>1623</v>
      </c>
      <c r="B13" s="300" t="s">
        <v>1627</v>
      </c>
      <c r="C13" s="296">
        <v>24140</v>
      </c>
      <c r="D13" s="296">
        <v>22270</v>
      </c>
      <c r="E13" s="296">
        <v>21950</v>
      </c>
      <c r="F13" s="304">
        <v>7600</v>
      </c>
      <c r="G13" s="298" t="s">
        <v>1865</v>
      </c>
      <c r="H13" s="299">
        <f>SUMPRODUCT((B245:B289=基准地价修正!I2)*(C3:F3=基准地价修正!E2)*(C245:F289))</f>
        <v>0</v>
      </c>
      <c r="J13" s="296" t="s">
        <v>1635</v>
      </c>
      <c r="K13" s="296" t="s">
        <v>1655</v>
      </c>
      <c r="L13" s="296" t="s">
        <v>1676</v>
      </c>
      <c r="M13" s="296" t="s">
        <v>1704</v>
      </c>
      <c r="N13" s="296" t="s">
        <v>1739</v>
      </c>
      <c r="O13" s="296" t="s">
        <v>1788</v>
      </c>
      <c r="P13" s="296" t="s">
        <v>1837</v>
      </c>
      <c r="Q13" s="296" t="s">
        <v>1877</v>
      </c>
      <c r="R13" s="296" t="s">
        <v>1924</v>
      </c>
      <c r="S13" s="296" t="s">
        <v>1951</v>
      </c>
    </row>
    <row r="14" ht="14.25" customHeight="1" spans="1:19">
      <c r="A14" s="291" t="s">
        <v>1623</v>
      </c>
      <c r="B14" s="300" t="s">
        <v>1628</v>
      </c>
      <c r="C14" s="296">
        <v>25600</v>
      </c>
      <c r="D14" s="296">
        <v>22260</v>
      </c>
      <c r="E14" s="296">
        <v>22110</v>
      </c>
      <c r="F14" s="304">
        <v>7630</v>
      </c>
      <c r="G14" s="298" t="s">
        <v>1911</v>
      </c>
      <c r="H14" s="299">
        <f>SUMPRODUCT((B290:B316=基准地价修正!I2)*(C3:F3=基准地价修正!E2)*(C290:F316))</f>
        <v>0</v>
      </c>
      <c r="J14" s="296" t="s">
        <v>1636</v>
      </c>
      <c r="K14" s="296" t="s">
        <v>1656</v>
      </c>
      <c r="L14" s="296" t="s">
        <v>1677</v>
      </c>
      <c r="M14" s="296" t="s">
        <v>1705</v>
      </c>
      <c r="N14" s="296" t="s">
        <v>1740</v>
      </c>
      <c r="O14" s="296" t="s">
        <v>1789</v>
      </c>
      <c r="P14" s="296" t="s">
        <v>1838</v>
      </c>
      <c r="Q14" s="296" t="s">
        <v>1878</v>
      </c>
      <c r="R14" s="296" t="s">
        <v>1925</v>
      </c>
      <c r="S14" s="296" t="s">
        <v>1952</v>
      </c>
    </row>
    <row r="15" ht="14.25" customHeight="1" spans="1:19">
      <c r="A15" s="291" t="s">
        <v>1623</v>
      </c>
      <c r="B15" s="300" t="s">
        <v>1629</v>
      </c>
      <c r="C15" s="296">
        <v>24760</v>
      </c>
      <c r="D15" s="296">
        <v>24440</v>
      </c>
      <c r="E15" s="296">
        <v>24130</v>
      </c>
      <c r="F15" s="304">
        <v>9480</v>
      </c>
      <c r="G15" s="298" t="s">
        <v>1939</v>
      </c>
      <c r="H15" s="299">
        <f>SUMPRODUCT((B317:B337=基准地价修正!I2)*(C3:F3=基准地价修正!E2)*(C317:F337))</f>
        <v>0</v>
      </c>
      <c r="J15" s="296" t="s">
        <v>1637</v>
      </c>
      <c r="K15" s="296" t="s">
        <v>1657</v>
      </c>
      <c r="L15" s="296" t="s">
        <v>1678</v>
      </c>
      <c r="M15" s="296" t="s">
        <v>1706</v>
      </c>
      <c r="N15" s="296" t="s">
        <v>1741</v>
      </c>
      <c r="O15" s="296" t="s">
        <v>1790</v>
      </c>
      <c r="P15" s="296" t="s">
        <v>1839</v>
      </c>
      <c r="Q15" s="296" t="s">
        <v>1879</v>
      </c>
      <c r="R15" s="296" t="s">
        <v>1926</v>
      </c>
      <c r="S15" s="296" t="s">
        <v>1953</v>
      </c>
    </row>
    <row r="16" ht="14.25" customHeight="1" spans="1:19">
      <c r="A16" s="291" t="s">
        <v>1623</v>
      </c>
      <c r="B16" s="300" t="s">
        <v>1630</v>
      </c>
      <c r="C16" s="296">
        <v>22220</v>
      </c>
      <c r="D16" s="296">
        <v>22310</v>
      </c>
      <c r="E16" s="296">
        <v>22000</v>
      </c>
      <c r="F16" s="304">
        <v>8900</v>
      </c>
      <c r="G16" s="305" t="s">
        <v>1961</v>
      </c>
      <c r="H16" s="306">
        <f>SUMPRODUCT((B338:B344=基准地价修正!I2)*(C3:F3=基准地价修正!E2)*(C338:F344))</f>
        <v>0</v>
      </c>
      <c r="J16" s="296" t="s">
        <v>1638</v>
      </c>
      <c r="K16" s="296" t="s">
        <v>1658</v>
      </c>
      <c r="L16" s="296" t="s">
        <v>1679</v>
      </c>
      <c r="M16" s="296" t="s">
        <v>1707</v>
      </c>
      <c r="N16" s="296" t="s">
        <v>1742</v>
      </c>
      <c r="O16" s="296" t="s">
        <v>1791</v>
      </c>
      <c r="P16" s="296" t="s">
        <v>1840</v>
      </c>
      <c r="Q16" s="296" t="s">
        <v>1880</v>
      </c>
      <c r="R16" s="296" t="s">
        <v>1927</v>
      </c>
      <c r="S16" s="296" t="s">
        <v>1954</v>
      </c>
    </row>
    <row r="17" ht="14.25" customHeight="1" spans="1:19">
      <c r="A17" s="291" t="s">
        <v>1623</v>
      </c>
      <c r="B17" s="300" t="s">
        <v>1631</v>
      </c>
      <c r="C17" s="296">
        <v>24700</v>
      </c>
      <c r="D17" s="296">
        <v>25150</v>
      </c>
      <c r="E17" s="296">
        <v>24700</v>
      </c>
      <c r="F17" s="307"/>
      <c r="H17" s="308"/>
      <c r="J17" s="296" t="s">
        <v>1639</v>
      </c>
      <c r="K17" s="296" t="s">
        <v>1659</v>
      </c>
      <c r="L17" s="296" t="s">
        <v>1680</v>
      </c>
      <c r="M17" s="296" t="s">
        <v>1708</v>
      </c>
      <c r="N17" s="296" t="s">
        <v>1743</v>
      </c>
      <c r="O17" s="296" t="s">
        <v>1792</v>
      </c>
      <c r="P17" s="296" t="s">
        <v>1841</v>
      </c>
      <c r="Q17" s="296" t="s">
        <v>1881</v>
      </c>
      <c r="R17" s="296" t="s">
        <v>1928</v>
      </c>
      <c r="S17" s="296" t="s">
        <v>1955</v>
      </c>
    </row>
    <row r="18" ht="14.25" customHeight="1" spans="1:19">
      <c r="A18" s="291" t="s">
        <v>1623</v>
      </c>
      <c r="B18" s="300" t="s">
        <v>1632</v>
      </c>
      <c r="C18" s="296">
        <v>22350</v>
      </c>
      <c r="D18" s="296">
        <v>24340</v>
      </c>
      <c r="E18" s="296">
        <v>24100</v>
      </c>
      <c r="F18" s="307"/>
      <c r="H18" s="308"/>
      <c r="J18" s="296" t="s">
        <v>1640</v>
      </c>
      <c r="K18" s="296" t="s">
        <v>1660</v>
      </c>
      <c r="L18" s="296" t="s">
        <v>1681</v>
      </c>
      <c r="M18" s="296" t="s">
        <v>1709</v>
      </c>
      <c r="N18" s="296" t="s">
        <v>1744</v>
      </c>
      <c r="O18" s="296" t="s">
        <v>1793</v>
      </c>
      <c r="P18" s="296" t="s">
        <v>1842</v>
      </c>
      <c r="Q18" s="296" t="s">
        <v>1882</v>
      </c>
      <c r="R18" s="296" t="s">
        <v>1929</v>
      </c>
      <c r="S18" s="296" t="s">
        <v>1956</v>
      </c>
    </row>
    <row r="19" ht="14.25" customHeight="1" spans="1:19">
      <c r="A19" s="291" t="s">
        <v>1623</v>
      </c>
      <c r="B19" s="300" t="s">
        <v>1633</v>
      </c>
      <c r="C19" s="296">
        <v>23430</v>
      </c>
      <c r="D19" s="296">
        <v>21580</v>
      </c>
      <c r="E19" s="296">
        <v>21350</v>
      </c>
      <c r="F19" s="307"/>
      <c r="H19" s="308"/>
      <c r="J19" s="296" t="s">
        <v>1641</v>
      </c>
      <c r="K19" s="296" t="s">
        <v>1661</v>
      </c>
      <c r="L19" s="296" t="s">
        <v>1682</v>
      </c>
      <c r="M19" s="296" t="s">
        <v>1710</v>
      </c>
      <c r="N19" s="296" t="s">
        <v>1745</v>
      </c>
      <c r="O19" s="296" t="s">
        <v>1794</v>
      </c>
      <c r="P19" s="296" t="s">
        <v>1843</v>
      </c>
      <c r="Q19" s="296" t="s">
        <v>1883</v>
      </c>
      <c r="R19" s="296" t="s">
        <v>1930</v>
      </c>
      <c r="S19" s="296" t="s">
        <v>1957</v>
      </c>
    </row>
    <row r="20" ht="14.25" customHeight="1" spans="1:19">
      <c r="A20" s="291" t="s">
        <v>1623</v>
      </c>
      <c r="B20" s="300" t="s">
        <v>1634</v>
      </c>
      <c r="C20" s="296">
        <v>27660</v>
      </c>
      <c r="D20" s="296">
        <v>24240</v>
      </c>
      <c r="E20" s="296">
        <v>24020</v>
      </c>
      <c r="F20" s="307"/>
      <c r="J20" s="296" t="s">
        <v>1642</v>
      </c>
      <c r="K20" s="296" t="s">
        <v>1662</v>
      </c>
      <c r="L20" s="296" t="s">
        <v>1683</v>
      </c>
      <c r="M20" s="296" t="s">
        <v>1711</v>
      </c>
      <c r="N20" s="296" t="s">
        <v>1746</v>
      </c>
      <c r="O20" s="296" t="s">
        <v>1795</v>
      </c>
      <c r="P20" s="296" t="s">
        <v>1844</v>
      </c>
      <c r="Q20" s="296" t="s">
        <v>1884</v>
      </c>
      <c r="R20" s="296" t="s">
        <v>1931</v>
      </c>
      <c r="S20" s="296" t="s">
        <v>1958</v>
      </c>
    </row>
    <row r="21" ht="14.25" customHeight="1" spans="1:19">
      <c r="A21" s="291" t="s">
        <v>1623</v>
      </c>
      <c r="B21" s="300" t="s">
        <v>1635</v>
      </c>
      <c r="C21" s="296">
        <v>24720</v>
      </c>
      <c r="D21" s="296">
        <v>21670</v>
      </c>
      <c r="E21" s="296">
        <v>21510</v>
      </c>
      <c r="F21" s="307"/>
      <c r="K21" s="296" t="s">
        <v>1663</v>
      </c>
      <c r="L21" s="296" t="s">
        <v>1684</v>
      </c>
      <c r="M21" s="296" t="s">
        <v>1712</v>
      </c>
      <c r="N21" s="296" t="s">
        <v>1747</v>
      </c>
      <c r="O21" s="296" t="s">
        <v>1796</v>
      </c>
      <c r="P21" s="296" t="s">
        <v>1845</v>
      </c>
      <c r="Q21" s="296" t="s">
        <v>1885</v>
      </c>
      <c r="R21" s="296" t="s">
        <v>1932</v>
      </c>
      <c r="S21" s="296" t="s">
        <v>1959</v>
      </c>
    </row>
    <row r="22" ht="14.25" customHeight="1" spans="1:19">
      <c r="A22" s="291" t="s">
        <v>1623</v>
      </c>
      <c r="B22" s="300" t="s">
        <v>1636</v>
      </c>
      <c r="C22" s="296">
        <v>26530</v>
      </c>
      <c r="D22" s="296">
        <v>22980</v>
      </c>
      <c r="E22" s="296">
        <v>22650</v>
      </c>
      <c r="F22" s="307"/>
      <c r="L22" s="296" t="s">
        <v>1685</v>
      </c>
      <c r="M22" s="296" t="s">
        <v>1713</v>
      </c>
      <c r="N22" s="296" t="s">
        <v>1748</v>
      </c>
      <c r="O22" s="296" t="s">
        <v>1797</v>
      </c>
      <c r="P22" s="296" t="s">
        <v>1846</v>
      </c>
      <c r="Q22" s="296" t="s">
        <v>1886</v>
      </c>
      <c r="R22" s="296" t="s">
        <v>1933</v>
      </c>
      <c r="S22" s="300" t="s">
        <v>1960</v>
      </c>
    </row>
    <row r="23" ht="14.25" customHeight="1" spans="1:18">
      <c r="A23" s="291" t="s">
        <v>1623</v>
      </c>
      <c r="B23" s="300" t="s">
        <v>1637</v>
      </c>
      <c r="C23" s="296">
        <v>24700</v>
      </c>
      <c r="D23" s="296">
        <v>27290</v>
      </c>
      <c r="E23" s="296">
        <v>26710</v>
      </c>
      <c r="F23" s="307"/>
      <c r="L23" s="296" t="s">
        <v>1686</v>
      </c>
      <c r="M23" s="296" t="s">
        <v>1714</v>
      </c>
      <c r="N23" s="296" t="s">
        <v>1749</v>
      </c>
      <c r="O23" s="296" t="s">
        <v>1798</v>
      </c>
      <c r="P23" s="296" t="s">
        <v>1847</v>
      </c>
      <c r="Q23" s="296" t="s">
        <v>1887</v>
      </c>
      <c r="R23" s="296" t="s">
        <v>1934</v>
      </c>
    </row>
    <row r="24" ht="14.25" customHeight="1" spans="1:18">
      <c r="A24" s="291" t="s">
        <v>1623</v>
      </c>
      <c r="B24" s="300" t="s">
        <v>1638</v>
      </c>
      <c r="C24" s="296">
        <v>23070</v>
      </c>
      <c r="D24" s="296">
        <v>24130</v>
      </c>
      <c r="E24" s="296">
        <v>23860</v>
      </c>
      <c r="F24" s="307"/>
      <c r="L24" s="296" t="s">
        <v>1687</v>
      </c>
      <c r="M24" s="296" t="s">
        <v>1715</v>
      </c>
      <c r="N24" s="296" t="s">
        <v>1750</v>
      </c>
      <c r="O24" s="296" t="s">
        <v>1799</v>
      </c>
      <c r="P24" s="296" t="s">
        <v>1848</v>
      </c>
      <c r="Q24" s="296" t="s">
        <v>1888</v>
      </c>
      <c r="R24" s="296" t="s">
        <v>1935</v>
      </c>
    </row>
    <row r="25" ht="14.25" customHeight="1" spans="1:18">
      <c r="A25" s="291" t="s">
        <v>1623</v>
      </c>
      <c r="B25" s="300" t="s">
        <v>1639</v>
      </c>
      <c r="C25" s="296">
        <v>27550</v>
      </c>
      <c r="D25" s="296">
        <v>25850</v>
      </c>
      <c r="E25" s="296">
        <v>25340</v>
      </c>
      <c r="F25" s="307"/>
      <c r="L25" s="296" t="s">
        <v>1688</v>
      </c>
      <c r="M25" s="296" t="s">
        <v>1716</v>
      </c>
      <c r="N25" s="296" t="s">
        <v>1751</v>
      </c>
      <c r="O25" s="296" t="s">
        <v>1800</v>
      </c>
      <c r="P25" s="296" t="s">
        <v>1849</v>
      </c>
      <c r="Q25" s="296" t="s">
        <v>1889</v>
      </c>
      <c r="R25" s="296" t="s">
        <v>1936</v>
      </c>
    </row>
    <row r="26" ht="14.25" customHeight="1" spans="1:18">
      <c r="A26" s="291" t="s">
        <v>1623</v>
      </c>
      <c r="B26" s="300" t="s">
        <v>1640</v>
      </c>
      <c r="C26" s="296"/>
      <c r="D26" s="296">
        <v>23900</v>
      </c>
      <c r="E26" s="296">
        <v>23590</v>
      </c>
      <c r="F26" s="307"/>
      <c r="L26" s="296" t="s">
        <v>1689</v>
      </c>
      <c r="M26" s="296" t="s">
        <v>1717</v>
      </c>
      <c r="N26" s="296" t="s">
        <v>1752</v>
      </c>
      <c r="O26" s="296" t="s">
        <v>1801</v>
      </c>
      <c r="P26" s="296" t="s">
        <v>1850</v>
      </c>
      <c r="Q26" s="296" t="s">
        <v>1890</v>
      </c>
      <c r="R26" s="296" t="s">
        <v>1937</v>
      </c>
    </row>
    <row r="27" ht="14.25" customHeight="1" spans="1:18">
      <c r="A27" s="291" t="s">
        <v>1623</v>
      </c>
      <c r="B27" s="300" t="s">
        <v>1641</v>
      </c>
      <c r="C27" s="296"/>
      <c r="D27" s="296">
        <v>22850</v>
      </c>
      <c r="E27" s="296">
        <v>21920</v>
      </c>
      <c r="F27" s="307"/>
      <c r="L27" s="296" t="s">
        <v>1690</v>
      </c>
      <c r="M27" s="296" t="s">
        <v>1718</v>
      </c>
      <c r="N27" s="296" t="s">
        <v>1753</v>
      </c>
      <c r="O27" s="296" t="s">
        <v>1802</v>
      </c>
      <c r="P27" s="296" t="s">
        <v>1851</v>
      </c>
      <c r="Q27" s="296" t="s">
        <v>1891</v>
      </c>
      <c r="R27" s="296" t="s">
        <v>1938</v>
      </c>
    </row>
    <row r="28" ht="14.25" customHeight="1" spans="1:17">
      <c r="A28" s="309" t="s">
        <v>1623</v>
      </c>
      <c r="B28" s="301" t="s">
        <v>1642</v>
      </c>
      <c r="C28" s="302"/>
      <c r="D28" s="302">
        <v>26610</v>
      </c>
      <c r="E28" s="302">
        <v>26370</v>
      </c>
      <c r="F28" s="303"/>
      <c r="L28" s="296" t="s">
        <v>1691</v>
      </c>
      <c r="M28" s="296" t="s">
        <v>1719</v>
      </c>
      <c r="N28" s="296" t="s">
        <v>1754</v>
      </c>
      <c r="O28" s="296" t="s">
        <v>1803</v>
      </c>
      <c r="P28" s="296" t="s">
        <v>1852</v>
      </c>
      <c r="Q28" s="296" t="s">
        <v>1892</v>
      </c>
    </row>
    <row r="29" ht="14.25" customHeight="1" spans="1:17">
      <c r="A29" s="291" t="s">
        <v>1643</v>
      </c>
      <c r="B29" s="292" t="s">
        <v>1644</v>
      </c>
      <c r="C29" s="292">
        <v>22090</v>
      </c>
      <c r="D29" s="292">
        <v>21860</v>
      </c>
      <c r="E29" s="292">
        <v>19380</v>
      </c>
      <c r="F29" s="293">
        <v>6610</v>
      </c>
      <c r="M29" s="296" t="s">
        <v>1720</v>
      </c>
      <c r="N29" s="296" t="s">
        <v>1755</v>
      </c>
      <c r="O29" s="296" t="s">
        <v>1804</v>
      </c>
      <c r="P29" s="296" t="s">
        <v>1853</v>
      </c>
      <c r="Q29" s="296" t="s">
        <v>1893</v>
      </c>
    </row>
    <row r="30" ht="14.25" customHeight="1" spans="1:17">
      <c r="A30" s="291" t="s">
        <v>1643</v>
      </c>
      <c r="B30" s="300" t="s">
        <v>1645</v>
      </c>
      <c r="C30" s="296">
        <v>21380</v>
      </c>
      <c r="D30" s="296">
        <v>19930</v>
      </c>
      <c r="E30" s="296">
        <v>19860</v>
      </c>
      <c r="F30" s="304">
        <v>6010</v>
      </c>
      <c r="H30" s="308"/>
      <c r="M30" s="296" t="s">
        <v>1721</v>
      </c>
      <c r="N30" s="296" t="s">
        <v>1756</v>
      </c>
      <c r="O30" s="296" t="s">
        <v>1805</v>
      </c>
      <c r="P30" s="296" t="s">
        <v>2006</v>
      </c>
      <c r="Q30" s="296" t="s">
        <v>1894</v>
      </c>
    </row>
    <row r="31" ht="14.25" customHeight="1" spans="1:17">
      <c r="A31" s="291" t="s">
        <v>1643</v>
      </c>
      <c r="B31" s="300" t="s">
        <v>1646</v>
      </c>
      <c r="C31" s="296">
        <v>21670</v>
      </c>
      <c r="D31" s="296">
        <v>20660</v>
      </c>
      <c r="E31" s="296">
        <v>20290</v>
      </c>
      <c r="F31" s="304">
        <v>5840</v>
      </c>
      <c r="H31" s="308"/>
      <c r="M31" s="296" t="s">
        <v>1722</v>
      </c>
      <c r="N31" s="296" t="s">
        <v>1757</v>
      </c>
      <c r="O31" s="296" t="s">
        <v>1806</v>
      </c>
      <c r="P31" s="296" t="s">
        <v>1855</v>
      </c>
      <c r="Q31" s="296" t="s">
        <v>1895</v>
      </c>
    </row>
    <row r="32" ht="14.25" customHeight="1" spans="1:17">
      <c r="A32" s="291" t="s">
        <v>1643</v>
      </c>
      <c r="B32" s="300" t="s">
        <v>1647</v>
      </c>
      <c r="C32" s="296">
        <v>22280</v>
      </c>
      <c r="D32" s="296">
        <v>21800</v>
      </c>
      <c r="E32" s="296">
        <v>17650</v>
      </c>
      <c r="F32" s="304">
        <v>4690</v>
      </c>
      <c r="H32" s="308"/>
      <c r="M32" s="296" t="s">
        <v>1723</v>
      </c>
      <c r="N32" s="296" t="s">
        <v>1758</v>
      </c>
      <c r="O32" s="296" t="s">
        <v>1807</v>
      </c>
      <c r="P32" s="296" t="s">
        <v>1856</v>
      </c>
      <c r="Q32" s="296" t="s">
        <v>1896</v>
      </c>
    </row>
    <row r="33" ht="14.25" customHeight="1" spans="1:17">
      <c r="A33" s="291" t="s">
        <v>1643</v>
      </c>
      <c r="B33" s="300" t="s">
        <v>1648</v>
      </c>
      <c r="C33" s="296">
        <v>22130</v>
      </c>
      <c r="D33" s="296">
        <v>20460</v>
      </c>
      <c r="E33" s="296">
        <v>18500</v>
      </c>
      <c r="F33" s="304">
        <v>5340</v>
      </c>
      <c r="H33" s="308"/>
      <c r="M33" s="296" t="s">
        <v>1724</v>
      </c>
      <c r="N33" s="296" t="s">
        <v>1759</v>
      </c>
      <c r="O33" s="296" t="s">
        <v>1808</v>
      </c>
      <c r="P33" s="296" t="s">
        <v>1857</v>
      </c>
      <c r="Q33" s="296" t="s">
        <v>1897</v>
      </c>
    </row>
    <row r="34" ht="14.25" customHeight="1" spans="1:17">
      <c r="A34" s="291" t="s">
        <v>1643</v>
      </c>
      <c r="B34" s="300" t="s">
        <v>1649</v>
      </c>
      <c r="C34" s="296">
        <v>22070</v>
      </c>
      <c r="D34" s="296">
        <v>20110</v>
      </c>
      <c r="E34" s="296">
        <v>18830</v>
      </c>
      <c r="F34" s="304">
        <v>5190</v>
      </c>
      <c r="H34" s="308"/>
      <c r="M34" s="296" t="s">
        <v>1725</v>
      </c>
      <c r="N34" s="296" t="s">
        <v>1760</v>
      </c>
      <c r="O34" s="296" t="s">
        <v>1809</v>
      </c>
      <c r="P34" s="296" t="s">
        <v>1858</v>
      </c>
      <c r="Q34" s="296" t="s">
        <v>1898</v>
      </c>
    </row>
    <row r="35" ht="14.25" customHeight="1" spans="1:17">
      <c r="A35" s="291" t="s">
        <v>1643</v>
      </c>
      <c r="B35" s="300" t="s">
        <v>1650</v>
      </c>
      <c r="C35" s="296">
        <v>22240</v>
      </c>
      <c r="D35" s="296">
        <v>19550</v>
      </c>
      <c r="E35" s="296">
        <v>19220</v>
      </c>
      <c r="F35" s="304">
        <v>5800</v>
      </c>
      <c r="H35" s="308"/>
      <c r="M35" s="296" t="s">
        <v>1726</v>
      </c>
      <c r="N35" s="296" t="s">
        <v>1761</v>
      </c>
      <c r="O35" s="296" t="s">
        <v>1810</v>
      </c>
      <c r="P35" s="296" t="s">
        <v>1859</v>
      </c>
      <c r="Q35" s="296" t="s">
        <v>1899</v>
      </c>
    </row>
    <row r="36" ht="14.25" customHeight="1" spans="1:17">
      <c r="A36" s="291" t="s">
        <v>1643</v>
      </c>
      <c r="B36" s="300" t="s">
        <v>1651</v>
      </c>
      <c r="C36" s="296">
        <v>19750</v>
      </c>
      <c r="D36" s="296">
        <v>19790</v>
      </c>
      <c r="E36" s="296">
        <v>18510</v>
      </c>
      <c r="F36" s="304">
        <v>6520</v>
      </c>
      <c r="H36" s="308"/>
      <c r="N36" s="296" t="s">
        <v>1762</v>
      </c>
      <c r="O36" s="296" t="s">
        <v>1811</v>
      </c>
      <c r="P36" s="296" t="s">
        <v>1860</v>
      </c>
      <c r="Q36" s="296" t="s">
        <v>1900</v>
      </c>
    </row>
    <row r="37" ht="14.25" customHeight="1" spans="1:17">
      <c r="A37" s="291" t="s">
        <v>1643</v>
      </c>
      <c r="B37" s="300" t="s">
        <v>1652</v>
      </c>
      <c r="C37" s="296">
        <v>22380</v>
      </c>
      <c r="D37" s="296">
        <v>18530</v>
      </c>
      <c r="E37" s="296">
        <v>17930</v>
      </c>
      <c r="F37" s="304">
        <v>6270</v>
      </c>
      <c r="H37" s="310"/>
      <c r="N37" s="296" t="s">
        <v>1763</v>
      </c>
      <c r="O37" s="296" t="s">
        <v>1812</v>
      </c>
      <c r="P37" s="296" t="s">
        <v>1861</v>
      </c>
      <c r="Q37" s="296" t="s">
        <v>1901</v>
      </c>
    </row>
    <row r="38" ht="14.25" customHeight="1" spans="1:17">
      <c r="A38" s="291" t="s">
        <v>1643</v>
      </c>
      <c r="B38" s="300" t="s">
        <v>1653</v>
      </c>
      <c r="C38" s="296">
        <v>20200</v>
      </c>
      <c r="D38" s="296">
        <v>20070</v>
      </c>
      <c r="E38" s="296">
        <v>19950</v>
      </c>
      <c r="F38" s="304"/>
      <c r="H38" s="311"/>
      <c r="N38" s="296" t="s">
        <v>1764</v>
      </c>
      <c r="O38" s="296" t="s">
        <v>1813</v>
      </c>
      <c r="P38" s="296" t="s">
        <v>1862</v>
      </c>
      <c r="Q38" s="296" t="s">
        <v>1902</v>
      </c>
    </row>
    <row r="39" ht="14.25" customHeight="1" spans="1:17">
      <c r="A39" s="291" t="s">
        <v>1643</v>
      </c>
      <c r="B39" s="300" t="s">
        <v>1654</v>
      </c>
      <c r="C39" s="296">
        <v>19300</v>
      </c>
      <c r="D39" s="296">
        <v>20360</v>
      </c>
      <c r="E39" s="296">
        <v>20230</v>
      </c>
      <c r="F39" s="304"/>
      <c r="H39" s="311"/>
      <c r="N39" s="296" t="s">
        <v>1765</v>
      </c>
      <c r="O39" s="296" t="s">
        <v>1814</v>
      </c>
      <c r="P39" s="296" t="s">
        <v>1863</v>
      </c>
      <c r="Q39" s="296" t="s">
        <v>1903</v>
      </c>
    </row>
    <row r="40" ht="14.25" customHeight="1" spans="1:17">
      <c r="A40" s="291" t="s">
        <v>1643</v>
      </c>
      <c r="B40" s="300" t="s">
        <v>1655</v>
      </c>
      <c r="C40" s="296">
        <v>20210</v>
      </c>
      <c r="D40" s="296">
        <v>19060</v>
      </c>
      <c r="E40" s="296">
        <v>18890</v>
      </c>
      <c r="F40" s="304"/>
      <c r="H40" s="311"/>
      <c r="N40" s="296" t="s">
        <v>1766</v>
      </c>
      <c r="O40" s="296" t="s">
        <v>1815</v>
      </c>
      <c r="P40" s="296" t="s">
        <v>1864</v>
      </c>
      <c r="Q40" s="296" t="s">
        <v>1904</v>
      </c>
    </row>
    <row r="41" ht="14.25" customHeight="1" spans="1:17">
      <c r="A41" s="291" t="s">
        <v>1643</v>
      </c>
      <c r="B41" s="300" t="s">
        <v>1656</v>
      </c>
      <c r="C41" s="296">
        <v>20560</v>
      </c>
      <c r="D41" s="296">
        <v>21040</v>
      </c>
      <c r="E41" s="296">
        <v>20740</v>
      </c>
      <c r="F41" s="304"/>
      <c r="H41" s="311"/>
      <c r="N41" s="300" t="s">
        <v>1767</v>
      </c>
      <c r="O41" s="300" t="s">
        <v>1816</v>
      </c>
      <c r="Q41" s="300" t="s">
        <v>1905</v>
      </c>
    </row>
    <row r="42" ht="14.25" customHeight="1" spans="1:17">
      <c r="A42" s="291" t="s">
        <v>1643</v>
      </c>
      <c r="B42" s="300" t="s">
        <v>1657</v>
      </c>
      <c r="C42" s="296">
        <v>19280</v>
      </c>
      <c r="D42" s="296">
        <v>22940</v>
      </c>
      <c r="E42" s="296">
        <v>22500</v>
      </c>
      <c r="F42" s="304"/>
      <c r="H42" s="311"/>
      <c r="N42" s="296" t="s">
        <v>1768</v>
      </c>
      <c r="O42" s="296" t="s">
        <v>1817</v>
      </c>
      <c r="Q42" s="296" t="s">
        <v>1906</v>
      </c>
    </row>
    <row r="43" ht="14.25" customHeight="1" spans="1:17">
      <c r="A43" s="291" t="s">
        <v>1643</v>
      </c>
      <c r="B43" s="300" t="s">
        <v>1658</v>
      </c>
      <c r="C43" s="296">
        <v>21520</v>
      </c>
      <c r="D43" s="296">
        <v>19230</v>
      </c>
      <c r="E43" s="296">
        <v>18540</v>
      </c>
      <c r="F43" s="304"/>
      <c r="H43" s="311"/>
      <c r="N43" s="296" t="s">
        <v>1769</v>
      </c>
      <c r="O43" s="296" t="s">
        <v>1818</v>
      </c>
      <c r="Q43" s="296" t="s">
        <v>1907</v>
      </c>
    </row>
    <row r="44" ht="14.25" customHeight="1" spans="1:17">
      <c r="A44" s="291" t="s">
        <v>1643</v>
      </c>
      <c r="B44" s="300" t="s">
        <v>1659</v>
      </c>
      <c r="C44" s="296">
        <v>23260</v>
      </c>
      <c r="D44" s="296">
        <v>21180</v>
      </c>
      <c r="E44" s="296">
        <v>20730</v>
      </c>
      <c r="F44" s="304"/>
      <c r="H44" s="311"/>
      <c r="N44" s="296" t="s">
        <v>1770</v>
      </c>
      <c r="O44" s="296" t="s">
        <v>1819</v>
      </c>
      <c r="Q44" s="296" t="s">
        <v>1908</v>
      </c>
    </row>
    <row r="45" ht="14.25" customHeight="1" spans="1:17">
      <c r="A45" s="291" t="s">
        <v>1643</v>
      </c>
      <c r="B45" s="300" t="s">
        <v>1660</v>
      </c>
      <c r="C45" s="296">
        <v>19610</v>
      </c>
      <c r="D45" s="296">
        <v>18090</v>
      </c>
      <c r="E45" s="296">
        <v>17970</v>
      </c>
      <c r="F45" s="304"/>
      <c r="H45" s="308"/>
      <c r="N45" s="296" t="s">
        <v>1771</v>
      </c>
      <c r="O45" s="296" t="s">
        <v>1820</v>
      </c>
      <c r="Q45" s="296" t="s">
        <v>1909</v>
      </c>
    </row>
    <row r="46" ht="14.25" customHeight="1" spans="1:17">
      <c r="A46" s="291" t="s">
        <v>1643</v>
      </c>
      <c r="B46" s="300" t="s">
        <v>1661</v>
      </c>
      <c r="C46" s="296">
        <v>21660</v>
      </c>
      <c r="D46" s="296">
        <v>19190</v>
      </c>
      <c r="E46" s="296">
        <v>19790</v>
      </c>
      <c r="F46" s="304"/>
      <c r="H46" s="311"/>
      <c r="N46" s="296" t="s">
        <v>1772</v>
      </c>
      <c r="O46" s="296" t="s">
        <v>1821</v>
      </c>
      <c r="Q46" s="296" t="s">
        <v>1910</v>
      </c>
    </row>
    <row r="47" ht="14.25" customHeight="1" spans="1:15">
      <c r="A47" s="291" t="s">
        <v>1643</v>
      </c>
      <c r="B47" s="300" t="s">
        <v>1662</v>
      </c>
      <c r="C47" s="296">
        <v>18220</v>
      </c>
      <c r="D47" s="296"/>
      <c r="E47" s="296">
        <v>17220</v>
      </c>
      <c r="F47" s="304"/>
      <c r="H47" s="311"/>
      <c r="N47" s="296" t="s">
        <v>1773</v>
      </c>
      <c r="O47" s="296" t="s">
        <v>1822</v>
      </c>
    </row>
    <row r="48" ht="14.25" customHeight="1" spans="1:15">
      <c r="A48" s="291" t="s">
        <v>1643</v>
      </c>
      <c r="B48" s="301" t="s">
        <v>1663</v>
      </c>
      <c r="C48" s="302">
        <v>19430</v>
      </c>
      <c r="D48" s="302"/>
      <c r="E48" s="302">
        <v>17830</v>
      </c>
      <c r="F48" s="312"/>
      <c r="H48" s="308"/>
      <c r="N48" s="296" t="s">
        <v>1774</v>
      </c>
      <c r="O48" s="296" t="s">
        <v>1823</v>
      </c>
    </row>
    <row r="49" ht="14.25" customHeight="1" spans="1:15">
      <c r="A49" s="291" t="s">
        <v>1664</v>
      </c>
      <c r="B49" s="292" t="s">
        <v>1665</v>
      </c>
      <c r="C49" s="292">
        <v>17090</v>
      </c>
      <c r="D49" s="292">
        <v>16950</v>
      </c>
      <c r="E49" s="292">
        <v>16310</v>
      </c>
      <c r="F49" s="293">
        <v>4540</v>
      </c>
      <c r="H49" s="311"/>
      <c r="N49" s="296" t="s">
        <v>1775</v>
      </c>
      <c r="O49" s="296" t="s">
        <v>1824</v>
      </c>
    </row>
    <row r="50" ht="14.25" customHeight="1" spans="1:8">
      <c r="A50" s="291" t="s">
        <v>1664</v>
      </c>
      <c r="B50" s="296" t="s">
        <v>1666</v>
      </c>
      <c r="C50" s="296">
        <v>19040</v>
      </c>
      <c r="D50" s="296">
        <v>16960</v>
      </c>
      <c r="E50" s="296">
        <v>14800</v>
      </c>
      <c r="F50" s="304">
        <v>3940</v>
      </c>
      <c r="H50" s="311"/>
    </row>
    <row r="51" ht="14.25" customHeight="1" spans="1:8">
      <c r="A51" s="291" t="s">
        <v>1664</v>
      </c>
      <c r="B51" s="296" t="s">
        <v>1667</v>
      </c>
      <c r="C51" s="296">
        <v>17040</v>
      </c>
      <c r="D51" s="296">
        <v>16930</v>
      </c>
      <c r="E51" s="296">
        <v>15030</v>
      </c>
      <c r="F51" s="304">
        <v>4120</v>
      </c>
      <c r="H51" s="311"/>
    </row>
    <row r="52" ht="14.25" customHeight="1" spans="1:8">
      <c r="A52" s="291" t="s">
        <v>1664</v>
      </c>
      <c r="B52" s="296" t="s">
        <v>1668</v>
      </c>
      <c r="C52" s="296">
        <v>17110</v>
      </c>
      <c r="D52" s="296">
        <v>17750</v>
      </c>
      <c r="E52" s="296">
        <v>17310</v>
      </c>
      <c r="F52" s="304">
        <v>3220</v>
      </c>
      <c r="H52" s="311"/>
    </row>
    <row r="53" ht="14.25" customHeight="1" spans="1:8">
      <c r="A53" s="291" t="s">
        <v>1664</v>
      </c>
      <c r="B53" s="296" t="s">
        <v>1669</v>
      </c>
      <c r="C53" s="296">
        <v>17810</v>
      </c>
      <c r="D53" s="296">
        <v>17260</v>
      </c>
      <c r="E53" s="296">
        <v>17090</v>
      </c>
      <c r="F53" s="304">
        <v>3520</v>
      </c>
      <c r="H53" s="311"/>
    </row>
    <row r="54" ht="14.25" customHeight="1" spans="1:8">
      <c r="A54" s="291" t="s">
        <v>1664</v>
      </c>
      <c r="B54" s="296" t="s">
        <v>1670</v>
      </c>
      <c r="C54" s="296">
        <v>17410</v>
      </c>
      <c r="D54" s="296">
        <v>16780</v>
      </c>
      <c r="E54" s="296">
        <v>16370</v>
      </c>
      <c r="F54" s="304">
        <v>3410</v>
      </c>
      <c r="H54" s="311"/>
    </row>
    <row r="55" ht="14.25" customHeight="1" spans="1:8">
      <c r="A55" s="291" t="s">
        <v>1664</v>
      </c>
      <c r="B55" s="296" t="s">
        <v>1671</v>
      </c>
      <c r="C55" s="296">
        <v>16930</v>
      </c>
      <c r="D55" s="296">
        <v>14720</v>
      </c>
      <c r="E55" s="296">
        <v>15000</v>
      </c>
      <c r="F55" s="304">
        <v>3710</v>
      </c>
      <c r="H55" s="311"/>
    </row>
    <row r="56" ht="14.25" customHeight="1" spans="1:8">
      <c r="A56" s="291" t="s">
        <v>1664</v>
      </c>
      <c r="B56" s="296" t="s">
        <v>1672</v>
      </c>
      <c r="C56" s="296">
        <v>14930</v>
      </c>
      <c r="D56" s="296">
        <v>15850</v>
      </c>
      <c r="E56" s="296">
        <v>14320</v>
      </c>
      <c r="F56" s="304">
        <v>3960</v>
      </c>
      <c r="H56" s="311"/>
    </row>
    <row r="57" ht="14.25" customHeight="1" spans="1:8">
      <c r="A57" s="291" t="s">
        <v>1664</v>
      </c>
      <c r="B57" s="296" t="s">
        <v>1673</v>
      </c>
      <c r="C57" s="296">
        <v>16160</v>
      </c>
      <c r="D57" s="296">
        <v>16190</v>
      </c>
      <c r="E57" s="296">
        <v>15650</v>
      </c>
      <c r="F57" s="304">
        <v>4200</v>
      </c>
      <c r="H57" s="311"/>
    </row>
    <row r="58" ht="14.25" customHeight="1" spans="1:8">
      <c r="A58" s="291" t="s">
        <v>1664</v>
      </c>
      <c r="B58" s="296" t="s">
        <v>1674</v>
      </c>
      <c r="C58" s="296">
        <v>16360</v>
      </c>
      <c r="D58" s="296">
        <v>14050</v>
      </c>
      <c r="E58" s="296">
        <v>16070</v>
      </c>
      <c r="F58" s="304">
        <v>3990</v>
      </c>
      <c r="H58" s="311"/>
    </row>
    <row r="59" ht="14.25" customHeight="1" spans="1:8">
      <c r="A59" s="291" t="s">
        <v>1664</v>
      </c>
      <c r="B59" s="296" t="s">
        <v>1675</v>
      </c>
      <c r="C59" s="296">
        <v>14160</v>
      </c>
      <c r="D59" s="296">
        <v>16620</v>
      </c>
      <c r="E59" s="296">
        <v>13940</v>
      </c>
      <c r="F59" s="304">
        <v>4260</v>
      </c>
      <c r="H59" s="311"/>
    </row>
    <row r="60" ht="14.25" customHeight="1" spans="1:8">
      <c r="A60" s="291" t="s">
        <v>1664</v>
      </c>
      <c r="B60" s="296" t="s">
        <v>1676</v>
      </c>
      <c r="C60" s="296">
        <v>16750</v>
      </c>
      <c r="D60" s="296">
        <v>13910</v>
      </c>
      <c r="E60" s="296">
        <v>16550</v>
      </c>
      <c r="F60" s="304">
        <v>4550</v>
      </c>
      <c r="H60" s="311"/>
    </row>
    <row r="61" ht="14.25" customHeight="1" spans="1:8">
      <c r="A61" s="291" t="s">
        <v>1664</v>
      </c>
      <c r="B61" s="296" t="s">
        <v>1677</v>
      </c>
      <c r="C61" s="296">
        <v>14000</v>
      </c>
      <c r="D61" s="296">
        <v>14550</v>
      </c>
      <c r="E61" s="296">
        <v>13860</v>
      </c>
      <c r="F61" s="313"/>
      <c r="H61" s="311"/>
    </row>
    <row r="62" ht="14.25" customHeight="1" spans="1:8">
      <c r="A62" s="291" t="s">
        <v>1664</v>
      </c>
      <c r="B62" s="296" t="s">
        <v>1678</v>
      </c>
      <c r="C62" s="296">
        <v>14660</v>
      </c>
      <c r="D62" s="296">
        <v>17450</v>
      </c>
      <c r="E62" s="296">
        <v>14470</v>
      </c>
      <c r="F62" s="313"/>
      <c r="H62" s="311"/>
    </row>
    <row r="63" ht="14.25" customHeight="1" spans="1:8">
      <c r="A63" s="291" t="s">
        <v>1664</v>
      </c>
      <c r="B63" s="296" t="s">
        <v>1679</v>
      </c>
      <c r="C63" s="296">
        <v>17610</v>
      </c>
      <c r="D63" s="296">
        <v>16500</v>
      </c>
      <c r="E63" s="296">
        <v>17330</v>
      </c>
      <c r="F63" s="313"/>
      <c r="H63" s="311"/>
    </row>
    <row r="64" ht="14.25" customHeight="1" spans="1:8">
      <c r="A64" s="291" t="s">
        <v>1664</v>
      </c>
      <c r="B64" s="296" t="s">
        <v>1680</v>
      </c>
      <c r="C64" s="296">
        <v>16590</v>
      </c>
      <c r="D64" s="296">
        <v>15130</v>
      </c>
      <c r="E64" s="296">
        <v>16420</v>
      </c>
      <c r="F64" s="313"/>
      <c r="H64" s="311"/>
    </row>
    <row r="65" s="279" customFormat="1" ht="14.25" customHeight="1" spans="1:8">
      <c r="A65" s="291" t="s">
        <v>1664</v>
      </c>
      <c r="B65" s="296" t="s">
        <v>1681</v>
      </c>
      <c r="C65" s="296">
        <v>15220</v>
      </c>
      <c r="D65" s="296">
        <v>14660</v>
      </c>
      <c r="E65" s="296">
        <v>15060</v>
      </c>
      <c r="F65" s="304"/>
      <c r="H65" s="311"/>
    </row>
    <row r="66" s="279" customFormat="1" ht="14.25" customHeight="1" spans="1:8">
      <c r="A66" s="291" t="s">
        <v>1664</v>
      </c>
      <c r="B66" s="296" t="s">
        <v>1682</v>
      </c>
      <c r="C66" s="296">
        <v>14720</v>
      </c>
      <c r="D66" s="296">
        <v>15970</v>
      </c>
      <c r="E66" s="296">
        <v>14610</v>
      </c>
      <c r="F66" s="304"/>
      <c r="H66" s="311"/>
    </row>
    <row r="67" s="279" customFormat="1" ht="14.25" customHeight="1" spans="1:8">
      <c r="A67" s="291" t="s">
        <v>1664</v>
      </c>
      <c r="B67" s="296" t="s">
        <v>1683</v>
      </c>
      <c r="C67" s="296">
        <v>16080</v>
      </c>
      <c r="D67" s="296">
        <v>14840</v>
      </c>
      <c r="E67" s="296">
        <v>15630</v>
      </c>
      <c r="F67" s="304"/>
      <c r="H67" s="311"/>
    </row>
    <row r="68" s="279" customFormat="1" ht="14.25" customHeight="1" spans="1:8">
      <c r="A68" s="291" t="s">
        <v>1664</v>
      </c>
      <c r="B68" s="296" t="s">
        <v>1684</v>
      </c>
      <c r="C68" s="296">
        <v>14940</v>
      </c>
      <c r="D68" s="296">
        <v>18000</v>
      </c>
      <c r="E68" s="296">
        <v>14040</v>
      </c>
      <c r="F68" s="304"/>
      <c r="H68" s="311"/>
    </row>
    <row r="69" s="279" customFormat="1" ht="14.25" customHeight="1" spans="1:8">
      <c r="A69" s="291" t="s">
        <v>1664</v>
      </c>
      <c r="B69" s="296" t="s">
        <v>1685</v>
      </c>
      <c r="C69" s="296">
        <v>18810</v>
      </c>
      <c r="D69" s="296">
        <v>15100</v>
      </c>
      <c r="E69" s="296">
        <v>14710</v>
      </c>
      <c r="F69" s="304"/>
      <c r="H69" s="311"/>
    </row>
    <row r="70" s="279" customFormat="1" ht="14.25" customHeight="1" spans="1:8">
      <c r="A70" s="291" t="s">
        <v>1664</v>
      </c>
      <c r="B70" s="296" t="s">
        <v>1686</v>
      </c>
      <c r="C70" s="296">
        <v>18270</v>
      </c>
      <c r="D70" s="296"/>
      <c r="E70" s="296"/>
      <c r="F70" s="304"/>
      <c r="H70" s="311"/>
    </row>
    <row r="71" s="279" customFormat="1" ht="14.25" customHeight="1" spans="1:8">
      <c r="A71" s="291" t="s">
        <v>1664</v>
      </c>
      <c r="B71" s="296" t="s">
        <v>1687</v>
      </c>
      <c r="C71" s="296">
        <v>15230</v>
      </c>
      <c r="D71" s="296"/>
      <c r="E71" s="296"/>
      <c r="F71" s="304"/>
      <c r="H71" s="311"/>
    </row>
    <row r="72" s="279" customFormat="1" ht="14.25" customHeight="1" spans="1:8">
      <c r="A72" s="291" t="s">
        <v>1664</v>
      </c>
      <c r="B72" s="296" t="s">
        <v>1688</v>
      </c>
      <c r="C72" s="296"/>
      <c r="D72" s="296"/>
      <c r="E72" s="296"/>
      <c r="F72" s="304">
        <v>4120</v>
      </c>
      <c r="H72" s="311"/>
    </row>
    <row r="73" s="279" customFormat="1" ht="14.25" customHeight="1" spans="1:8">
      <c r="A73" s="291" t="s">
        <v>1664</v>
      </c>
      <c r="B73" s="296" t="s">
        <v>1689</v>
      </c>
      <c r="C73" s="296"/>
      <c r="D73" s="296"/>
      <c r="E73" s="296"/>
      <c r="F73" s="304">
        <v>3930</v>
      </c>
      <c r="H73" s="311"/>
    </row>
    <row r="74" s="279" customFormat="1" ht="14.25" customHeight="1" spans="1:8">
      <c r="A74" s="291" t="s">
        <v>1664</v>
      </c>
      <c r="B74" s="296" t="s">
        <v>1690</v>
      </c>
      <c r="C74" s="296"/>
      <c r="D74" s="296"/>
      <c r="E74" s="296"/>
      <c r="F74" s="304">
        <v>4060</v>
      </c>
      <c r="H74" s="311"/>
    </row>
    <row r="75" s="279" customFormat="1" ht="14.25" customHeight="1" spans="1:8">
      <c r="A75" s="291" t="s">
        <v>1664</v>
      </c>
      <c r="B75" s="302" t="s">
        <v>1691</v>
      </c>
      <c r="C75" s="302"/>
      <c r="D75" s="302"/>
      <c r="E75" s="302"/>
      <c r="F75" s="312">
        <v>3750</v>
      </c>
      <c r="H75" s="311"/>
    </row>
    <row r="76" s="279" customFormat="1" ht="14.25" customHeight="1" spans="1:8">
      <c r="A76" s="291" t="s">
        <v>1692</v>
      </c>
      <c r="B76" s="292" t="s">
        <v>1693</v>
      </c>
      <c r="C76" s="292">
        <v>14690</v>
      </c>
      <c r="D76" s="292">
        <v>14640</v>
      </c>
      <c r="E76" s="292">
        <v>14590</v>
      </c>
      <c r="F76" s="293">
        <v>3060</v>
      </c>
      <c r="H76" s="311"/>
    </row>
    <row r="77" s="279" customFormat="1" ht="14.25" customHeight="1" spans="1:8">
      <c r="A77" s="291" t="s">
        <v>1692</v>
      </c>
      <c r="B77" s="296" t="s">
        <v>1694</v>
      </c>
      <c r="C77" s="296">
        <v>12550</v>
      </c>
      <c r="D77" s="296">
        <v>12480</v>
      </c>
      <c r="E77" s="296">
        <v>12450</v>
      </c>
      <c r="F77" s="304">
        <v>2590</v>
      </c>
      <c r="H77" s="311"/>
    </row>
    <row r="78" s="279" customFormat="1" ht="14.25" customHeight="1" spans="1:8">
      <c r="A78" s="291" t="s">
        <v>1692</v>
      </c>
      <c r="B78" s="296" t="s">
        <v>1695</v>
      </c>
      <c r="C78" s="296">
        <v>14360</v>
      </c>
      <c r="D78" s="296">
        <v>14320</v>
      </c>
      <c r="E78" s="296">
        <v>12510</v>
      </c>
      <c r="F78" s="304">
        <v>2700</v>
      </c>
      <c r="H78" s="311"/>
    </row>
    <row r="79" s="279" customFormat="1" ht="14.25" customHeight="1" spans="1:8">
      <c r="A79" s="291" t="s">
        <v>1692</v>
      </c>
      <c r="B79" s="296" t="s">
        <v>1696</v>
      </c>
      <c r="C79" s="296">
        <v>12590</v>
      </c>
      <c r="D79" s="296">
        <v>12540</v>
      </c>
      <c r="E79" s="296">
        <v>12350</v>
      </c>
      <c r="F79" s="304">
        <v>2740</v>
      </c>
      <c r="H79" s="311"/>
    </row>
    <row r="80" s="279" customFormat="1" ht="14.25" customHeight="1" spans="1:8">
      <c r="A80" s="291" t="s">
        <v>1692</v>
      </c>
      <c r="B80" s="296" t="s">
        <v>1697</v>
      </c>
      <c r="C80" s="296">
        <v>12450</v>
      </c>
      <c r="D80" s="296">
        <v>12370</v>
      </c>
      <c r="E80" s="296">
        <v>10790</v>
      </c>
      <c r="F80" s="304">
        <v>2290</v>
      </c>
      <c r="H80" s="311"/>
    </row>
    <row r="81" s="279" customFormat="1" ht="14.25" customHeight="1" spans="1:8">
      <c r="A81" s="291" t="s">
        <v>1692</v>
      </c>
      <c r="B81" s="296" t="s">
        <v>1698</v>
      </c>
      <c r="C81" s="296">
        <v>14210</v>
      </c>
      <c r="D81" s="296">
        <v>14150</v>
      </c>
      <c r="E81" s="296">
        <v>12730</v>
      </c>
      <c r="F81" s="304">
        <v>2240</v>
      </c>
      <c r="H81" s="311"/>
    </row>
    <row r="82" s="279" customFormat="1" ht="14.25" customHeight="1" spans="1:8">
      <c r="A82" s="291" t="s">
        <v>1692</v>
      </c>
      <c r="B82" s="296" t="s">
        <v>1699</v>
      </c>
      <c r="C82" s="296">
        <v>10860</v>
      </c>
      <c r="D82" s="296">
        <v>10820</v>
      </c>
      <c r="E82" s="296">
        <v>14720</v>
      </c>
      <c r="F82" s="304">
        <v>2490</v>
      </c>
      <c r="H82" s="311"/>
    </row>
    <row r="83" s="279" customFormat="1" ht="14.25" customHeight="1" spans="1:8">
      <c r="A83" s="291" t="s">
        <v>1692</v>
      </c>
      <c r="B83" s="296" t="s">
        <v>1700</v>
      </c>
      <c r="C83" s="296">
        <v>12810</v>
      </c>
      <c r="D83" s="296">
        <v>12760</v>
      </c>
      <c r="E83" s="296">
        <v>14830</v>
      </c>
      <c r="F83" s="304">
        <v>2450</v>
      </c>
      <c r="H83" s="311"/>
    </row>
    <row r="84" s="279" customFormat="1" ht="14.25" customHeight="1" spans="1:8">
      <c r="A84" s="291" t="s">
        <v>1692</v>
      </c>
      <c r="B84" s="296" t="s">
        <v>1701</v>
      </c>
      <c r="C84" s="296">
        <v>14950</v>
      </c>
      <c r="D84" s="296">
        <v>14810</v>
      </c>
      <c r="E84" s="296">
        <v>12590</v>
      </c>
      <c r="F84" s="304">
        <v>2540</v>
      </c>
      <c r="H84" s="311"/>
    </row>
    <row r="85" s="279" customFormat="1" ht="14.25" customHeight="1" spans="1:8">
      <c r="A85" s="291" t="s">
        <v>1692</v>
      </c>
      <c r="B85" s="296" t="s">
        <v>1702</v>
      </c>
      <c r="C85" s="296">
        <v>14960</v>
      </c>
      <c r="D85" s="296">
        <v>14890</v>
      </c>
      <c r="E85" s="296">
        <v>12840</v>
      </c>
      <c r="F85" s="304">
        <v>2840</v>
      </c>
      <c r="H85" s="311"/>
    </row>
    <row r="86" s="279" customFormat="1" ht="14.25" customHeight="1" spans="1:8">
      <c r="A86" s="291" t="s">
        <v>1692</v>
      </c>
      <c r="B86" s="296" t="s">
        <v>1703</v>
      </c>
      <c r="C86" s="296">
        <v>12730</v>
      </c>
      <c r="D86" s="296">
        <v>12660</v>
      </c>
      <c r="E86" s="296">
        <v>13310</v>
      </c>
      <c r="F86" s="304">
        <v>3140</v>
      </c>
      <c r="H86" s="311"/>
    </row>
    <row r="87" s="279" customFormat="1" ht="14.25" customHeight="1" spans="1:8">
      <c r="A87" s="291" t="s">
        <v>1692</v>
      </c>
      <c r="B87" s="296" t="s">
        <v>1704</v>
      </c>
      <c r="C87" s="296">
        <v>12940</v>
      </c>
      <c r="D87" s="296">
        <v>12890</v>
      </c>
      <c r="E87" s="296">
        <v>11580</v>
      </c>
      <c r="F87" s="313"/>
      <c r="H87" s="311"/>
    </row>
    <row r="88" s="279" customFormat="1" ht="14.25" customHeight="1" spans="1:8">
      <c r="A88" s="291" t="s">
        <v>1692</v>
      </c>
      <c r="B88" s="296" t="s">
        <v>1705</v>
      </c>
      <c r="C88" s="296">
        <v>13430</v>
      </c>
      <c r="D88" s="296">
        <v>13360</v>
      </c>
      <c r="E88" s="296">
        <v>12790</v>
      </c>
      <c r="F88" s="313"/>
      <c r="H88" s="311"/>
    </row>
    <row r="89" s="279" customFormat="1" ht="14.25" customHeight="1" spans="1:8">
      <c r="A89" s="291" t="s">
        <v>1692</v>
      </c>
      <c r="B89" s="296" t="s">
        <v>1706</v>
      </c>
      <c r="C89" s="296">
        <v>11680</v>
      </c>
      <c r="D89" s="296">
        <v>11630</v>
      </c>
      <c r="E89" s="296">
        <v>11320</v>
      </c>
      <c r="F89" s="313"/>
      <c r="H89" s="311"/>
    </row>
    <row r="90" s="279" customFormat="1" ht="14.25" customHeight="1" spans="1:8">
      <c r="A90" s="291" t="s">
        <v>1692</v>
      </c>
      <c r="B90" s="296" t="s">
        <v>1707</v>
      </c>
      <c r="C90" s="296">
        <v>12890</v>
      </c>
      <c r="D90" s="296">
        <v>12820</v>
      </c>
      <c r="E90" s="296">
        <v>12710</v>
      </c>
      <c r="F90" s="313"/>
      <c r="H90" s="311"/>
    </row>
    <row r="91" s="279" customFormat="1" ht="14.25" customHeight="1" spans="1:8">
      <c r="A91" s="291" t="s">
        <v>1692</v>
      </c>
      <c r="B91" s="296" t="s">
        <v>1708</v>
      </c>
      <c r="C91" s="296">
        <v>11410</v>
      </c>
      <c r="D91" s="296">
        <v>11360</v>
      </c>
      <c r="E91" s="296">
        <v>12670</v>
      </c>
      <c r="F91" s="313"/>
      <c r="H91" s="311"/>
    </row>
    <row r="92" s="279" customFormat="1" ht="14.25" customHeight="1" spans="1:8">
      <c r="A92" s="291" t="s">
        <v>1692</v>
      </c>
      <c r="B92" s="296" t="s">
        <v>1709</v>
      </c>
      <c r="C92" s="296">
        <v>12770</v>
      </c>
      <c r="D92" s="296">
        <v>12740</v>
      </c>
      <c r="E92" s="296">
        <v>11970</v>
      </c>
      <c r="F92" s="313"/>
      <c r="H92" s="311"/>
    </row>
    <row r="93" s="279" customFormat="1" ht="14.25" customHeight="1" spans="1:8">
      <c r="A93" s="291" t="s">
        <v>1692</v>
      </c>
      <c r="B93" s="296" t="s">
        <v>1710</v>
      </c>
      <c r="C93" s="296">
        <v>12740</v>
      </c>
      <c r="D93" s="296">
        <v>12700</v>
      </c>
      <c r="E93" s="296">
        <v>12540</v>
      </c>
      <c r="F93" s="313"/>
      <c r="H93" s="311"/>
    </row>
    <row r="94" s="279" customFormat="1" ht="14.25" customHeight="1" spans="1:8">
      <c r="A94" s="291" t="s">
        <v>1692</v>
      </c>
      <c r="B94" s="296" t="s">
        <v>1711</v>
      </c>
      <c r="C94" s="296">
        <v>12020</v>
      </c>
      <c r="D94" s="296">
        <v>11990</v>
      </c>
      <c r="E94" s="296">
        <v>13110</v>
      </c>
      <c r="F94" s="313"/>
      <c r="H94" s="311"/>
    </row>
    <row r="95" s="279" customFormat="1" ht="14.25" customHeight="1" spans="1:8">
      <c r="A95" s="291" t="s">
        <v>1692</v>
      </c>
      <c r="B95" s="296" t="s">
        <v>1712</v>
      </c>
      <c r="C95" s="296">
        <v>12620</v>
      </c>
      <c r="D95" s="296">
        <v>12580</v>
      </c>
      <c r="E95" s="296">
        <v>13160</v>
      </c>
      <c r="F95" s="304"/>
      <c r="H95" s="311"/>
    </row>
    <row r="96" s="279" customFormat="1" ht="14.25" customHeight="1" spans="1:8">
      <c r="A96" s="291" t="s">
        <v>1692</v>
      </c>
      <c r="B96" s="296" t="s">
        <v>1713</v>
      </c>
      <c r="C96" s="296">
        <v>13200</v>
      </c>
      <c r="D96" s="296">
        <v>13150</v>
      </c>
      <c r="E96" s="296">
        <v>12900</v>
      </c>
      <c r="F96" s="304"/>
      <c r="H96" s="311"/>
    </row>
    <row r="97" s="279" customFormat="1" ht="14.25" customHeight="1" spans="1:8">
      <c r="A97" s="291" t="s">
        <v>1692</v>
      </c>
      <c r="B97" s="296" t="s">
        <v>1714</v>
      </c>
      <c r="C97" s="296">
        <v>13270</v>
      </c>
      <c r="D97" s="296">
        <v>13210</v>
      </c>
      <c r="E97" s="296">
        <v>11080</v>
      </c>
      <c r="F97" s="304"/>
      <c r="H97" s="311"/>
    </row>
    <row r="98" s="279" customFormat="1" ht="14.25" customHeight="1" spans="1:8">
      <c r="A98" s="291" t="s">
        <v>1692</v>
      </c>
      <c r="B98" s="296" t="s">
        <v>1715</v>
      </c>
      <c r="C98" s="296">
        <v>13010</v>
      </c>
      <c r="D98" s="296">
        <v>12930</v>
      </c>
      <c r="E98" s="296">
        <v>12840</v>
      </c>
      <c r="F98" s="304"/>
      <c r="H98" s="311"/>
    </row>
    <row r="99" s="279" customFormat="1" ht="14.25" customHeight="1" spans="1:8">
      <c r="A99" s="291" t="s">
        <v>1692</v>
      </c>
      <c r="B99" s="296" t="s">
        <v>1716</v>
      </c>
      <c r="C99" s="296">
        <v>11190</v>
      </c>
      <c r="D99" s="296">
        <v>11130</v>
      </c>
      <c r="E99" s="296"/>
      <c r="F99" s="304"/>
      <c r="H99" s="311"/>
    </row>
    <row r="100" s="279" customFormat="1" ht="14.25" customHeight="1" spans="1:8">
      <c r="A100" s="291" t="s">
        <v>1692</v>
      </c>
      <c r="B100" s="296" t="s">
        <v>1717</v>
      </c>
      <c r="C100" s="296">
        <v>14280</v>
      </c>
      <c r="D100" s="296">
        <v>14180</v>
      </c>
      <c r="E100" s="296"/>
      <c r="F100" s="304"/>
      <c r="H100" s="311"/>
    </row>
    <row r="101" s="279" customFormat="1" ht="14.25" customHeight="1" spans="1:8">
      <c r="A101" s="291" t="s">
        <v>1692</v>
      </c>
      <c r="B101" s="296" t="s">
        <v>1718</v>
      </c>
      <c r="C101" s="296">
        <v>12960</v>
      </c>
      <c r="D101" s="296">
        <v>12890</v>
      </c>
      <c r="E101" s="296"/>
      <c r="F101" s="304"/>
      <c r="H101" s="311"/>
    </row>
    <row r="102" s="279" customFormat="1" ht="14.25" customHeight="1" spans="1:8">
      <c r="A102" s="291" t="s">
        <v>1692</v>
      </c>
      <c r="B102" s="296" t="s">
        <v>1719</v>
      </c>
      <c r="C102" s="296"/>
      <c r="D102" s="296"/>
      <c r="E102" s="296"/>
      <c r="F102" s="304">
        <v>3100</v>
      </c>
      <c r="H102" s="311"/>
    </row>
    <row r="103" s="279" customFormat="1" ht="14.25" customHeight="1" spans="1:8">
      <c r="A103" s="291" t="s">
        <v>1692</v>
      </c>
      <c r="B103" s="296" t="s">
        <v>1720</v>
      </c>
      <c r="C103" s="296"/>
      <c r="D103" s="296"/>
      <c r="E103" s="296"/>
      <c r="F103" s="304">
        <v>2320</v>
      </c>
      <c r="H103" s="311"/>
    </row>
    <row r="104" s="279" customFormat="1" ht="14.25" customHeight="1" spans="1:8">
      <c r="A104" s="291" t="s">
        <v>1692</v>
      </c>
      <c r="B104" s="296" t="s">
        <v>1721</v>
      </c>
      <c r="C104" s="296"/>
      <c r="D104" s="296"/>
      <c r="E104" s="296"/>
      <c r="F104" s="304">
        <v>2320</v>
      </c>
      <c r="H104" s="311"/>
    </row>
    <row r="105" s="279" customFormat="1" ht="14.25" customHeight="1" spans="1:8">
      <c r="A105" s="291" t="s">
        <v>1692</v>
      </c>
      <c r="B105" s="296" t="s">
        <v>1722</v>
      </c>
      <c r="C105" s="296"/>
      <c r="D105" s="296"/>
      <c r="E105" s="296"/>
      <c r="F105" s="304">
        <v>2320</v>
      </c>
      <c r="H105" s="311"/>
    </row>
    <row r="106" s="279" customFormat="1" ht="14.25" customHeight="1" spans="1:8">
      <c r="A106" s="291" t="s">
        <v>1692</v>
      </c>
      <c r="B106" s="296" t="s">
        <v>1723</v>
      </c>
      <c r="C106" s="296"/>
      <c r="D106" s="296"/>
      <c r="E106" s="296"/>
      <c r="F106" s="304">
        <v>2320</v>
      </c>
      <c r="H106" s="311"/>
    </row>
    <row r="107" s="279" customFormat="1" ht="14.25" customHeight="1" spans="1:8">
      <c r="A107" s="291" t="s">
        <v>1692</v>
      </c>
      <c r="B107" s="296" t="s">
        <v>1724</v>
      </c>
      <c r="C107" s="296"/>
      <c r="D107" s="296"/>
      <c r="E107" s="296"/>
      <c r="F107" s="304">
        <v>2280</v>
      </c>
      <c r="H107" s="311"/>
    </row>
    <row r="108" s="279" customFormat="1" ht="14.25" customHeight="1" spans="1:8">
      <c r="A108" s="291" t="s">
        <v>1692</v>
      </c>
      <c r="B108" s="296" t="s">
        <v>1725</v>
      </c>
      <c r="C108" s="296"/>
      <c r="D108" s="296"/>
      <c r="E108" s="296"/>
      <c r="F108" s="304">
        <v>2280</v>
      </c>
      <c r="H108" s="311"/>
    </row>
    <row r="109" s="279" customFormat="1" ht="14.25" customHeight="1" spans="1:8">
      <c r="A109" s="291" t="s">
        <v>1692</v>
      </c>
      <c r="B109" s="302" t="s">
        <v>1726</v>
      </c>
      <c r="C109" s="302"/>
      <c r="D109" s="302"/>
      <c r="E109" s="302"/>
      <c r="F109" s="312">
        <v>2280</v>
      </c>
      <c r="H109" s="311"/>
    </row>
    <row r="110" s="279" customFormat="1" ht="14.25" customHeight="1" spans="1:8">
      <c r="A110" s="291" t="s">
        <v>1727</v>
      </c>
      <c r="B110" s="292" t="s">
        <v>1728</v>
      </c>
      <c r="C110" s="292">
        <v>10520</v>
      </c>
      <c r="D110" s="292">
        <v>10490</v>
      </c>
      <c r="E110" s="292">
        <v>10760</v>
      </c>
      <c r="F110" s="293">
        <v>2160</v>
      </c>
      <c r="H110" s="311"/>
    </row>
    <row r="111" s="279" customFormat="1" ht="14.25" customHeight="1" spans="1:8">
      <c r="A111" s="291" t="s">
        <v>1727</v>
      </c>
      <c r="B111" s="296" t="s">
        <v>1729</v>
      </c>
      <c r="C111" s="296">
        <v>10090</v>
      </c>
      <c r="D111" s="296">
        <v>10060</v>
      </c>
      <c r="E111" s="296">
        <v>10300</v>
      </c>
      <c r="F111" s="304">
        <v>2010</v>
      </c>
      <c r="H111" s="311"/>
    </row>
    <row r="112" s="279" customFormat="1" ht="14.25" customHeight="1" spans="1:8">
      <c r="A112" s="291" t="s">
        <v>1727</v>
      </c>
      <c r="B112" s="296" t="s">
        <v>1730</v>
      </c>
      <c r="C112" s="296">
        <v>9910</v>
      </c>
      <c r="D112" s="296">
        <v>9850</v>
      </c>
      <c r="E112" s="296">
        <v>9960</v>
      </c>
      <c r="F112" s="304">
        <v>2090</v>
      </c>
      <c r="H112" s="311"/>
    </row>
    <row r="113" s="279" customFormat="1" ht="14.25" customHeight="1" spans="1:8">
      <c r="A113" s="291" t="s">
        <v>1727</v>
      </c>
      <c r="B113" s="296" t="s">
        <v>1731</v>
      </c>
      <c r="C113" s="296">
        <v>11430</v>
      </c>
      <c r="D113" s="296">
        <v>11400</v>
      </c>
      <c r="E113" s="296">
        <v>11710</v>
      </c>
      <c r="F113" s="304">
        <v>2050</v>
      </c>
      <c r="H113" s="311"/>
    </row>
    <row r="114" s="279" customFormat="1" ht="14.25" customHeight="1" spans="1:8">
      <c r="A114" s="291" t="s">
        <v>1727</v>
      </c>
      <c r="B114" s="296" t="s">
        <v>1732</v>
      </c>
      <c r="C114" s="296">
        <v>11390</v>
      </c>
      <c r="D114" s="296">
        <v>11350</v>
      </c>
      <c r="E114" s="296">
        <v>11640</v>
      </c>
      <c r="F114" s="304">
        <v>1620</v>
      </c>
      <c r="H114" s="311"/>
    </row>
    <row r="115" s="279" customFormat="1" ht="14.25" customHeight="1" spans="1:8">
      <c r="A115" s="291" t="s">
        <v>1727</v>
      </c>
      <c r="B115" s="296" t="s">
        <v>1733</v>
      </c>
      <c r="C115" s="296">
        <v>9930</v>
      </c>
      <c r="D115" s="296">
        <v>9900</v>
      </c>
      <c r="E115" s="296">
        <v>10160</v>
      </c>
      <c r="F115" s="304">
        <v>1580</v>
      </c>
      <c r="H115" s="311"/>
    </row>
    <row r="116" s="279" customFormat="1" ht="14.25" customHeight="1" spans="1:8">
      <c r="A116" s="291" t="s">
        <v>1727</v>
      </c>
      <c r="B116" s="296" t="s">
        <v>1734</v>
      </c>
      <c r="C116" s="296">
        <v>9150</v>
      </c>
      <c r="D116" s="296">
        <v>9120</v>
      </c>
      <c r="E116" s="296">
        <v>9380</v>
      </c>
      <c r="F116" s="304">
        <v>1750</v>
      </c>
      <c r="H116" s="311"/>
    </row>
    <row r="117" s="279" customFormat="1" ht="14.25" customHeight="1" spans="1:8">
      <c r="A117" s="291" t="s">
        <v>1727</v>
      </c>
      <c r="B117" s="296" t="s">
        <v>1735</v>
      </c>
      <c r="C117" s="296">
        <v>10680</v>
      </c>
      <c r="D117" s="296">
        <v>10650</v>
      </c>
      <c r="E117" s="296">
        <v>10970</v>
      </c>
      <c r="F117" s="304">
        <v>1730</v>
      </c>
      <c r="H117" s="311"/>
    </row>
    <row r="118" s="279" customFormat="1" ht="14.25" customHeight="1" spans="1:8">
      <c r="A118" s="291" t="s">
        <v>1727</v>
      </c>
      <c r="B118" s="296" t="s">
        <v>1736</v>
      </c>
      <c r="C118" s="296">
        <v>10080</v>
      </c>
      <c r="D118" s="296">
        <v>10050</v>
      </c>
      <c r="E118" s="296">
        <v>10350</v>
      </c>
      <c r="F118" s="304">
        <v>1920</v>
      </c>
      <c r="H118" s="311"/>
    </row>
    <row r="119" s="279" customFormat="1" ht="14.25" customHeight="1" spans="1:8">
      <c r="A119" s="291" t="s">
        <v>1727</v>
      </c>
      <c r="B119" s="296" t="s">
        <v>1737</v>
      </c>
      <c r="C119" s="296">
        <v>9450</v>
      </c>
      <c r="D119" s="296">
        <v>9410</v>
      </c>
      <c r="E119" s="296">
        <v>9680</v>
      </c>
      <c r="F119" s="304">
        <v>1880</v>
      </c>
      <c r="H119" s="311"/>
    </row>
    <row r="120" s="279" customFormat="1" ht="14.25" customHeight="1" spans="1:8">
      <c r="A120" s="291" t="s">
        <v>1727</v>
      </c>
      <c r="B120" s="296" t="s">
        <v>1738</v>
      </c>
      <c r="C120" s="296">
        <v>8730</v>
      </c>
      <c r="D120" s="296">
        <v>8700</v>
      </c>
      <c r="E120" s="296">
        <v>8950</v>
      </c>
      <c r="F120" s="304">
        <v>1830</v>
      </c>
      <c r="H120" s="311"/>
    </row>
    <row r="121" s="279" customFormat="1" ht="14.25" customHeight="1" spans="1:8">
      <c r="A121" s="291" t="s">
        <v>1727</v>
      </c>
      <c r="B121" s="296" t="s">
        <v>1739</v>
      </c>
      <c r="C121" s="296">
        <v>10070</v>
      </c>
      <c r="D121" s="296">
        <v>10040</v>
      </c>
      <c r="E121" s="296">
        <v>10270</v>
      </c>
      <c r="F121" s="304">
        <v>1960</v>
      </c>
      <c r="H121" s="311"/>
    </row>
    <row r="122" s="279" customFormat="1" ht="14.25" customHeight="1" spans="1:8">
      <c r="A122" s="291" t="s">
        <v>1727</v>
      </c>
      <c r="B122" s="296" t="s">
        <v>1740</v>
      </c>
      <c r="C122" s="296">
        <v>10500</v>
      </c>
      <c r="D122" s="296">
        <v>10470</v>
      </c>
      <c r="E122" s="296">
        <v>10780</v>
      </c>
      <c r="F122" s="304">
        <v>2180</v>
      </c>
      <c r="H122" s="311"/>
    </row>
    <row r="123" s="279" customFormat="1" ht="14.25" customHeight="1" spans="1:8">
      <c r="A123" s="291" t="s">
        <v>1727</v>
      </c>
      <c r="B123" s="296" t="s">
        <v>1741</v>
      </c>
      <c r="C123" s="296">
        <v>10390</v>
      </c>
      <c r="D123" s="296">
        <v>10360</v>
      </c>
      <c r="E123" s="296">
        <v>10660</v>
      </c>
      <c r="F123" s="304">
        <v>2040</v>
      </c>
      <c r="H123" s="311"/>
    </row>
    <row r="124" s="279" customFormat="1" ht="14.25" customHeight="1" spans="1:8">
      <c r="A124" s="291" t="s">
        <v>1727</v>
      </c>
      <c r="B124" s="296" t="s">
        <v>1742</v>
      </c>
      <c r="C124" s="296">
        <v>10390</v>
      </c>
      <c r="D124" s="296">
        <v>10360</v>
      </c>
      <c r="E124" s="296">
        <v>10680</v>
      </c>
      <c r="F124" s="313"/>
      <c r="H124" s="311"/>
    </row>
    <row r="125" s="279" customFormat="1" ht="14.25" customHeight="1" spans="1:8">
      <c r="A125" s="291" t="s">
        <v>1727</v>
      </c>
      <c r="B125" s="296" t="s">
        <v>1743</v>
      </c>
      <c r="C125" s="296">
        <v>10440</v>
      </c>
      <c r="D125" s="296">
        <v>10410</v>
      </c>
      <c r="E125" s="296">
        <v>10710</v>
      </c>
      <c r="F125" s="313"/>
      <c r="H125" s="311"/>
    </row>
    <row r="126" s="279" customFormat="1" ht="14.25" customHeight="1" spans="1:8">
      <c r="A126" s="291" t="s">
        <v>1727</v>
      </c>
      <c r="B126" s="296" t="s">
        <v>1744</v>
      </c>
      <c r="C126" s="296">
        <v>10780</v>
      </c>
      <c r="D126" s="296">
        <v>10750</v>
      </c>
      <c r="E126" s="296">
        <v>11080</v>
      </c>
      <c r="F126" s="313"/>
      <c r="H126" s="311"/>
    </row>
    <row r="127" s="279" customFormat="1" ht="14.25" customHeight="1" spans="1:8">
      <c r="A127" s="291" t="s">
        <v>1727</v>
      </c>
      <c r="B127" s="296" t="s">
        <v>1745</v>
      </c>
      <c r="C127" s="296">
        <v>10100</v>
      </c>
      <c r="D127" s="296">
        <v>10070</v>
      </c>
      <c r="E127" s="296">
        <v>10350</v>
      </c>
      <c r="F127" s="313"/>
      <c r="H127" s="311"/>
    </row>
    <row r="128" s="279" customFormat="1" ht="14.25" customHeight="1" spans="1:8">
      <c r="A128" s="291" t="s">
        <v>1727</v>
      </c>
      <c r="B128" s="296" t="s">
        <v>1746</v>
      </c>
      <c r="C128" s="296">
        <v>9200</v>
      </c>
      <c r="D128" s="296">
        <v>9160</v>
      </c>
      <c r="E128" s="296">
        <v>9660</v>
      </c>
      <c r="F128" s="313"/>
      <c r="H128" s="311"/>
    </row>
    <row r="129" s="279" customFormat="1" ht="14.25" customHeight="1" spans="1:8">
      <c r="A129" s="291" t="s">
        <v>1727</v>
      </c>
      <c r="B129" s="296" t="s">
        <v>1747</v>
      </c>
      <c r="C129" s="296">
        <v>10340</v>
      </c>
      <c r="D129" s="296">
        <v>10310</v>
      </c>
      <c r="E129" s="296">
        <v>10580</v>
      </c>
      <c r="F129" s="313"/>
      <c r="H129" s="311"/>
    </row>
    <row r="130" s="279" customFormat="1" ht="14.25" customHeight="1" spans="1:8">
      <c r="A130" s="291" t="s">
        <v>1727</v>
      </c>
      <c r="B130" s="296" t="s">
        <v>1748</v>
      </c>
      <c r="C130" s="296">
        <v>9680</v>
      </c>
      <c r="D130" s="296">
        <v>9660</v>
      </c>
      <c r="E130" s="296">
        <v>9950</v>
      </c>
      <c r="F130" s="313"/>
      <c r="H130" s="311"/>
    </row>
    <row r="131" s="279" customFormat="1" ht="14.25" customHeight="1" spans="1:8">
      <c r="A131" s="291" t="s">
        <v>1727</v>
      </c>
      <c r="B131" s="296" t="s">
        <v>1749</v>
      </c>
      <c r="C131" s="296">
        <v>9540</v>
      </c>
      <c r="D131" s="296">
        <v>9510</v>
      </c>
      <c r="E131" s="296">
        <v>9790</v>
      </c>
      <c r="F131" s="313"/>
      <c r="H131" s="311"/>
    </row>
    <row r="132" s="279" customFormat="1" ht="14.25" customHeight="1" spans="1:8">
      <c r="A132" s="291" t="s">
        <v>1727</v>
      </c>
      <c r="B132" s="296" t="s">
        <v>1750</v>
      </c>
      <c r="C132" s="296">
        <v>9320</v>
      </c>
      <c r="D132" s="296">
        <v>9290</v>
      </c>
      <c r="E132" s="296">
        <v>9570</v>
      </c>
      <c r="F132" s="313"/>
      <c r="H132" s="311"/>
    </row>
    <row r="133" s="279" customFormat="1" ht="14.25" customHeight="1" spans="1:8">
      <c r="A133" s="291" t="s">
        <v>1727</v>
      </c>
      <c r="B133" s="296" t="s">
        <v>1751</v>
      </c>
      <c r="C133" s="296">
        <v>10310</v>
      </c>
      <c r="D133" s="296">
        <v>10280</v>
      </c>
      <c r="E133" s="296">
        <v>10530</v>
      </c>
      <c r="F133" s="313"/>
      <c r="H133" s="311"/>
    </row>
    <row r="134" s="279" customFormat="1" ht="14.25" customHeight="1" spans="1:8">
      <c r="A134" s="291" t="s">
        <v>1727</v>
      </c>
      <c r="B134" s="296" t="s">
        <v>1752</v>
      </c>
      <c r="C134" s="296">
        <v>10370</v>
      </c>
      <c r="D134" s="296">
        <v>10310</v>
      </c>
      <c r="E134" s="296">
        <v>10240</v>
      </c>
      <c r="F134" s="304">
        <v>2060</v>
      </c>
      <c r="H134" s="311"/>
    </row>
    <row r="135" s="279" customFormat="1" ht="14.25" customHeight="1" spans="1:8">
      <c r="A135" s="291" t="s">
        <v>1727</v>
      </c>
      <c r="B135" s="296" t="s">
        <v>1753</v>
      </c>
      <c r="C135" s="296">
        <v>9300</v>
      </c>
      <c r="D135" s="296">
        <v>9270</v>
      </c>
      <c r="E135" s="296">
        <v>9350</v>
      </c>
      <c r="F135" s="313"/>
      <c r="H135" s="311"/>
    </row>
    <row r="136" s="279" customFormat="1" ht="14.25" customHeight="1" spans="1:8">
      <c r="A136" s="291" t="s">
        <v>1727</v>
      </c>
      <c r="B136" s="296" t="s">
        <v>1754</v>
      </c>
      <c r="C136" s="296">
        <v>10160</v>
      </c>
      <c r="D136" s="296">
        <v>10110</v>
      </c>
      <c r="E136" s="296">
        <v>10080</v>
      </c>
      <c r="F136" s="313"/>
      <c r="H136" s="311"/>
    </row>
    <row r="137" s="279" customFormat="1" ht="14.25" customHeight="1" spans="1:8">
      <c r="A137" s="291" t="s">
        <v>1727</v>
      </c>
      <c r="B137" s="296" t="s">
        <v>1755</v>
      </c>
      <c r="C137" s="296">
        <v>9200</v>
      </c>
      <c r="D137" s="296">
        <v>9170</v>
      </c>
      <c r="E137" s="296">
        <v>9450</v>
      </c>
      <c r="F137" s="313"/>
      <c r="H137" s="311"/>
    </row>
    <row r="138" s="279" customFormat="1" ht="14.25" customHeight="1" spans="1:8">
      <c r="A138" s="291" t="s">
        <v>1727</v>
      </c>
      <c r="B138" s="296" t="s">
        <v>1756</v>
      </c>
      <c r="C138" s="296">
        <v>9690</v>
      </c>
      <c r="D138" s="296">
        <v>9660</v>
      </c>
      <c r="E138" s="296">
        <v>9840</v>
      </c>
      <c r="F138" s="313"/>
      <c r="H138" s="311"/>
    </row>
    <row r="139" s="279" customFormat="1" ht="14.25" customHeight="1" spans="1:8">
      <c r="A139" s="291" t="s">
        <v>1727</v>
      </c>
      <c r="B139" s="296" t="s">
        <v>1757</v>
      </c>
      <c r="C139" s="296">
        <v>10290</v>
      </c>
      <c r="D139" s="296">
        <v>10260</v>
      </c>
      <c r="E139" s="296">
        <v>10550</v>
      </c>
      <c r="F139" s="304">
        <v>1700</v>
      </c>
      <c r="H139" s="311"/>
    </row>
    <row r="140" s="279" customFormat="1" ht="14.25" customHeight="1" spans="1:8">
      <c r="A140" s="291" t="s">
        <v>1727</v>
      </c>
      <c r="B140" s="296" t="s">
        <v>1758</v>
      </c>
      <c r="C140" s="296">
        <v>9740</v>
      </c>
      <c r="D140" s="296">
        <v>9710</v>
      </c>
      <c r="E140" s="296">
        <v>10000</v>
      </c>
      <c r="F140" s="304">
        <v>2000</v>
      </c>
      <c r="H140" s="311"/>
    </row>
    <row r="141" s="279" customFormat="1" ht="14.25" customHeight="1" spans="1:8">
      <c r="A141" s="291" t="s">
        <v>1727</v>
      </c>
      <c r="B141" s="296" t="s">
        <v>1759</v>
      </c>
      <c r="C141" s="296">
        <v>9810</v>
      </c>
      <c r="D141" s="296">
        <v>9770</v>
      </c>
      <c r="E141" s="296">
        <v>10060</v>
      </c>
      <c r="F141" s="313"/>
      <c r="H141" s="311"/>
    </row>
    <row r="142" s="279" customFormat="1" ht="14.25" customHeight="1" spans="1:8">
      <c r="A142" s="291" t="s">
        <v>1727</v>
      </c>
      <c r="B142" s="296" t="s">
        <v>1760</v>
      </c>
      <c r="C142" s="296">
        <v>9300</v>
      </c>
      <c r="D142" s="296">
        <v>9270</v>
      </c>
      <c r="E142" s="296">
        <v>9530</v>
      </c>
      <c r="F142" s="313"/>
      <c r="H142" s="311"/>
    </row>
    <row r="143" s="279" customFormat="1" ht="14.25" customHeight="1" spans="1:8">
      <c r="A143" s="291" t="s">
        <v>1727</v>
      </c>
      <c r="B143" s="296" t="s">
        <v>1761</v>
      </c>
      <c r="C143" s="296">
        <v>10080</v>
      </c>
      <c r="D143" s="296">
        <v>10050</v>
      </c>
      <c r="E143" s="296">
        <v>10340</v>
      </c>
      <c r="F143" s="313"/>
      <c r="H143" s="311"/>
    </row>
    <row r="144" s="279" customFormat="1" ht="14.25" customHeight="1" spans="1:8">
      <c r="A144" s="291" t="s">
        <v>1727</v>
      </c>
      <c r="B144" s="296" t="s">
        <v>1762</v>
      </c>
      <c r="C144" s="296">
        <v>9820</v>
      </c>
      <c r="D144" s="296">
        <v>9750</v>
      </c>
      <c r="E144" s="296">
        <v>9900</v>
      </c>
      <c r="F144" s="313"/>
      <c r="H144" s="311"/>
    </row>
    <row r="145" s="279" customFormat="1" ht="14.25" customHeight="1" spans="1:8">
      <c r="A145" s="291" t="s">
        <v>1727</v>
      </c>
      <c r="B145" s="296" t="s">
        <v>1763</v>
      </c>
      <c r="C145" s="296"/>
      <c r="D145" s="296"/>
      <c r="E145" s="296"/>
      <c r="F145" s="304">
        <v>1740</v>
      </c>
      <c r="H145" s="311"/>
    </row>
    <row r="146" s="279" customFormat="1" ht="14.25" customHeight="1" spans="1:8">
      <c r="A146" s="291" t="s">
        <v>1727</v>
      </c>
      <c r="B146" s="296" t="s">
        <v>1764</v>
      </c>
      <c r="C146" s="296"/>
      <c r="D146" s="296"/>
      <c r="E146" s="296"/>
      <c r="F146" s="304">
        <v>1740</v>
      </c>
      <c r="H146" s="311"/>
    </row>
    <row r="147" s="279" customFormat="1" ht="14.25" customHeight="1" spans="1:8">
      <c r="A147" s="291" t="s">
        <v>1727</v>
      </c>
      <c r="B147" s="296" t="s">
        <v>1765</v>
      </c>
      <c r="C147" s="296"/>
      <c r="D147" s="296"/>
      <c r="E147" s="296"/>
      <c r="F147" s="304">
        <v>1740</v>
      </c>
      <c r="H147" s="311"/>
    </row>
    <row r="148" s="279" customFormat="1" ht="14.25" customHeight="1" spans="1:8">
      <c r="A148" s="291" t="s">
        <v>1727</v>
      </c>
      <c r="B148" s="296" t="s">
        <v>1766</v>
      </c>
      <c r="C148" s="296"/>
      <c r="D148" s="296"/>
      <c r="E148" s="296"/>
      <c r="F148" s="304">
        <v>1740</v>
      </c>
      <c r="H148" s="311"/>
    </row>
    <row r="149" s="279" customFormat="1" ht="14.25" customHeight="1" spans="1:8">
      <c r="A149" s="291" t="s">
        <v>1727</v>
      </c>
      <c r="B149" s="296" t="s">
        <v>1767</v>
      </c>
      <c r="C149" s="296"/>
      <c r="D149" s="296"/>
      <c r="E149" s="296"/>
      <c r="F149" s="304">
        <v>1740</v>
      </c>
      <c r="H149" s="311"/>
    </row>
    <row r="150" s="279" customFormat="1" ht="14.25" customHeight="1" spans="1:8">
      <c r="A150" s="291" t="s">
        <v>1727</v>
      </c>
      <c r="B150" s="296" t="s">
        <v>1768</v>
      </c>
      <c r="C150" s="296"/>
      <c r="D150" s="296"/>
      <c r="E150" s="296"/>
      <c r="F150" s="304">
        <v>1610</v>
      </c>
      <c r="H150" s="311"/>
    </row>
    <row r="151" s="279" customFormat="1" ht="14.25" customHeight="1" spans="1:8">
      <c r="A151" s="291" t="s">
        <v>1727</v>
      </c>
      <c r="B151" s="296" t="s">
        <v>1769</v>
      </c>
      <c r="C151" s="296"/>
      <c r="D151" s="296"/>
      <c r="E151" s="296"/>
      <c r="F151" s="304">
        <v>1610</v>
      </c>
      <c r="H151" s="311"/>
    </row>
    <row r="152" s="279" customFormat="1" ht="14.25" customHeight="1" spans="1:8">
      <c r="A152" s="291" t="s">
        <v>1727</v>
      </c>
      <c r="B152" s="296" t="s">
        <v>1770</v>
      </c>
      <c r="C152" s="296"/>
      <c r="D152" s="296"/>
      <c r="E152" s="296"/>
      <c r="F152" s="304">
        <v>1610</v>
      </c>
      <c r="H152" s="311"/>
    </row>
    <row r="153" s="279" customFormat="1" ht="14.25" customHeight="1" spans="1:8">
      <c r="A153" s="291" t="s">
        <v>1727</v>
      </c>
      <c r="B153" s="296" t="s">
        <v>1771</v>
      </c>
      <c r="C153" s="296"/>
      <c r="D153" s="296"/>
      <c r="E153" s="296"/>
      <c r="F153" s="304">
        <v>1610</v>
      </c>
      <c r="H153" s="311"/>
    </row>
    <row r="154" s="279" customFormat="1" ht="14.25" customHeight="1" spans="1:8">
      <c r="A154" s="291" t="s">
        <v>1727</v>
      </c>
      <c r="B154" s="296" t="s">
        <v>1772</v>
      </c>
      <c r="C154" s="296"/>
      <c r="D154" s="296"/>
      <c r="E154" s="296"/>
      <c r="F154" s="304">
        <v>1610</v>
      </c>
      <c r="H154" s="311"/>
    </row>
    <row r="155" s="279" customFormat="1" ht="14.25" customHeight="1" spans="1:8">
      <c r="A155" s="291" t="s">
        <v>1727</v>
      </c>
      <c r="B155" s="296" t="s">
        <v>1773</v>
      </c>
      <c r="C155" s="296"/>
      <c r="D155" s="296"/>
      <c r="E155" s="296"/>
      <c r="F155" s="304">
        <v>1800</v>
      </c>
      <c r="H155" s="311"/>
    </row>
    <row r="156" s="279" customFormat="1" ht="14.25" customHeight="1" spans="1:8">
      <c r="A156" s="291" t="s">
        <v>1727</v>
      </c>
      <c r="B156" s="296" t="s">
        <v>1774</v>
      </c>
      <c r="C156" s="296"/>
      <c r="D156" s="296"/>
      <c r="E156" s="296"/>
      <c r="F156" s="304">
        <v>1910</v>
      </c>
      <c r="H156" s="311"/>
    </row>
    <row r="157" s="279" customFormat="1" ht="14.25" customHeight="1" spans="1:8">
      <c r="A157" s="291" t="s">
        <v>1727</v>
      </c>
      <c r="B157" s="302" t="s">
        <v>1775</v>
      </c>
      <c r="C157" s="302"/>
      <c r="D157" s="302"/>
      <c r="E157" s="302"/>
      <c r="F157" s="312">
        <v>1500</v>
      </c>
      <c r="H157" s="311"/>
    </row>
    <row r="158" s="279" customFormat="1" ht="14.25" customHeight="1" spans="1:8">
      <c r="A158" s="291" t="s">
        <v>1776</v>
      </c>
      <c r="B158" s="292" t="s">
        <v>1777</v>
      </c>
      <c r="C158" s="292">
        <v>8170</v>
      </c>
      <c r="D158" s="292">
        <v>8140</v>
      </c>
      <c r="E158" s="292">
        <v>8590</v>
      </c>
      <c r="F158" s="293">
        <v>1450</v>
      </c>
      <c r="H158" s="311"/>
    </row>
    <row r="159" s="279" customFormat="1" ht="14.25" customHeight="1" spans="1:8">
      <c r="A159" s="291" t="s">
        <v>1776</v>
      </c>
      <c r="B159" s="296" t="s">
        <v>1778</v>
      </c>
      <c r="C159" s="296">
        <v>7410</v>
      </c>
      <c r="D159" s="296">
        <v>7370</v>
      </c>
      <c r="E159" s="296">
        <v>8030</v>
      </c>
      <c r="F159" s="304">
        <v>1510</v>
      </c>
      <c r="H159" s="311"/>
    </row>
    <row r="160" s="279" customFormat="1" ht="14.25" customHeight="1" spans="1:8">
      <c r="A160" s="291" t="s">
        <v>1776</v>
      </c>
      <c r="B160" s="296" t="s">
        <v>1779</v>
      </c>
      <c r="C160" s="296">
        <v>7240</v>
      </c>
      <c r="D160" s="296">
        <v>7210</v>
      </c>
      <c r="E160" s="296">
        <v>7860</v>
      </c>
      <c r="F160" s="304">
        <v>1370</v>
      </c>
      <c r="H160" s="311"/>
    </row>
    <row r="161" s="279" customFormat="1" ht="14.25" customHeight="1" spans="1:8">
      <c r="A161" s="291" t="s">
        <v>1776</v>
      </c>
      <c r="B161" s="296" t="s">
        <v>1780</v>
      </c>
      <c r="C161" s="296">
        <v>7720</v>
      </c>
      <c r="D161" s="296">
        <v>7690</v>
      </c>
      <c r="E161" s="296">
        <v>8200</v>
      </c>
      <c r="F161" s="304">
        <v>1190</v>
      </c>
      <c r="H161" s="311"/>
    </row>
    <row r="162" s="279" customFormat="1" ht="14.25" customHeight="1" spans="1:8">
      <c r="A162" s="291" t="s">
        <v>1776</v>
      </c>
      <c r="B162" s="296" t="s">
        <v>1781</v>
      </c>
      <c r="C162" s="296">
        <v>6900</v>
      </c>
      <c r="D162" s="296">
        <v>6870</v>
      </c>
      <c r="E162" s="296">
        <v>7500</v>
      </c>
      <c r="F162" s="304">
        <v>1390</v>
      </c>
      <c r="H162" s="311"/>
    </row>
    <row r="163" s="279" customFormat="1" ht="14.25" customHeight="1" spans="1:8">
      <c r="A163" s="291" t="s">
        <v>1776</v>
      </c>
      <c r="B163" s="296" t="s">
        <v>1782</v>
      </c>
      <c r="C163" s="296">
        <v>7120</v>
      </c>
      <c r="D163" s="296">
        <v>7090</v>
      </c>
      <c r="E163" s="296">
        <v>7690</v>
      </c>
      <c r="F163" s="304">
        <v>1230</v>
      </c>
      <c r="H163" s="311"/>
    </row>
    <row r="164" s="279" customFormat="1" ht="14.25" customHeight="1" spans="1:8">
      <c r="A164" s="291" t="s">
        <v>1776</v>
      </c>
      <c r="B164" s="296" t="s">
        <v>1783</v>
      </c>
      <c r="C164" s="296">
        <v>6560</v>
      </c>
      <c r="D164" s="296">
        <v>6530</v>
      </c>
      <c r="E164" s="296">
        <v>7110</v>
      </c>
      <c r="F164" s="304">
        <v>1340</v>
      </c>
      <c r="H164" s="311"/>
    </row>
    <row r="165" s="279" customFormat="1" ht="14.25" customHeight="1" spans="1:8">
      <c r="A165" s="291" t="s">
        <v>1776</v>
      </c>
      <c r="B165" s="296" t="s">
        <v>1784</v>
      </c>
      <c r="C165" s="296">
        <v>7450</v>
      </c>
      <c r="D165" s="296">
        <v>7430</v>
      </c>
      <c r="E165" s="296">
        <v>8110</v>
      </c>
      <c r="F165" s="304">
        <v>1290</v>
      </c>
      <c r="H165" s="311"/>
    </row>
    <row r="166" s="279" customFormat="1" ht="14.25" customHeight="1" spans="1:8">
      <c r="A166" s="291" t="s">
        <v>1776</v>
      </c>
      <c r="B166" s="296" t="s">
        <v>1785</v>
      </c>
      <c r="C166" s="296">
        <v>7490</v>
      </c>
      <c r="D166" s="296">
        <v>7460</v>
      </c>
      <c r="E166" s="296">
        <v>8150</v>
      </c>
      <c r="F166" s="304">
        <v>1350</v>
      </c>
      <c r="H166" s="311"/>
    </row>
    <row r="167" s="279" customFormat="1" ht="14.25" customHeight="1" spans="1:8">
      <c r="A167" s="291" t="s">
        <v>1776</v>
      </c>
      <c r="B167" s="296" t="s">
        <v>1786</v>
      </c>
      <c r="C167" s="296">
        <v>7540</v>
      </c>
      <c r="D167" s="296">
        <v>7510</v>
      </c>
      <c r="E167" s="296">
        <v>8030</v>
      </c>
      <c r="F167" s="313"/>
      <c r="H167" s="311"/>
    </row>
    <row r="168" s="279" customFormat="1" ht="14.25" customHeight="1" spans="1:8">
      <c r="A168" s="291" t="s">
        <v>1776</v>
      </c>
      <c r="B168" s="296" t="s">
        <v>1787</v>
      </c>
      <c r="C168" s="296">
        <v>7210</v>
      </c>
      <c r="D168" s="296">
        <v>7180</v>
      </c>
      <c r="E168" s="296">
        <v>7830</v>
      </c>
      <c r="F168" s="313"/>
      <c r="H168" s="311"/>
    </row>
    <row r="169" s="279" customFormat="1" ht="14.25" customHeight="1" spans="1:8">
      <c r="A169" s="291" t="s">
        <v>1776</v>
      </c>
      <c r="B169" s="296" t="s">
        <v>1788</v>
      </c>
      <c r="C169" s="296">
        <v>7040</v>
      </c>
      <c r="D169" s="296">
        <v>7020</v>
      </c>
      <c r="E169" s="296">
        <v>7670</v>
      </c>
      <c r="F169" s="313"/>
      <c r="H169" s="311"/>
    </row>
    <row r="170" s="279" customFormat="1" ht="14.25" customHeight="1" spans="1:8">
      <c r="A170" s="291" t="s">
        <v>1776</v>
      </c>
      <c r="B170" s="296" t="s">
        <v>1789</v>
      </c>
      <c r="C170" s="296">
        <v>8040</v>
      </c>
      <c r="D170" s="296">
        <v>7190</v>
      </c>
      <c r="E170" s="296">
        <v>7850</v>
      </c>
      <c r="F170" s="313"/>
      <c r="H170" s="311"/>
    </row>
    <row r="171" s="279" customFormat="1" ht="14.25" customHeight="1" spans="1:8">
      <c r="A171" s="291" t="s">
        <v>1776</v>
      </c>
      <c r="B171" s="296" t="s">
        <v>1790</v>
      </c>
      <c r="C171" s="296">
        <v>7860</v>
      </c>
      <c r="D171" s="296">
        <v>7720</v>
      </c>
      <c r="E171" s="296">
        <v>8150</v>
      </c>
      <c r="F171" s="304">
        <v>1110</v>
      </c>
      <c r="H171" s="311"/>
    </row>
    <row r="172" s="279" customFormat="1" ht="14.25" customHeight="1" spans="1:8">
      <c r="A172" s="291" t="s">
        <v>1776</v>
      </c>
      <c r="B172" s="296" t="s">
        <v>1791</v>
      </c>
      <c r="C172" s="296">
        <v>7210</v>
      </c>
      <c r="D172" s="296">
        <v>7170</v>
      </c>
      <c r="E172" s="296">
        <v>7320</v>
      </c>
      <c r="F172" s="313"/>
      <c r="H172" s="311"/>
    </row>
    <row r="173" s="279" customFormat="1" ht="14.25" customHeight="1" spans="1:8">
      <c r="A173" s="291" t="s">
        <v>1776</v>
      </c>
      <c r="B173" s="296" t="s">
        <v>1792</v>
      </c>
      <c r="C173" s="296">
        <v>6860</v>
      </c>
      <c r="D173" s="296">
        <v>6810</v>
      </c>
      <c r="E173" s="296">
        <v>7440</v>
      </c>
      <c r="F173" s="313"/>
      <c r="H173" s="311"/>
    </row>
    <row r="174" s="279" customFormat="1" ht="14.25" customHeight="1" spans="1:8">
      <c r="A174" s="291" t="s">
        <v>1776</v>
      </c>
      <c r="B174" s="296" t="s">
        <v>1793</v>
      </c>
      <c r="C174" s="296">
        <v>7120</v>
      </c>
      <c r="D174" s="296">
        <v>7090</v>
      </c>
      <c r="E174" s="296">
        <v>7500</v>
      </c>
      <c r="F174" s="304">
        <v>1490</v>
      </c>
      <c r="H174" s="311"/>
    </row>
    <row r="175" s="279" customFormat="1" ht="14.25" customHeight="1" spans="1:8">
      <c r="A175" s="291" t="s">
        <v>1776</v>
      </c>
      <c r="B175" s="296" t="s">
        <v>1794</v>
      </c>
      <c r="C175" s="296">
        <v>7850</v>
      </c>
      <c r="D175" s="296">
        <v>7820</v>
      </c>
      <c r="E175" s="296">
        <v>8120</v>
      </c>
      <c r="F175" s="304">
        <v>1530</v>
      </c>
      <c r="H175" s="311"/>
    </row>
    <row r="176" s="279" customFormat="1" ht="14.25" customHeight="1" spans="1:8">
      <c r="A176" s="291" t="s">
        <v>1776</v>
      </c>
      <c r="B176" s="296" t="s">
        <v>1795</v>
      </c>
      <c r="C176" s="296">
        <v>7620</v>
      </c>
      <c r="D176" s="296">
        <v>7570</v>
      </c>
      <c r="E176" s="296">
        <v>7990</v>
      </c>
      <c r="F176" s="304">
        <v>1480</v>
      </c>
      <c r="H176" s="311"/>
    </row>
    <row r="177" s="279" customFormat="1" ht="14.25" customHeight="1" spans="1:8">
      <c r="A177" s="291" t="s">
        <v>1776</v>
      </c>
      <c r="B177" s="296" t="s">
        <v>1796</v>
      </c>
      <c r="C177" s="296">
        <v>8590</v>
      </c>
      <c r="D177" s="296">
        <v>8570</v>
      </c>
      <c r="E177" s="296">
        <v>8740</v>
      </c>
      <c r="F177" s="304">
        <v>1540</v>
      </c>
      <c r="H177" s="311"/>
    </row>
    <row r="178" s="279" customFormat="1" ht="14.25" customHeight="1" spans="1:8">
      <c r="A178" s="291" t="s">
        <v>1776</v>
      </c>
      <c r="B178" s="296" t="s">
        <v>1797</v>
      </c>
      <c r="C178" s="296">
        <v>7510</v>
      </c>
      <c r="D178" s="296">
        <v>7470</v>
      </c>
      <c r="E178" s="296">
        <v>8090</v>
      </c>
      <c r="F178" s="304">
        <v>1320</v>
      </c>
      <c r="H178" s="311"/>
    </row>
    <row r="179" s="279" customFormat="1" ht="14.25" customHeight="1" spans="1:8">
      <c r="A179" s="291" t="s">
        <v>1776</v>
      </c>
      <c r="B179" s="296" t="s">
        <v>1798</v>
      </c>
      <c r="C179" s="296">
        <v>6380</v>
      </c>
      <c r="D179" s="296">
        <v>6340</v>
      </c>
      <c r="E179" s="296">
        <v>6810</v>
      </c>
      <c r="F179" s="313"/>
      <c r="H179" s="311"/>
    </row>
    <row r="180" s="279" customFormat="1" ht="14.25" customHeight="1" spans="1:8">
      <c r="A180" s="291" t="s">
        <v>1776</v>
      </c>
      <c r="B180" s="296" t="s">
        <v>1799</v>
      </c>
      <c r="C180" s="296">
        <v>7830</v>
      </c>
      <c r="D180" s="296">
        <v>7800</v>
      </c>
      <c r="E180" s="296">
        <v>7780</v>
      </c>
      <c r="F180" s="304">
        <v>1440</v>
      </c>
      <c r="H180" s="311"/>
    </row>
    <row r="181" s="279" customFormat="1" ht="14.25" customHeight="1" spans="1:8">
      <c r="A181" s="291" t="s">
        <v>1776</v>
      </c>
      <c r="B181" s="296" t="s">
        <v>1800</v>
      </c>
      <c r="C181" s="296">
        <v>7110</v>
      </c>
      <c r="D181" s="296">
        <v>7080</v>
      </c>
      <c r="E181" s="296">
        <v>7730</v>
      </c>
      <c r="F181" s="304">
        <v>1350</v>
      </c>
      <c r="H181" s="311"/>
    </row>
    <row r="182" s="279" customFormat="1" ht="14.25" customHeight="1" spans="1:8">
      <c r="A182" s="291" t="s">
        <v>1776</v>
      </c>
      <c r="B182" s="296" t="s">
        <v>1801</v>
      </c>
      <c r="C182" s="296">
        <v>7310</v>
      </c>
      <c r="D182" s="296">
        <v>7280</v>
      </c>
      <c r="E182" s="296">
        <v>7950</v>
      </c>
      <c r="F182" s="304">
        <v>1220</v>
      </c>
      <c r="H182" s="311"/>
    </row>
    <row r="183" s="279" customFormat="1" ht="14.25" customHeight="1" spans="1:8">
      <c r="A183" s="291" t="s">
        <v>1776</v>
      </c>
      <c r="B183" s="296" t="s">
        <v>1802</v>
      </c>
      <c r="C183" s="296">
        <v>7470</v>
      </c>
      <c r="D183" s="296">
        <v>7440</v>
      </c>
      <c r="E183" s="296">
        <v>7880</v>
      </c>
      <c r="F183" s="313"/>
      <c r="H183" s="311"/>
    </row>
    <row r="184" s="279" customFormat="1" ht="14.25" customHeight="1" spans="1:8">
      <c r="A184" s="291" t="s">
        <v>1776</v>
      </c>
      <c r="B184" s="296" t="s">
        <v>1803</v>
      </c>
      <c r="C184" s="296">
        <v>6960</v>
      </c>
      <c r="D184" s="296">
        <v>6930</v>
      </c>
      <c r="E184" s="296">
        <v>7570</v>
      </c>
      <c r="F184" s="313"/>
      <c r="H184" s="311"/>
    </row>
    <row r="185" s="279" customFormat="1" ht="14.25" customHeight="1" spans="1:8">
      <c r="A185" s="291" t="s">
        <v>1776</v>
      </c>
      <c r="B185" s="296" t="s">
        <v>1804</v>
      </c>
      <c r="C185" s="296">
        <v>7260</v>
      </c>
      <c r="D185" s="296">
        <v>7230</v>
      </c>
      <c r="E185" s="296">
        <v>7710</v>
      </c>
      <c r="F185" s="304">
        <v>1360</v>
      </c>
      <c r="H185" s="311"/>
    </row>
    <row r="186" s="279" customFormat="1" ht="14.25" customHeight="1" spans="1:8">
      <c r="A186" s="291" t="s">
        <v>1776</v>
      </c>
      <c r="B186" s="296" t="s">
        <v>1805</v>
      </c>
      <c r="C186" s="296"/>
      <c r="D186" s="296"/>
      <c r="E186" s="296"/>
      <c r="F186" s="304">
        <v>1560</v>
      </c>
      <c r="H186" s="311"/>
    </row>
    <row r="187" s="279" customFormat="1" ht="14.25" customHeight="1" spans="1:8">
      <c r="A187" s="291" t="s">
        <v>1776</v>
      </c>
      <c r="B187" s="296" t="s">
        <v>1806</v>
      </c>
      <c r="C187" s="296"/>
      <c r="D187" s="296"/>
      <c r="E187" s="296"/>
      <c r="F187" s="304">
        <v>1560</v>
      </c>
      <c r="H187" s="311"/>
    </row>
    <row r="188" s="279" customFormat="1" ht="14.25" customHeight="1" spans="1:8">
      <c r="A188" s="291" t="s">
        <v>1776</v>
      </c>
      <c r="B188" s="296" t="s">
        <v>1807</v>
      </c>
      <c r="C188" s="296"/>
      <c r="D188" s="296"/>
      <c r="E188" s="296"/>
      <c r="F188" s="304">
        <v>1560</v>
      </c>
      <c r="H188" s="311"/>
    </row>
    <row r="189" s="279" customFormat="1" ht="14.25" customHeight="1" spans="1:8">
      <c r="A189" s="291" t="s">
        <v>1776</v>
      </c>
      <c r="B189" s="296" t="s">
        <v>1808</v>
      </c>
      <c r="C189" s="296"/>
      <c r="D189" s="296"/>
      <c r="E189" s="296"/>
      <c r="F189" s="304">
        <v>1320</v>
      </c>
      <c r="H189" s="311"/>
    </row>
    <row r="190" s="279" customFormat="1" ht="14.25" customHeight="1" spans="1:8">
      <c r="A190" s="291" t="s">
        <v>1776</v>
      </c>
      <c r="B190" s="296" t="s">
        <v>1809</v>
      </c>
      <c r="C190" s="296"/>
      <c r="D190" s="296"/>
      <c r="E190" s="296"/>
      <c r="F190" s="304">
        <v>1320</v>
      </c>
      <c r="H190" s="311"/>
    </row>
    <row r="191" s="279" customFormat="1" ht="14.25" customHeight="1" spans="1:8">
      <c r="A191" s="291" t="s">
        <v>1776</v>
      </c>
      <c r="B191" s="296" t="s">
        <v>1810</v>
      </c>
      <c r="C191" s="296"/>
      <c r="D191" s="296"/>
      <c r="E191" s="296"/>
      <c r="F191" s="304">
        <v>1320</v>
      </c>
      <c r="H191" s="311"/>
    </row>
    <row r="192" s="279" customFormat="1" ht="14.25" customHeight="1" spans="1:8">
      <c r="A192" s="291" t="s">
        <v>1776</v>
      </c>
      <c r="B192" s="296" t="s">
        <v>1811</v>
      </c>
      <c r="C192" s="296"/>
      <c r="D192" s="296"/>
      <c r="E192" s="296"/>
      <c r="F192" s="304">
        <v>1100</v>
      </c>
      <c r="H192" s="311"/>
    </row>
    <row r="193" s="279" customFormat="1" ht="14.25" customHeight="1" spans="1:8">
      <c r="A193" s="291" t="s">
        <v>1776</v>
      </c>
      <c r="B193" s="296" t="s">
        <v>1812</v>
      </c>
      <c r="C193" s="296"/>
      <c r="D193" s="296"/>
      <c r="E193" s="296"/>
      <c r="F193" s="304">
        <v>1100</v>
      </c>
      <c r="H193" s="311"/>
    </row>
    <row r="194" s="279" customFormat="1" ht="14.25" customHeight="1" spans="1:8">
      <c r="A194" s="291" t="s">
        <v>1776</v>
      </c>
      <c r="B194" s="296" t="s">
        <v>1813</v>
      </c>
      <c r="C194" s="296"/>
      <c r="D194" s="296"/>
      <c r="E194" s="296"/>
      <c r="F194" s="304">
        <v>1080</v>
      </c>
      <c r="H194" s="311"/>
    </row>
    <row r="195" s="279" customFormat="1" ht="14.25" customHeight="1" spans="1:8">
      <c r="A195" s="291" t="s">
        <v>1776</v>
      </c>
      <c r="B195" s="296" t="s">
        <v>1814</v>
      </c>
      <c r="C195" s="296"/>
      <c r="D195" s="296"/>
      <c r="E195" s="296"/>
      <c r="F195" s="304">
        <v>1270</v>
      </c>
      <c r="H195" s="311"/>
    </row>
    <row r="196" s="279" customFormat="1" ht="14.25" customHeight="1" spans="1:8">
      <c r="A196" s="291" t="s">
        <v>1776</v>
      </c>
      <c r="B196" s="296" t="s">
        <v>1815</v>
      </c>
      <c r="C196" s="296"/>
      <c r="D196" s="296"/>
      <c r="E196" s="296"/>
      <c r="F196" s="304">
        <v>1150</v>
      </c>
      <c r="H196" s="311"/>
    </row>
    <row r="197" s="279" customFormat="1" ht="14.25" customHeight="1" spans="1:8">
      <c r="A197" s="291" t="s">
        <v>1776</v>
      </c>
      <c r="B197" s="296" t="s">
        <v>1816</v>
      </c>
      <c r="C197" s="296"/>
      <c r="D197" s="296"/>
      <c r="E197" s="296"/>
      <c r="F197" s="304">
        <v>1330</v>
      </c>
      <c r="H197" s="311"/>
    </row>
    <row r="198" s="279" customFormat="1" ht="14.25" customHeight="1" spans="1:8">
      <c r="A198" s="291" t="s">
        <v>1776</v>
      </c>
      <c r="B198" s="296" t="s">
        <v>1817</v>
      </c>
      <c r="C198" s="296"/>
      <c r="D198" s="296"/>
      <c r="E198" s="296"/>
      <c r="F198" s="304">
        <v>1170</v>
      </c>
      <c r="H198" s="311"/>
    </row>
    <row r="199" s="279" customFormat="1" ht="14.25" customHeight="1" spans="1:8">
      <c r="A199" s="291" t="s">
        <v>1776</v>
      </c>
      <c r="B199" s="296" t="s">
        <v>1818</v>
      </c>
      <c r="C199" s="296"/>
      <c r="D199" s="296"/>
      <c r="E199" s="296"/>
      <c r="F199" s="304">
        <v>1120</v>
      </c>
      <c r="H199" s="311"/>
    </row>
    <row r="200" s="279" customFormat="1" ht="14.25" customHeight="1" spans="1:8">
      <c r="A200" s="291" t="s">
        <v>1776</v>
      </c>
      <c r="B200" s="296" t="s">
        <v>1819</v>
      </c>
      <c r="C200" s="296"/>
      <c r="D200" s="296"/>
      <c r="E200" s="296"/>
      <c r="F200" s="304">
        <v>1120</v>
      </c>
      <c r="H200" s="311"/>
    </row>
    <row r="201" s="279" customFormat="1" ht="14.25" customHeight="1" spans="1:8">
      <c r="A201" s="291" t="s">
        <v>1776</v>
      </c>
      <c r="B201" s="296" t="s">
        <v>1820</v>
      </c>
      <c r="C201" s="296"/>
      <c r="D201" s="296"/>
      <c r="E201" s="296"/>
      <c r="F201" s="304">
        <v>1540</v>
      </c>
      <c r="H201" s="311"/>
    </row>
    <row r="202" s="279" customFormat="1" ht="14.25" customHeight="1" spans="1:8">
      <c r="A202" s="291" t="s">
        <v>1776</v>
      </c>
      <c r="B202" s="296" t="s">
        <v>1821</v>
      </c>
      <c r="C202" s="296"/>
      <c r="D202" s="296"/>
      <c r="E202" s="296"/>
      <c r="F202" s="304">
        <v>1310</v>
      </c>
      <c r="H202" s="311"/>
    </row>
    <row r="203" s="279" customFormat="1" ht="14.25" customHeight="1" spans="1:8">
      <c r="A203" s="291" t="s">
        <v>1776</v>
      </c>
      <c r="B203" s="296" t="s">
        <v>1822</v>
      </c>
      <c r="C203" s="296"/>
      <c r="D203" s="296"/>
      <c r="E203" s="296"/>
      <c r="F203" s="304">
        <v>1310</v>
      </c>
      <c r="H203" s="311"/>
    </row>
    <row r="204" s="279" customFormat="1" ht="14.25" customHeight="1" spans="1:8">
      <c r="A204" s="291" t="s">
        <v>1776</v>
      </c>
      <c r="B204" s="296" t="s">
        <v>1823</v>
      </c>
      <c r="C204" s="296"/>
      <c r="D204" s="296"/>
      <c r="E204" s="296"/>
      <c r="F204" s="304">
        <v>1080</v>
      </c>
      <c r="H204" s="311"/>
    </row>
    <row r="205" s="279" customFormat="1" ht="14.25" customHeight="1" spans="1:8">
      <c r="A205" s="291" t="s">
        <v>1776</v>
      </c>
      <c r="B205" s="296" t="s">
        <v>1824</v>
      </c>
      <c r="C205" s="296"/>
      <c r="D205" s="296"/>
      <c r="E205" s="296"/>
      <c r="F205" s="304">
        <v>1080</v>
      </c>
      <c r="H205" s="311"/>
    </row>
    <row r="206" s="279" customFormat="1" ht="14.25" customHeight="1" spans="1:8">
      <c r="A206" s="291" t="s">
        <v>1825</v>
      </c>
      <c r="B206" s="292" t="s">
        <v>1826</v>
      </c>
      <c r="C206" s="292">
        <v>5450</v>
      </c>
      <c r="D206" s="292">
        <v>5430</v>
      </c>
      <c r="E206" s="292">
        <v>5700</v>
      </c>
      <c r="F206" s="293">
        <v>1020</v>
      </c>
      <c r="H206" s="311"/>
    </row>
    <row r="207" s="279" customFormat="1" ht="14.25" customHeight="1" spans="1:8">
      <c r="A207" s="291" t="s">
        <v>1825</v>
      </c>
      <c r="B207" s="296" t="s">
        <v>1827</v>
      </c>
      <c r="C207" s="296">
        <v>5860</v>
      </c>
      <c r="D207" s="296">
        <v>5820</v>
      </c>
      <c r="E207" s="296">
        <v>6050</v>
      </c>
      <c r="F207" s="304">
        <v>1080</v>
      </c>
      <c r="H207" s="311"/>
    </row>
    <row r="208" s="279" customFormat="1" ht="14.25" customHeight="1" spans="1:8">
      <c r="A208" s="291" t="s">
        <v>1825</v>
      </c>
      <c r="B208" s="296" t="s">
        <v>1828</v>
      </c>
      <c r="C208" s="296">
        <v>4630</v>
      </c>
      <c r="D208" s="296">
        <v>4600</v>
      </c>
      <c r="E208" s="296">
        <v>4840</v>
      </c>
      <c r="F208" s="304">
        <v>900</v>
      </c>
      <c r="H208" s="311"/>
    </row>
    <row r="209" s="279" customFormat="1" ht="14.25" customHeight="1" spans="1:8">
      <c r="A209" s="291" t="s">
        <v>1825</v>
      </c>
      <c r="B209" s="296" t="s">
        <v>1829</v>
      </c>
      <c r="C209" s="296">
        <v>5320</v>
      </c>
      <c r="D209" s="296">
        <v>5270</v>
      </c>
      <c r="E209" s="296">
        <v>5540</v>
      </c>
      <c r="F209" s="304">
        <v>980</v>
      </c>
      <c r="H209" s="311"/>
    </row>
    <row r="210" s="279" customFormat="1" ht="14.25" customHeight="1" spans="1:8">
      <c r="A210" s="291" t="s">
        <v>1825</v>
      </c>
      <c r="B210" s="296" t="s">
        <v>1830</v>
      </c>
      <c r="C210" s="296">
        <v>5760</v>
      </c>
      <c r="D210" s="296">
        <v>5710</v>
      </c>
      <c r="E210" s="296">
        <v>6010</v>
      </c>
      <c r="F210" s="304">
        <v>870</v>
      </c>
      <c r="H210" s="311"/>
    </row>
    <row r="211" s="279" customFormat="1" ht="14.25" customHeight="1" spans="1:8">
      <c r="A211" s="291" t="s">
        <v>1825</v>
      </c>
      <c r="B211" s="296" t="s">
        <v>1831</v>
      </c>
      <c r="C211" s="296">
        <v>4160</v>
      </c>
      <c r="D211" s="296">
        <v>4100</v>
      </c>
      <c r="E211" s="296">
        <v>4270</v>
      </c>
      <c r="F211" s="304">
        <v>790</v>
      </c>
      <c r="H211" s="311"/>
    </row>
    <row r="212" s="279" customFormat="1" ht="14.25" customHeight="1" spans="1:8">
      <c r="A212" s="291" t="s">
        <v>1825</v>
      </c>
      <c r="B212" s="296" t="s">
        <v>1832</v>
      </c>
      <c r="C212" s="296">
        <v>4880</v>
      </c>
      <c r="D212" s="296">
        <v>4850</v>
      </c>
      <c r="E212" s="296">
        <v>5110</v>
      </c>
      <c r="F212" s="304">
        <v>940</v>
      </c>
      <c r="H212" s="311"/>
    </row>
    <row r="213" s="279" customFormat="1" ht="14.25" customHeight="1" spans="1:8">
      <c r="A213" s="291" t="s">
        <v>1825</v>
      </c>
      <c r="B213" s="296" t="s">
        <v>1833</v>
      </c>
      <c r="C213" s="296">
        <v>4640</v>
      </c>
      <c r="D213" s="296">
        <v>4590</v>
      </c>
      <c r="E213" s="296">
        <v>4700</v>
      </c>
      <c r="F213" s="304">
        <v>1030</v>
      </c>
      <c r="H213" s="311"/>
    </row>
    <row r="214" s="279" customFormat="1" ht="14.25" customHeight="1" spans="1:8">
      <c r="A214" s="291" t="s">
        <v>1825</v>
      </c>
      <c r="B214" s="296" t="s">
        <v>1834</v>
      </c>
      <c r="C214" s="296">
        <v>4540</v>
      </c>
      <c r="D214" s="296">
        <v>4490</v>
      </c>
      <c r="E214" s="296">
        <v>4610</v>
      </c>
      <c r="F214" s="313"/>
      <c r="H214" s="311"/>
    </row>
    <row r="215" s="279" customFormat="1" ht="14.25" customHeight="1" spans="1:8">
      <c r="A215" s="291" t="s">
        <v>1825</v>
      </c>
      <c r="B215" s="296" t="s">
        <v>1835</v>
      </c>
      <c r="C215" s="296">
        <v>5280</v>
      </c>
      <c r="D215" s="296">
        <v>5250</v>
      </c>
      <c r="E215" s="296">
        <v>5520</v>
      </c>
      <c r="F215" s="304">
        <v>1000</v>
      </c>
      <c r="H215" s="311"/>
    </row>
    <row r="216" s="279" customFormat="1" ht="14.25" customHeight="1" spans="1:8">
      <c r="A216" s="291" t="s">
        <v>1825</v>
      </c>
      <c r="B216" s="296" t="s">
        <v>1836</v>
      </c>
      <c r="C216" s="296">
        <v>5100</v>
      </c>
      <c r="D216" s="296">
        <v>5050</v>
      </c>
      <c r="E216" s="296">
        <v>5300</v>
      </c>
      <c r="F216" s="304">
        <v>950</v>
      </c>
      <c r="H216" s="311"/>
    </row>
    <row r="217" s="279" customFormat="1" ht="14.25" customHeight="1" spans="1:8">
      <c r="A217" s="291" t="s">
        <v>1825</v>
      </c>
      <c r="B217" s="296" t="s">
        <v>1837</v>
      </c>
      <c r="C217" s="296">
        <v>5370</v>
      </c>
      <c r="D217" s="296">
        <v>5320</v>
      </c>
      <c r="E217" s="296">
        <v>5410</v>
      </c>
      <c r="F217" s="304">
        <v>950</v>
      </c>
      <c r="H217" s="311"/>
    </row>
    <row r="218" s="279" customFormat="1" ht="14.25" customHeight="1" spans="1:8">
      <c r="A218" s="291" t="s">
        <v>1825</v>
      </c>
      <c r="B218" s="296" t="s">
        <v>1838</v>
      </c>
      <c r="C218" s="296">
        <v>5540</v>
      </c>
      <c r="D218" s="296">
        <v>5480</v>
      </c>
      <c r="E218" s="296">
        <v>5740</v>
      </c>
      <c r="F218" s="304">
        <v>1020</v>
      </c>
      <c r="H218" s="311"/>
    </row>
    <row r="219" s="279" customFormat="1" ht="14.25" customHeight="1" spans="1:8">
      <c r="A219" s="291" t="s">
        <v>1825</v>
      </c>
      <c r="B219" s="296" t="s">
        <v>1839</v>
      </c>
      <c r="C219" s="296">
        <v>5140</v>
      </c>
      <c r="D219" s="296">
        <v>5100</v>
      </c>
      <c r="E219" s="296">
        <v>5350</v>
      </c>
      <c r="F219" s="304">
        <v>1120</v>
      </c>
      <c r="H219" s="311"/>
    </row>
    <row r="220" s="279" customFormat="1" ht="14.25" customHeight="1" spans="1:8">
      <c r="A220" s="291" t="s">
        <v>1825</v>
      </c>
      <c r="B220" s="296" t="s">
        <v>1840</v>
      </c>
      <c r="C220" s="296">
        <v>5040</v>
      </c>
      <c r="D220" s="296">
        <v>5000</v>
      </c>
      <c r="E220" s="296">
        <v>5240</v>
      </c>
      <c r="F220" s="304">
        <v>980</v>
      </c>
      <c r="H220" s="311"/>
    </row>
    <row r="221" s="279" customFormat="1" ht="14.25" customHeight="1" spans="1:8">
      <c r="A221" s="291" t="s">
        <v>1825</v>
      </c>
      <c r="B221" s="296" t="s">
        <v>1841</v>
      </c>
      <c r="C221" s="316"/>
      <c r="D221" s="316"/>
      <c r="E221" s="316"/>
      <c r="F221" s="304">
        <v>1070</v>
      </c>
      <c r="H221" s="311"/>
    </row>
    <row r="222" s="279" customFormat="1" ht="14.25" customHeight="1" spans="1:8">
      <c r="A222" s="291" t="s">
        <v>1825</v>
      </c>
      <c r="B222" s="296" t="s">
        <v>1842</v>
      </c>
      <c r="C222" s="316"/>
      <c r="D222" s="316"/>
      <c r="E222" s="316"/>
      <c r="F222" s="304">
        <v>870</v>
      </c>
      <c r="H222" s="311"/>
    </row>
    <row r="223" s="279" customFormat="1" ht="14.25" customHeight="1" spans="1:8">
      <c r="A223" s="291" t="s">
        <v>1825</v>
      </c>
      <c r="B223" s="296" t="s">
        <v>1843</v>
      </c>
      <c r="C223" s="316"/>
      <c r="D223" s="316"/>
      <c r="E223" s="316"/>
      <c r="F223" s="304">
        <v>940</v>
      </c>
      <c r="H223" s="311"/>
    </row>
    <row r="224" s="279" customFormat="1" ht="14.25" customHeight="1" spans="1:8">
      <c r="A224" s="291" t="s">
        <v>1825</v>
      </c>
      <c r="B224" s="296" t="s">
        <v>1844</v>
      </c>
      <c r="C224" s="316"/>
      <c r="D224" s="316"/>
      <c r="E224" s="316"/>
      <c r="F224" s="304">
        <v>990</v>
      </c>
      <c r="H224" s="311"/>
    </row>
    <row r="225" s="279" customFormat="1" ht="14.25" customHeight="1" spans="1:8">
      <c r="A225" s="291" t="s">
        <v>1825</v>
      </c>
      <c r="B225" s="296" t="s">
        <v>1845</v>
      </c>
      <c r="C225" s="296">
        <v>5730</v>
      </c>
      <c r="D225" s="296">
        <v>5680</v>
      </c>
      <c r="E225" s="296">
        <v>6020</v>
      </c>
      <c r="F225" s="304">
        <v>1000</v>
      </c>
      <c r="H225" s="311"/>
    </row>
    <row r="226" s="279" customFormat="1" ht="14.25" customHeight="1" spans="1:8">
      <c r="A226" s="291" t="s">
        <v>1825</v>
      </c>
      <c r="B226" s="296" t="s">
        <v>1846</v>
      </c>
      <c r="C226" s="296">
        <v>4970</v>
      </c>
      <c r="D226" s="296">
        <v>4940</v>
      </c>
      <c r="E226" s="296">
        <v>5180</v>
      </c>
      <c r="F226" s="304">
        <v>960</v>
      </c>
      <c r="H226" s="311"/>
    </row>
    <row r="227" s="279" customFormat="1" ht="14.25" customHeight="1" spans="1:8">
      <c r="A227" s="291" t="s">
        <v>1825</v>
      </c>
      <c r="B227" s="296" t="s">
        <v>1847</v>
      </c>
      <c r="C227" s="296">
        <v>5550</v>
      </c>
      <c r="D227" s="296">
        <v>5500</v>
      </c>
      <c r="E227" s="296">
        <v>5780</v>
      </c>
      <c r="F227" s="304">
        <v>940</v>
      </c>
      <c r="H227" s="311"/>
    </row>
    <row r="228" s="279" customFormat="1" ht="14.25" customHeight="1" spans="1:8">
      <c r="A228" s="291" t="s">
        <v>1825</v>
      </c>
      <c r="B228" s="296" t="s">
        <v>1848</v>
      </c>
      <c r="C228" s="296">
        <v>5460</v>
      </c>
      <c r="D228" s="296">
        <v>5420</v>
      </c>
      <c r="E228" s="296">
        <v>5690</v>
      </c>
      <c r="F228" s="304">
        <v>910</v>
      </c>
      <c r="H228" s="311"/>
    </row>
    <row r="229" s="279" customFormat="1" ht="14.25" customHeight="1" spans="1:8">
      <c r="A229" s="291" t="s">
        <v>1825</v>
      </c>
      <c r="B229" s="296" t="s">
        <v>1849</v>
      </c>
      <c r="C229" s="296">
        <v>5310</v>
      </c>
      <c r="D229" s="296">
        <v>5270</v>
      </c>
      <c r="E229" s="296">
        <v>5510</v>
      </c>
      <c r="F229" s="313"/>
      <c r="H229" s="311"/>
    </row>
    <row r="230" s="279" customFormat="1" ht="14.25" customHeight="1" spans="1:8">
      <c r="A230" s="291" t="s">
        <v>1825</v>
      </c>
      <c r="B230" s="296" t="s">
        <v>1850</v>
      </c>
      <c r="C230" s="296">
        <v>4540</v>
      </c>
      <c r="D230" s="296">
        <v>4500</v>
      </c>
      <c r="E230" s="296">
        <v>4730</v>
      </c>
      <c r="F230" s="313"/>
      <c r="H230" s="311"/>
    </row>
    <row r="231" s="279" customFormat="1" ht="14.25" customHeight="1" spans="1:8">
      <c r="A231" s="291" t="s">
        <v>1825</v>
      </c>
      <c r="B231" s="296" t="s">
        <v>1851</v>
      </c>
      <c r="C231" s="296">
        <v>4480</v>
      </c>
      <c r="D231" s="296">
        <v>4410</v>
      </c>
      <c r="E231" s="296">
        <v>4640</v>
      </c>
      <c r="F231" s="313"/>
      <c r="H231" s="311"/>
    </row>
    <row r="232" s="279" customFormat="1" ht="14.25" customHeight="1" spans="1:8">
      <c r="A232" s="291" t="s">
        <v>1825</v>
      </c>
      <c r="B232" s="296" t="s">
        <v>1852</v>
      </c>
      <c r="C232" s="296">
        <v>5670</v>
      </c>
      <c r="D232" s="296">
        <v>5600</v>
      </c>
      <c r="E232" s="296">
        <v>5890</v>
      </c>
      <c r="F232" s="304">
        <v>1150</v>
      </c>
      <c r="H232" s="311"/>
    </row>
    <row r="233" s="279" customFormat="1" ht="14.25" customHeight="1" spans="1:8">
      <c r="A233" s="291" t="s">
        <v>1825</v>
      </c>
      <c r="B233" s="296" t="s">
        <v>1853</v>
      </c>
      <c r="C233" s="296">
        <v>4590</v>
      </c>
      <c r="D233" s="296">
        <v>4500</v>
      </c>
      <c r="E233" s="296">
        <v>4600</v>
      </c>
      <c r="F233" s="313"/>
      <c r="H233" s="311"/>
    </row>
    <row r="234" s="279" customFormat="1" ht="14.25" customHeight="1" spans="1:8">
      <c r="A234" s="291" t="s">
        <v>1825</v>
      </c>
      <c r="B234" s="296" t="s">
        <v>2006</v>
      </c>
      <c r="C234" s="296">
        <v>3990</v>
      </c>
      <c r="D234" s="296">
        <v>3950</v>
      </c>
      <c r="E234" s="296">
        <v>4180</v>
      </c>
      <c r="F234" s="313"/>
      <c r="H234" s="311"/>
    </row>
    <row r="235" s="279" customFormat="1" ht="14.25" customHeight="1" spans="1:8">
      <c r="A235" s="291" t="s">
        <v>1825</v>
      </c>
      <c r="B235" s="296" t="s">
        <v>1855</v>
      </c>
      <c r="C235" s="296">
        <v>5590</v>
      </c>
      <c r="D235" s="296">
        <v>5540</v>
      </c>
      <c r="E235" s="296">
        <v>5810</v>
      </c>
      <c r="F235" s="304">
        <v>970</v>
      </c>
      <c r="H235" s="311"/>
    </row>
    <row r="236" s="279" customFormat="1" ht="14.25" customHeight="1" spans="1:8">
      <c r="A236" s="291" t="s">
        <v>1825</v>
      </c>
      <c r="B236" s="296" t="s">
        <v>1856</v>
      </c>
      <c r="C236" s="296"/>
      <c r="D236" s="296"/>
      <c r="E236" s="296"/>
      <c r="F236" s="304">
        <v>1020</v>
      </c>
      <c r="H236" s="311"/>
    </row>
    <row r="237" s="279" customFormat="1" ht="14.25" customHeight="1" spans="1:8">
      <c r="A237" s="291" t="s">
        <v>1825</v>
      </c>
      <c r="B237" s="296" t="s">
        <v>1857</v>
      </c>
      <c r="C237" s="296"/>
      <c r="D237" s="296"/>
      <c r="E237" s="296"/>
      <c r="F237" s="304">
        <v>960</v>
      </c>
      <c r="H237" s="311"/>
    </row>
    <row r="238" s="279" customFormat="1" ht="14.25" customHeight="1" spans="1:8">
      <c r="A238" s="291" t="s">
        <v>1825</v>
      </c>
      <c r="B238" s="296" t="s">
        <v>1858</v>
      </c>
      <c r="C238" s="296"/>
      <c r="D238" s="296"/>
      <c r="E238" s="296"/>
      <c r="F238" s="304">
        <v>960</v>
      </c>
      <c r="H238" s="311"/>
    </row>
    <row r="239" s="279" customFormat="1" ht="14.25" customHeight="1" spans="1:8">
      <c r="A239" s="291" t="s">
        <v>1825</v>
      </c>
      <c r="B239" s="296" t="s">
        <v>1859</v>
      </c>
      <c r="C239" s="296"/>
      <c r="D239" s="296"/>
      <c r="E239" s="296"/>
      <c r="F239" s="304">
        <v>960</v>
      </c>
      <c r="H239" s="311"/>
    </row>
    <row r="240" s="279" customFormat="1" ht="14.25" customHeight="1" spans="1:8">
      <c r="A240" s="291" t="s">
        <v>1825</v>
      </c>
      <c r="B240" s="296" t="s">
        <v>1860</v>
      </c>
      <c r="C240" s="296"/>
      <c r="D240" s="296"/>
      <c r="E240" s="296"/>
      <c r="F240" s="304">
        <v>990</v>
      </c>
      <c r="H240" s="311"/>
    </row>
    <row r="241" s="279" customFormat="1" ht="14.25" customHeight="1" spans="1:8">
      <c r="A241" s="291" t="s">
        <v>1825</v>
      </c>
      <c r="B241" s="296" t="s">
        <v>1861</v>
      </c>
      <c r="C241" s="296"/>
      <c r="D241" s="296"/>
      <c r="E241" s="296"/>
      <c r="F241" s="304">
        <v>1000</v>
      </c>
      <c r="H241" s="311"/>
    </row>
    <row r="242" s="279" customFormat="1" ht="14.25" customHeight="1" spans="1:8">
      <c r="A242" s="291" t="s">
        <v>1825</v>
      </c>
      <c r="B242" s="296" t="s">
        <v>1862</v>
      </c>
      <c r="C242" s="296"/>
      <c r="D242" s="296"/>
      <c r="E242" s="296"/>
      <c r="F242" s="304">
        <v>980</v>
      </c>
      <c r="H242" s="311"/>
    </row>
    <row r="243" s="279" customFormat="1" ht="14.25" customHeight="1" spans="1:8">
      <c r="A243" s="291" t="s">
        <v>1825</v>
      </c>
      <c r="B243" s="296" t="s">
        <v>1863</v>
      </c>
      <c r="C243" s="296"/>
      <c r="D243" s="296"/>
      <c r="E243" s="296"/>
      <c r="F243" s="304">
        <v>970</v>
      </c>
      <c r="H243" s="311"/>
    </row>
    <row r="244" s="279" customFormat="1" ht="14.25" customHeight="1" spans="1:8">
      <c r="A244" s="291" t="s">
        <v>1825</v>
      </c>
      <c r="B244" s="302" t="s">
        <v>1864</v>
      </c>
      <c r="C244" s="302"/>
      <c r="D244" s="302"/>
      <c r="E244" s="302"/>
      <c r="F244" s="312">
        <v>970</v>
      </c>
      <c r="H244" s="311"/>
    </row>
    <row r="245" s="279" customFormat="1" ht="14.25" customHeight="1" spans="1:8">
      <c r="A245" s="291" t="s">
        <v>1865</v>
      </c>
      <c r="B245" s="292" t="s">
        <v>1866</v>
      </c>
      <c r="C245" s="292">
        <v>4050</v>
      </c>
      <c r="D245" s="292">
        <v>4020</v>
      </c>
      <c r="E245" s="292">
        <v>4160</v>
      </c>
      <c r="F245" s="293">
        <v>840</v>
      </c>
      <c r="H245" s="311"/>
    </row>
    <row r="246" s="279" customFormat="1" ht="14.25" customHeight="1" spans="1:8">
      <c r="A246" s="291" t="s">
        <v>1865</v>
      </c>
      <c r="B246" s="296" t="s">
        <v>1867</v>
      </c>
      <c r="C246" s="296">
        <v>4010</v>
      </c>
      <c r="D246" s="296">
        <v>3960</v>
      </c>
      <c r="E246" s="296">
        <v>4130</v>
      </c>
      <c r="F246" s="304">
        <v>840</v>
      </c>
      <c r="H246" s="311"/>
    </row>
    <row r="247" s="279" customFormat="1" ht="14.25" customHeight="1" spans="1:8">
      <c r="A247" s="291" t="s">
        <v>1865</v>
      </c>
      <c r="B247" s="296" t="s">
        <v>1868</v>
      </c>
      <c r="C247" s="296">
        <v>3170</v>
      </c>
      <c r="D247" s="296">
        <v>3140</v>
      </c>
      <c r="E247" s="296">
        <v>3270</v>
      </c>
      <c r="F247" s="304">
        <v>640</v>
      </c>
      <c r="H247" s="311"/>
    </row>
    <row r="248" s="279" customFormat="1" ht="14.25" customHeight="1" spans="1:8">
      <c r="A248" s="291" t="s">
        <v>1865</v>
      </c>
      <c r="B248" s="296" t="s">
        <v>1869</v>
      </c>
      <c r="C248" s="296">
        <v>3140</v>
      </c>
      <c r="D248" s="296">
        <v>3120</v>
      </c>
      <c r="E248" s="296">
        <v>3240</v>
      </c>
      <c r="F248" s="304">
        <v>620</v>
      </c>
      <c r="H248" s="311"/>
    </row>
    <row r="249" s="279" customFormat="1" ht="14.25" customHeight="1" spans="1:8">
      <c r="A249" s="291" t="s">
        <v>1865</v>
      </c>
      <c r="B249" s="296" t="s">
        <v>1870</v>
      </c>
      <c r="C249" s="296">
        <v>3200</v>
      </c>
      <c r="D249" s="296">
        <v>3100</v>
      </c>
      <c r="E249" s="296">
        <v>3230</v>
      </c>
      <c r="F249" s="304">
        <v>750</v>
      </c>
      <c r="H249" s="311"/>
    </row>
    <row r="250" s="279" customFormat="1" ht="14.25" customHeight="1" spans="1:8">
      <c r="A250" s="291" t="s">
        <v>1865</v>
      </c>
      <c r="B250" s="296" t="s">
        <v>1871</v>
      </c>
      <c r="C250" s="296">
        <v>4060</v>
      </c>
      <c r="D250" s="296">
        <v>4000</v>
      </c>
      <c r="E250" s="296">
        <v>4140</v>
      </c>
      <c r="F250" s="304">
        <v>790</v>
      </c>
      <c r="H250" s="311"/>
    </row>
    <row r="251" s="279" customFormat="1" ht="14.25" customHeight="1" spans="1:8">
      <c r="A251" s="291" t="s">
        <v>1865</v>
      </c>
      <c r="B251" s="296" t="s">
        <v>1872</v>
      </c>
      <c r="C251" s="296">
        <v>3990</v>
      </c>
      <c r="D251" s="296">
        <v>3970</v>
      </c>
      <c r="E251" s="296">
        <v>4110</v>
      </c>
      <c r="F251" s="304">
        <v>730</v>
      </c>
      <c r="H251" s="311"/>
    </row>
    <row r="252" s="279" customFormat="1" ht="14.25" customHeight="1" spans="1:8">
      <c r="A252" s="291" t="s">
        <v>1865</v>
      </c>
      <c r="B252" s="296" t="s">
        <v>1873</v>
      </c>
      <c r="C252" s="296">
        <v>3560</v>
      </c>
      <c r="D252" s="296">
        <v>3530</v>
      </c>
      <c r="E252" s="296">
        <v>3650</v>
      </c>
      <c r="F252" s="304">
        <v>750</v>
      </c>
      <c r="H252" s="311"/>
    </row>
    <row r="253" s="279" customFormat="1" ht="14.25" customHeight="1" spans="1:8">
      <c r="A253" s="291" t="s">
        <v>1865</v>
      </c>
      <c r="B253" s="296" t="s">
        <v>1874</v>
      </c>
      <c r="C253" s="296">
        <v>3780</v>
      </c>
      <c r="D253" s="296">
        <v>3750</v>
      </c>
      <c r="E253" s="296">
        <v>3870</v>
      </c>
      <c r="F253" s="304">
        <v>770</v>
      </c>
      <c r="H253" s="311"/>
    </row>
    <row r="254" s="279" customFormat="1" ht="14.25" customHeight="1" spans="1:8">
      <c r="A254" s="291" t="s">
        <v>1865</v>
      </c>
      <c r="B254" s="296" t="s">
        <v>1875</v>
      </c>
      <c r="C254" s="316"/>
      <c r="D254" s="316"/>
      <c r="E254" s="316"/>
      <c r="F254" s="304">
        <v>740</v>
      </c>
      <c r="H254" s="311"/>
    </row>
    <row r="255" s="279" customFormat="1" ht="14.25" customHeight="1" spans="1:8">
      <c r="A255" s="291" t="s">
        <v>1865</v>
      </c>
      <c r="B255" s="296" t="s">
        <v>1876</v>
      </c>
      <c r="C255" s="316"/>
      <c r="D255" s="316"/>
      <c r="E255" s="316"/>
      <c r="F255" s="304">
        <v>760</v>
      </c>
      <c r="H255" s="311"/>
    </row>
    <row r="256" s="279" customFormat="1" ht="14.25" customHeight="1" spans="1:8">
      <c r="A256" s="291" t="s">
        <v>1865</v>
      </c>
      <c r="B256" s="296" t="s">
        <v>1877</v>
      </c>
      <c r="C256" s="296">
        <v>3760</v>
      </c>
      <c r="D256" s="296">
        <v>3730</v>
      </c>
      <c r="E256" s="296">
        <v>3870</v>
      </c>
      <c r="F256" s="304">
        <v>830</v>
      </c>
      <c r="H256" s="311"/>
    </row>
    <row r="257" s="279" customFormat="1" ht="14.25" customHeight="1" spans="1:8">
      <c r="A257" s="291" t="s">
        <v>1865</v>
      </c>
      <c r="B257" s="296" t="s">
        <v>1878</v>
      </c>
      <c r="C257" s="296">
        <v>3570</v>
      </c>
      <c r="D257" s="296">
        <v>3540</v>
      </c>
      <c r="E257" s="296">
        <v>3650</v>
      </c>
      <c r="F257" s="304">
        <v>790</v>
      </c>
      <c r="H257" s="311"/>
    </row>
    <row r="258" s="279" customFormat="1" ht="14.25" customHeight="1" spans="1:8">
      <c r="A258" s="291" t="s">
        <v>1865</v>
      </c>
      <c r="B258" s="296" t="s">
        <v>1879</v>
      </c>
      <c r="C258" s="296">
        <v>3410</v>
      </c>
      <c r="D258" s="296">
        <v>3380</v>
      </c>
      <c r="E258" s="296">
        <v>3500</v>
      </c>
      <c r="F258" s="304">
        <v>830</v>
      </c>
      <c r="H258" s="311"/>
    </row>
    <row r="259" s="279" customFormat="1" ht="14.25" customHeight="1" spans="1:8">
      <c r="A259" s="291" t="s">
        <v>1865</v>
      </c>
      <c r="B259" s="296" t="s">
        <v>1880</v>
      </c>
      <c r="C259" s="296">
        <v>3870</v>
      </c>
      <c r="D259" s="296">
        <v>3840</v>
      </c>
      <c r="E259" s="296">
        <v>3970</v>
      </c>
      <c r="F259" s="304">
        <v>830</v>
      </c>
      <c r="H259" s="311"/>
    </row>
    <row r="260" s="279" customFormat="1" ht="14.25" customHeight="1" spans="1:8">
      <c r="A260" s="291" t="s">
        <v>1865</v>
      </c>
      <c r="B260" s="296" t="s">
        <v>1881</v>
      </c>
      <c r="C260" s="296">
        <v>3700</v>
      </c>
      <c r="D260" s="296">
        <v>3660</v>
      </c>
      <c r="E260" s="296">
        <v>3810</v>
      </c>
      <c r="F260" s="304">
        <v>790</v>
      </c>
      <c r="H260" s="311"/>
    </row>
    <row r="261" s="279" customFormat="1" ht="14.25" customHeight="1" spans="1:8">
      <c r="A261" s="291" t="s">
        <v>1865</v>
      </c>
      <c r="B261" s="296" t="s">
        <v>1882</v>
      </c>
      <c r="C261" s="296">
        <v>3470</v>
      </c>
      <c r="D261" s="296">
        <v>3430</v>
      </c>
      <c r="E261" s="296">
        <v>3640</v>
      </c>
      <c r="F261" s="304">
        <v>760</v>
      </c>
      <c r="H261" s="311"/>
    </row>
    <row r="262" s="279" customFormat="1" ht="14.25" customHeight="1" spans="1:8">
      <c r="A262" s="291" t="s">
        <v>1865</v>
      </c>
      <c r="B262" s="296" t="s">
        <v>1883</v>
      </c>
      <c r="C262" s="296">
        <v>3510</v>
      </c>
      <c r="D262" s="296">
        <v>3470</v>
      </c>
      <c r="E262" s="296">
        <v>3680</v>
      </c>
      <c r="F262" s="313"/>
      <c r="H262" s="311"/>
    </row>
    <row r="263" s="279" customFormat="1" ht="14.25" customHeight="1" spans="1:8">
      <c r="A263" s="291" t="s">
        <v>1865</v>
      </c>
      <c r="B263" s="296" t="s">
        <v>1884</v>
      </c>
      <c r="C263" s="296">
        <v>3960</v>
      </c>
      <c r="D263" s="296">
        <v>3930</v>
      </c>
      <c r="E263" s="296">
        <v>4070</v>
      </c>
      <c r="F263" s="304">
        <v>830</v>
      </c>
      <c r="H263" s="311"/>
    </row>
    <row r="264" s="279" customFormat="1" ht="14.25" customHeight="1" spans="1:8">
      <c r="A264" s="291" t="s">
        <v>1865</v>
      </c>
      <c r="B264" s="296" t="s">
        <v>1885</v>
      </c>
      <c r="C264" s="296">
        <v>4010</v>
      </c>
      <c r="D264" s="296">
        <v>3980</v>
      </c>
      <c r="E264" s="296">
        <v>4150</v>
      </c>
      <c r="F264" s="304">
        <v>760</v>
      </c>
      <c r="H264" s="311"/>
    </row>
    <row r="265" s="279" customFormat="1" ht="14.25" customHeight="1" spans="1:8">
      <c r="A265" s="291" t="s">
        <v>1865</v>
      </c>
      <c r="B265" s="296" t="s">
        <v>1886</v>
      </c>
      <c r="C265" s="296">
        <v>3910</v>
      </c>
      <c r="D265" s="296">
        <v>3890</v>
      </c>
      <c r="E265" s="296">
        <v>4040</v>
      </c>
      <c r="F265" s="304">
        <v>780</v>
      </c>
      <c r="H265" s="311"/>
    </row>
    <row r="266" s="279" customFormat="1" ht="14.25" customHeight="1" spans="1:8">
      <c r="A266" s="291" t="s">
        <v>1865</v>
      </c>
      <c r="B266" s="296" t="s">
        <v>1887</v>
      </c>
      <c r="C266" s="296">
        <v>3930</v>
      </c>
      <c r="D266" s="296">
        <v>3900</v>
      </c>
      <c r="E266" s="296">
        <v>4080</v>
      </c>
      <c r="F266" s="304">
        <v>770</v>
      </c>
      <c r="H266" s="311"/>
    </row>
    <row r="267" s="279" customFormat="1" ht="14.25" customHeight="1" spans="1:8">
      <c r="A267" s="291" t="s">
        <v>1865</v>
      </c>
      <c r="B267" s="296" t="s">
        <v>1888</v>
      </c>
      <c r="C267" s="296">
        <v>3800</v>
      </c>
      <c r="D267" s="296">
        <v>3780</v>
      </c>
      <c r="E267" s="296">
        <v>3930</v>
      </c>
      <c r="F267" s="313"/>
      <c r="H267" s="311"/>
    </row>
    <row r="268" s="279" customFormat="1" ht="14.25" customHeight="1" spans="1:8">
      <c r="A268" s="291" t="s">
        <v>1865</v>
      </c>
      <c r="B268" s="296" t="s">
        <v>1889</v>
      </c>
      <c r="C268" s="296">
        <v>3460</v>
      </c>
      <c r="D268" s="296">
        <v>3430</v>
      </c>
      <c r="E268" s="296">
        <v>3560</v>
      </c>
      <c r="F268" s="304">
        <v>840</v>
      </c>
      <c r="H268" s="311"/>
    </row>
    <row r="269" s="279" customFormat="1" ht="14.25" customHeight="1" spans="1:8">
      <c r="A269" s="291" t="s">
        <v>1865</v>
      </c>
      <c r="B269" s="296" t="s">
        <v>1890</v>
      </c>
      <c r="C269" s="296">
        <v>3210</v>
      </c>
      <c r="D269" s="296">
        <v>3190</v>
      </c>
      <c r="E269" s="296">
        <v>3310</v>
      </c>
      <c r="F269" s="304">
        <v>730</v>
      </c>
      <c r="H269" s="311"/>
    </row>
    <row r="270" s="279" customFormat="1" ht="14.25" customHeight="1" spans="1:8">
      <c r="A270" s="291" t="s">
        <v>1865</v>
      </c>
      <c r="B270" s="296" t="s">
        <v>1891</v>
      </c>
      <c r="C270" s="296">
        <v>3240</v>
      </c>
      <c r="D270" s="296">
        <v>3210</v>
      </c>
      <c r="E270" s="296">
        <v>3390</v>
      </c>
      <c r="F270" s="304">
        <v>820</v>
      </c>
      <c r="H270" s="311"/>
    </row>
    <row r="271" s="279" customFormat="1" ht="14.25" customHeight="1" spans="1:8">
      <c r="A271" s="291" t="s">
        <v>1865</v>
      </c>
      <c r="B271" s="296" t="s">
        <v>1892</v>
      </c>
      <c r="C271" s="296">
        <v>3300</v>
      </c>
      <c r="D271" s="296">
        <v>3270</v>
      </c>
      <c r="E271" s="296">
        <v>3380</v>
      </c>
      <c r="F271" s="304">
        <v>750</v>
      </c>
      <c r="H271" s="311"/>
    </row>
    <row r="272" s="279" customFormat="1" ht="14.25" customHeight="1" spans="1:8">
      <c r="A272" s="291" t="s">
        <v>1865</v>
      </c>
      <c r="B272" s="296" t="s">
        <v>1893</v>
      </c>
      <c r="C272" s="316"/>
      <c r="D272" s="316"/>
      <c r="E272" s="316"/>
      <c r="F272" s="304">
        <v>740</v>
      </c>
      <c r="H272" s="311"/>
    </row>
    <row r="273" s="279" customFormat="1" ht="14.25" customHeight="1" spans="1:8">
      <c r="A273" s="291" t="s">
        <v>1865</v>
      </c>
      <c r="B273" s="296" t="s">
        <v>1894</v>
      </c>
      <c r="C273" s="296">
        <v>3130</v>
      </c>
      <c r="D273" s="296">
        <v>3100</v>
      </c>
      <c r="E273" s="296">
        <v>3230</v>
      </c>
      <c r="F273" s="304">
        <v>700</v>
      </c>
      <c r="H273" s="311"/>
    </row>
    <row r="274" s="279" customFormat="1" ht="14.25" customHeight="1" spans="1:8">
      <c r="A274" s="291" t="s">
        <v>1865</v>
      </c>
      <c r="B274" s="296" t="s">
        <v>1895</v>
      </c>
      <c r="C274" s="296">
        <v>3460</v>
      </c>
      <c r="D274" s="296">
        <v>3430</v>
      </c>
      <c r="E274" s="296">
        <v>3560</v>
      </c>
      <c r="F274" s="304">
        <v>690</v>
      </c>
      <c r="H274" s="311"/>
    </row>
    <row r="275" s="279" customFormat="1" ht="14.25" customHeight="1" spans="1:8">
      <c r="A275" s="291" t="s">
        <v>1865</v>
      </c>
      <c r="B275" s="296" t="s">
        <v>1896</v>
      </c>
      <c r="C275" s="296">
        <v>4040</v>
      </c>
      <c r="D275" s="296">
        <v>4020</v>
      </c>
      <c r="E275" s="296">
        <v>4160</v>
      </c>
      <c r="F275" s="304">
        <v>820</v>
      </c>
      <c r="H275" s="311"/>
    </row>
    <row r="276" s="279" customFormat="1" ht="14.25" customHeight="1" spans="1:8">
      <c r="A276" s="291" t="s">
        <v>1865</v>
      </c>
      <c r="B276" s="296" t="s">
        <v>1897</v>
      </c>
      <c r="C276" s="296">
        <v>3270</v>
      </c>
      <c r="D276" s="296">
        <v>3240</v>
      </c>
      <c r="E276" s="296">
        <v>3350</v>
      </c>
      <c r="F276" s="304">
        <v>680</v>
      </c>
      <c r="H276" s="311"/>
    </row>
    <row r="277" s="279" customFormat="1" ht="14.25" customHeight="1" spans="1:8">
      <c r="A277" s="291" t="s">
        <v>1865</v>
      </c>
      <c r="B277" s="296" t="s">
        <v>1898</v>
      </c>
      <c r="C277" s="296">
        <v>2930</v>
      </c>
      <c r="D277" s="296">
        <v>2900</v>
      </c>
      <c r="E277" s="296">
        <v>3000</v>
      </c>
      <c r="F277" s="304">
        <v>640</v>
      </c>
      <c r="H277" s="311"/>
    </row>
    <row r="278" s="279" customFormat="1" ht="14.25" customHeight="1" spans="1:8">
      <c r="A278" s="291" t="s">
        <v>1865</v>
      </c>
      <c r="B278" s="296" t="s">
        <v>1899</v>
      </c>
      <c r="C278" s="296">
        <v>4080</v>
      </c>
      <c r="D278" s="296">
        <v>4030</v>
      </c>
      <c r="E278" s="296">
        <v>4140</v>
      </c>
      <c r="F278" s="304">
        <v>850</v>
      </c>
      <c r="H278" s="311"/>
    </row>
    <row r="279" s="279" customFormat="1" ht="14.25" customHeight="1" spans="1:8">
      <c r="A279" s="291" t="s">
        <v>1865</v>
      </c>
      <c r="B279" s="296" t="s">
        <v>1900</v>
      </c>
      <c r="C279" s="296"/>
      <c r="D279" s="296"/>
      <c r="E279" s="296"/>
      <c r="F279" s="304">
        <v>760</v>
      </c>
      <c r="H279" s="311"/>
    </row>
    <row r="280" s="279" customFormat="1" ht="14.25" customHeight="1" spans="1:8">
      <c r="A280" s="291" t="s">
        <v>1865</v>
      </c>
      <c r="B280" s="296" t="s">
        <v>1901</v>
      </c>
      <c r="C280" s="296"/>
      <c r="D280" s="296"/>
      <c r="E280" s="296"/>
      <c r="F280" s="304">
        <v>760</v>
      </c>
      <c r="H280" s="311"/>
    </row>
    <row r="281" s="279" customFormat="1" ht="14.25" customHeight="1" spans="1:8">
      <c r="A281" s="291" t="s">
        <v>1865</v>
      </c>
      <c r="B281" s="296" t="s">
        <v>1902</v>
      </c>
      <c r="C281" s="296"/>
      <c r="D281" s="296"/>
      <c r="E281" s="296"/>
      <c r="F281" s="304">
        <v>780</v>
      </c>
      <c r="H281" s="311"/>
    </row>
    <row r="282" s="279" customFormat="1" ht="14.25" customHeight="1" spans="1:8">
      <c r="A282" s="291" t="s">
        <v>1865</v>
      </c>
      <c r="B282" s="296" t="s">
        <v>1903</v>
      </c>
      <c r="C282" s="296"/>
      <c r="D282" s="296"/>
      <c r="E282" s="296"/>
      <c r="F282" s="304">
        <v>730</v>
      </c>
      <c r="H282" s="311"/>
    </row>
    <row r="283" s="279" customFormat="1" ht="14.25" customHeight="1" spans="1:8">
      <c r="A283" s="291" t="s">
        <v>1865</v>
      </c>
      <c r="B283" s="296" t="s">
        <v>1904</v>
      </c>
      <c r="C283" s="296"/>
      <c r="D283" s="296"/>
      <c r="E283" s="296"/>
      <c r="F283" s="304">
        <v>770</v>
      </c>
      <c r="H283" s="311"/>
    </row>
    <row r="284" s="279" customFormat="1" ht="14.25" customHeight="1" spans="1:8">
      <c r="A284" s="291" t="s">
        <v>1865</v>
      </c>
      <c r="B284" s="296" t="s">
        <v>1905</v>
      </c>
      <c r="C284" s="296"/>
      <c r="D284" s="296"/>
      <c r="E284" s="296"/>
      <c r="F284" s="304">
        <v>640</v>
      </c>
      <c r="H284" s="311"/>
    </row>
    <row r="285" s="279" customFormat="1" ht="14.25" customHeight="1" spans="1:8">
      <c r="A285" s="291" t="s">
        <v>1865</v>
      </c>
      <c r="B285" s="296" t="s">
        <v>1906</v>
      </c>
      <c r="C285" s="296"/>
      <c r="D285" s="296"/>
      <c r="E285" s="296"/>
      <c r="F285" s="304">
        <v>640</v>
      </c>
      <c r="H285" s="311"/>
    </row>
    <row r="286" s="279" customFormat="1" ht="14.25" customHeight="1" spans="1:8">
      <c r="A286" s="291" t="s">
        <v>1865</v>
      </c>
      <c r="B286" s="296" t="s">
        <v>1907</v>
      </c>
      <c r="C286" s="296"/>
      <c r="D286" s="296"/>
      <c r="E286" s="296"/>
      <c r="F286" s="304">
        <v>850</v>
      </c>
      <c r="H286" s="311"/>
    </row>
    <row r="287" s="279" customFormat="1" ht="14.25" customHeight="1" spans="1:8">
      <c r="A287" s="291" t="s">
        <v>1865</v>
      </c>
      <c r="B287" s="296" t="s">
        <v>1908</v>
      </c>
      <c r="C287" s="296"/>
      <c r="D287" s="296"/>
      <c r="E287" s="296"/>
      <c r="F287" s="304">
        <v>760</v>
      </c>
      <c r="H287" s="311"/>
    </row>
    <row r="288" s="279" customFormat="1" ht="14.25" customHeight="1" spans="1:8">
      <c r="A288" s="291" t="s">
        <v>1865</v>
      </c>
      <c r="B288" s="296" t="s">
        <v>1909</v>
      </c>
      <c r="C288" s="296"/>
      <c r="D288" s="296"/>
      <c r="E288" s="296"/>
      <c r="F288" s="304">
        <v>830</v>
      </c>
      <c r="H288" s="311"/>
    </row>
    <row r="289" s="279" customFormat="1" ht="14.25" customHeight="1" spans="1:8">
      <c r="A289" s="291" t="s">
        <v>1865</v>
      </c>
      <c r="B289" s="302" t="s">
        <v>1910</v>
      </c>
      <c r="C289" s="302"/>
      <c r="D289" s="302"/>
      <c r="E289" s="302"/>
      <c r="F289" s="312">
        <v>680</v>
      </c>
      <c r="H289" s="311"/>
    </row>
    <row r="290" s="279" customFormat="1" ht="14.25" customHeight="1" spans="1:8">
      <c r="A290" s="291" t="s">
        <v>1911</v>
      </c>
      <c r="B290" s="292" t="s">
        <v>1912</v>
      </c>
      <c r="C290" s="292">
        <v>2770</v>
      </c>
      <c r="D290" s="292">
        <v>2740</v>
      </c>
      <c r="E290" s="292">
        <v>2720</v>
      </c>
      <c r="F290" s="317"/>
      <c r="H290" s="311"/>
    </row>
    <row r="291" s="279" customFormat="1" ht="14.25" customHeight="1" spans="1:8">
      <c r="A291" s="291" t="s">
        <v>1911</v>
      </c>
      <c r="B291" s="296" t="s">
        <v>1913</v>
      </c>
      <c r="C291" s="296">
        <v>2670</v>
      </c>
      <c r="D291" s="296">
        <v>2640</v>
      </c>
      <c r="E291" s="296">
        <v>2620</v>
      </c>
      <c r="F291" s="313"/>
      <c r="H291" s="311"/>
    </row>
    <row r="292" s="279" customFormat="1" ht="14.25" customHeight="1" spans="1:8">
      <c r="A292" s="291" t="s">
        <v>1911</v>
      </c>
      <c r="B292" s="296" t="s">
        <v>1914</v>
      </c>
      <c r="C292" s="296">
        <v>2180</v>
      </c>
      <c r="D292" s="296">
        <v>2140</v>
      </c>
      <c r="E292" s="296">
        <v>2120</v>
      </c>
      <c r="F292" s="304">
        <v>490</v>
      </c>
      <c r="H292" s="311"/>
    </row>
    <row r="293" s="279" customFormat="1" ht="14.25" customHeight="1" spans="1:8">
      <c r="A293" s="291" t="s">
        <v>1911</v>
      </c>
      <c r="B293" s="296" t="s">
        <v>1915</v>
      </c>
      <c r="C293" s="296"/>
      <c r="D293" s="296"/>
      <c r="E293" s="296"/>
      <c r="F293" s="304">
        <v>470</v>
      </c>
      <c r="H293" s="311"/>
    </row>
    <row r="294" s="279" customFormat="1" ht="14.25" customHeight="1" spans="1:8">
      <c r="A294" s="291" t="s">
        <v>1911</v>
      </c>
      <c r="B294" s="296" t="s">
        <v>1916</v>
      </c>
      <c r="C294" s="296">
        <v>2730</v>
      </c>
      <c r="D294" s="296">
        <v>2700</v>
      </c>
      <c r="E294" s="296">
        <v>2680</v>
      </c>
      <c r="F294" s="304">
        <v>490</v>
      </c>
      <c r="H294" s="311"/>
    </row>
    <row r="295" s="279" customFormat="1" ht="14.25" customHeight="1" spans="1:8">
      <c r="A295" s="291" t="s">
        <v>1911</v>
      </c>
      <c r="B295" s="296" t="s">
        <v>1917</v>
      </c>
      <c r="C295" s="296">
        <v>2380</v>
      </c>
      <c r="D295" s="296">
        <v>2350</v>
      </c>
      <c r="E295" s="296">
        <v>2330</v>
      </c>
      <c r="F295" s="304">
        <v>530</v>
      </c>
      <c r="H295" s="311"/>
    </row>
    <row r="296" s="279" customFormat="1" ht="14.25" customHeight="1" spans="1:8">
      <c r="A296" s="291" t="s">
        <v>1911</v>
      </c>
      <c r="B296" s="296" t="s">
        <v>1918</v>
      </c>
      <c r="C296" s="296">
        <v>2650</v>
      </c>
      <c r="D296" s="296">
        <v>2620</v>
      </c>
      <c r="E296" s="296">
        <v>2590</v>
      </c>
      <c r="F296" s="304">
        <v>590</v>
      </c>
      <c r="H296" s="311"/>
    </row>
    <row r="297" s="279" customFormat="1" ht="14.25" customHeight="1" spans="1:8">
      <c r="A297" s="291" t="s">
        <v>1911</v>
      </c>
      <c r="B297" s="296" t="s">
        <v>1919</v>
      </c>
      <c r="C297" s="296">
        <v>2700</v>
      </c>
      <c r="D297" s="296">
        <v>2670</v>
      </c>
      <c r="E297" s="296">
        <v>2650</v>
      </c>
      <c r="F297" s="304">
        <v>630</v>
      </c>
      <c r="H297" s="311"/>
    </row>
    <row r="298" s="279" customFormat="1" ht="14.25" customHeight="1" spans="1:8">
      <c r="A298" s="291" t="s">
        <v>1911</v>
      </c>
      <c r="B298" s="296" t="s">
        <v>1920</v>
      </c>
      <c r="C298" s="296">
        <v>2650</v>
      </c>
      <c r="D298" s="296">
        <v>2620</v>
      </c>
      <c r="E298" s="296">
        <v>2590</v>
      </c>
      <c r="F298" s="304">
        <v>640</v>
      </c>
      <c r="H298" s="311"/>
    </row>
    <row r="299" s="279" customFormat="1" ht="14.25" customHeight="1" spans="1:8">
      <c r="A299" s="291" t="s">
        <v>1911</v>
      </c>
      <c r="B299" s="296" t="s">
        <v>1921</v>
      </c>
      <c r="C299" s="296">
        <v>2500</v>
      </c>
      <c r="D299" s="296">
        <v>2480</v>
      </c>
      <c r="E299" s="296">
        <v>2460</v>
      </c>
      <c r="F299" s="313"/>
      <c r="H299" s="311"/>
    </row>
    <row r="300" s="279" customFormat="1" ht="14.25" customHeight="1" spans="1:8">
      <c r="A300" s="291" t="s">
        <v>1911</v>
      </c>
      <c r="B300" s="296" t="s">
        <v>1922</v>
      </c>
      <c r="C300" s="296">
        <v>2760</v>
      </c>
      <c r="D300" s="296">
        <v>2730</v>
      </c>
      <c r="E300" s="296">
        <v>2700</v>
      </c>
      <c r="F300" s="304">
        <v>630</v>
      </c>
      <c r="H300" s="311"/>
    </row>
    <row r="301" s="279" customFormat="1" ht="14.25" customHeight="1" spans="1:8">
      <c r="A301" s="291" t="s">
        <v>1911</v>
      </c>
      <c r="B301" s="296" t="s">
        <v>1923</v>
      </c>
      <c r="C301" s="296">
        <v>2510</v>
      </c>
      <c r="D301" s="296">
        <v>2480</v>
      </c>
      <c r="E301" s="296">
        <v>2460</v>
      </c>
      <c r="F301" s="313"/>
      <c r="H301" s="311"/>
    </row>
    <row r="302" s="279" customFormat="1" ht="14.25" customHeight="1" spans="1:8">
      <c r="A302" s="291" t="s">
        <v>1911</v>
      </c>
      <c r="B302" s="296" t="s">
        <v>1924</v>
      </c>
      <c r="C302" s="296">
        <v>2480</v>
      </c>
      <c r="D302" s="296">
        <v>2450</v>
      </c>
      <c r="E302" s="296">
        <v>2420</v>
      </c>
      <c r="F302" s="304">
        <v>600</v>
      </c>
      <c r="H302" s="311"/>
    </row>
    <row r="303" s="279" customFormat="1" ht="14.25" customHeight="1" spans="1:8">
      <c r="A303" s="291" t="s">
        <v>1911</v>
      </c>
      <c r="B303" s="296" t="s">
        <v>1925</v>
      </c>
      <c r="C303" s="296">
        <v>2270</v>
      </c>
      <c r="D303" s="296">
        <v>2240</v>
      </c>
      <c r="E303" s="296">
        <v>2210</v>
      </c>
      <c r="F303" s="304">
        <v>540</v>
      </c>
      <c r="H303" s="311"/>
    </row>
    <row r="304" s="279" customFormat="1" ht="14.25" customHeight="1" spans="1:8">
      <c r="A304" s="291" t="s">
        <v>1911</v>
      </c>
      <c r="B304" s="296" t="s">
        <v>1926</v>
      </c>
      <c r="C304" s="296">
        <v>2310</v>
      </c>
      <c r="D304" s="296">
        <v>2290</v>
      </c>
      <c r="E304" s="296">
        <v>2270</v>
      </c>
      <c r="F304" s="313"/>
      <c r="H304" s="311"/>
    </row>
    <row r="305" s="279" customFormat="1" ht="14.25" customHeight="1" spans="1:8">
      <c r="A305" s="291" t="s">
        <v>1911</v>
      </c>
      <c r="B305" s="296" t="s">
        <v>1927</v>
      </c>
      <c r="C305" s="296">
        <v>2490</v>
      </c>
      <c r="D305" s="296">
        <v>2470</v>
      </c>
      <c r="E305" s="296">
        <v>2440</v>
      </c>
      <c r="F305" s="304">
        <v>560</v>
      </c>
      <c r="H305" s="311"/>
    </row>
    <row r="306" s="279" customFormat="1" ht="14.25" customHeight="1" spans="1:8">
      <c r="A306" s="291" t="s">
        <v>1911</v>
      </c>
      <c r="B306" s="296" t="s">
        <v>1928</v>
      </c>
      <c r="C306" s="296">
        <v>2420</v>
      </c>
      <c r="D306" s="296">
        <v>2400</v>
      </c>
      <c r="E306" s="296">
        <v>2380</v>
      </c>
      <c r="F306" s="313"/>
      <c r="H306" s="311"/>
    </row>
    <row r="307" s="279" customFormat="1" ht="14.25" customHeight="1" spans="1:8">
      <c r="A307" s="291" t="s">
        <v>1911</v>
      </c>
      <c r="B307" s="296" t="s">
        <v>1929</v>
      </c>
      <c r="C307" s="296">
        <v>2770</v>
      </c>
      <c r="D307" s="296">
        <v>2740</v>
      </c>
      <c r="E307" s="296">
        <v>2710</v>
      </c>
      <c r="F307" s="304">
        <v>650</v>
      </c>
      <c r="H307" s="311"/>
    </row>
    <row r="308" s="279" customFormat="1" ht="14.25" customHeight="1" spans="1:8">
      <c r="A308" s="291" t="s">
        <v>1911</v>
      </c>
      <c r="B308" s="296" t="s">
        <v>1930</v>
      </c>
      <c r="C308" s="296">
        <v>2610</v>
      </c>
      <c r="D308" s="296">
        <v>2580</v>
      </c>
      <c r="E308" s="296">
        <v>2550</v>
      </c>
      <c r="F308" s="304">
        <v>580</v>
      </c>
      <c r="H308" s="311"/>
    </row>
    <row r="309" s="279" customFormat="1" ht="14.25" customHeight="1" spans="1:8">
      <c r="A309" s="291" t="s">
        <v>1911</v>
      </c>
      <c r="B309" s="296" t="s">
        <v>1931</v>
      </c>
      <c r="C309" s="296">
        <v>2690</v>
      </c>
      <c r="D309" s="296">
        <v>2670</v>
      </c>
      <c r="E309" s="296">
        <v>2650</v>
      </c>
      <c r="F309" s="313"/>
      <c r="H309" s="311"/>
    </row>
    <row r="310" s="279" customFormat="1" ht="14.25" customHeight="1" spans="1:8">
      <c r="A310" s="291" t="s">
        <v>1911</v>
      </c>
      <c r="B310" s="296" t="s">
        <v>1932</v>
      </c>
      <c r="C310" s="296">
        <v>2360</v>
      </c>
      <c r="D310" s="296">
        <v>2330</v>
      </c>
      <c r="E310" s="296">
        <v>2310</v>
      </c>
      <c r="F310" s="304">
        <v>560</v>
      </c>
      <c r="H310" s="311"/>
    </row>
    <row r="311" s="279" customFormat="1" ht="14.25" customHeight="1" spans="1:8">
      <c r="A311" s="291" t="s">
        <v>1911</v>
      </c>
      <c r="B311" s="296" t="s">
        <v>1933</v>
      </c>
      <c r="C311" s="296">
        <v>1970</v>
      </c>
      <c r="D311" s="296">
        <v>1950</v>
      </c>
      <c r="E311" s="296">
        <v>1920</v>
      </c>
      <c r="F311" s="304">
        <v>470</v>
      </c>
      <c r="H311" s="311"/>
    </row>
    <row r="312" s="279" customFormat="1" ht="14.25" customHeight="1" spans="1:8">
      <c r="A312" s="291" t="s">
        <v>1911</v>
      </c>
      <c r="B312" s="296" t="s">
        <v>1934</v>
      </c>
      <c r="C312" s="296">
        <v>2230</v>
      </c>
      <c r="D312" s="296">
        <v>2200</v>
      </c>
      <c r="E312" s="296">
        <v>2170</v>
      </c>
      <c r="F312" s="304">
        <v>460</v>
      </c>
      <c r="H312" s="311"/>
    </row>
    <row r="313" s="279" customFormat="1" ht="14.25" customHeight="1" spans="1:8">
      <c r="A313" s="291" t="s">
        <v>1911</v>
      </c>
      <c r="B313" s="296" t="s">
        <v>1935</v>
      </c>
      <c r="C313" s="296">
        <v>2770</v>
      </c>
      <c r="D313" s="296">
        <v>2740</v>
      </c>
      <c r="E313" s="296">
        <v>2710</v>
      </c>
      <c r="F313" s="304">
        <v>610</v>
      </c>
      <c r="H313" s="311"/>
    </row>
    <row r="314" s="279" customFormat="1" ht="14.25" customHeight="1" spans="1:8">
      <c r="A314" s="291" t="s">
        <v>1911</v>
      </c>
      <c r="B314" s="296" t="s">
        <v>1936</v>
      </c>
      <c r="C314" s="296"/>
      <c r="D314" s="296"/>
      <c r="E314" s="296"/>
      <c r="F314" s="304">
        <v>490</v>
      </c>
      <c r="H314" s="311"/>
    </row>
    <row r="315" s="279" customFormat="1" ht="14.25" customHeight="1" spans="1:8">
      <c r="A315" s="291" t="s">
        <v>1911</v>
      </c>
      <c r="B315" s="296" t="s">
        <v>1937</v>
      </c>
      <c r="C315" s="296"/>
      <c r="D315" s="296"/>
      <c r="E315" s="296"/>
      <c r="F315" s="304">
        <v>520</v>
      </c>
      <c r="H315" s="311"/>
    </row>
    <row r="316" s="279" customFormat="1" ht="14.25" customHeight="1" spans="1:8">
      <c r="A316" s="291" t="s">
        <v>1911</v>
      </c>
      <c r="B316" s="302" t="s">
        <v>1938</v>
      </c>
      <c r="C316" s="302"/>
      <c r="D316" s="302"/>
      <c r="E316" s="302"/>
      <c r="F316" s="312">
        <v>460</v>
      </c>
      <c r="H316" s="311"/>
    </row>
    <row r="317" s="279" customFormat="1" ht="14.25" customHeight="1" spans="1:8">
      <c r="A317" s="291" t="s">
        <v>1939</v>
      </c>
      <c r="B317" s="292" t="s">
        <v>1940</v>
      </c>
      <c r="C317" s="292">
        <v>1200</v>
      </c>
      <c r="D317" s="292">
        <v>1180</v>
      </c>
      <c r="E317" s="292">
        <v>1160</v>
      </c>
      <c r="F317" s="293">
        <v>370</v>
      </c>
      <c r="H317" s="281"/>
    </row>
    <row r="318" s="279" customFormat="1" ht="14.25" customHeight="1" spans="1:8">
      <c r="A318" s="291" t="s">
        <v>1939</v>
      </c>
      <c r="B318" s="296" t="s">
        <v>1941</v>
      </c>
      <c r="C318" s="296">
        <v>1090</v>
      </c>
      <c r="D318" s="296">
        <v>1060</v>
      </c>
      <c r="E318" s="296">
        <v>1040</v>
      </c>
      <c r="F318" s="313"/>
      <c r="H318" s="281"/>
    </row>
    <row r="319" s="279" customFormat="1" ht="14.25" customHeight="1" spans="1:8">
      <c r="A319" s="291" t="s">
        <v>1939</v>
      </c>
      <c r="B319" s="296" t="s">
        <v>1942</v>
      </c>
      <c r="C319" s="296">
        <v>1520</v>
      </c>
      <c r="D319" s="296">
        <v>1470</v>
      </c>
      <c r="E319" s="296">
        <v>1440</v>
      </c>
      <c r="F319" s="304">
        <v>370</v>
      </c>
      <c r="H319" s="281"/>
    </row>
    <row r="320" s="279" customFormat="1" ht="14.25" customHeight="1" spans="1:8">
      <c r="A320" s="291" t="s">
        <v>1939</v>
      </c>
      <c r="B320" s="296" t="s">
        <v>1943</v>
      </c>
      <c r="C320" s="296">
        <v>1360</v>
      </c>
      <c r="D320" s="296">
        <v>1300</v>
      </c>
      <c r="E320" s="296">
        <v>1270</v>
      </c>
      <c r="F320" s="313"/>
      <c r="H320" s="281"/>
    </row>
    <row r="321" s="279" customFormat="1" ht="14.25" customHeight="1" spans="1:8">
      <c r="A321" s="291" t="s">
        <v>1939</v>
      </c>
      <c r="B321" s="296" t="s">
        <v>1944</v>
      </c>
      <c r="C321" s="296">
        <v>1750</v>
      </c>
      <c r="D321" s="296">
        <v>1690</v>
      </c>
      <c r="E321" s="296">
        <v>1660</v>
      </c>
      <c r="F321" s="313"/>
      <c r="H321" s="281"/>
    </row>
    <row r="322" s="279" customFormat="1" ht="14.25" customHeight="1" spans="1:8">
      <c r="A322" s="291" t="s">
        <v>1939</v>
      </c>
      <c r="B322" s="296" t="s">
        <v>1945</v>
      </c>
      <c r="C322" s="296">
        <v>1650</v>
      </c>
      <c r="D322" s="296">
        <v>1610</v>
      </c>
      <c r="E322" s="296">
        <v>1580</v>
      </c>
      <c r="F322" s="304">
        <v>500</v>
      </c>
      <c r="H322" s="281"/>
    </row>
    <row r="323" s="279" customFormat="1" ht="14.25" customHeight="1" spans="1:8">
      <c r="A323" s="291" t="s">
        <v>1939</v>
      </c>
      <c r="B323" s="296" t="s">
        <v>1946</v>
      </c>
      <c r="C323" s="296">
        <v>1780</v>
      </c>
      <c r="D323" s="296">
        <v>1740</v>
      </c>
      <c r="E323" s="296">
        <v>1720</v>
      </c>
      <c r="F323" s="313"/>
      <c r="H323" s="281"/>
    </row>
    <row r="324" s="279" customFormat="1" ht="14.25" customHeight="1" spans="1:8">
      <c r="A324" s="291" t="s">
        <v>1939</v>
      </c>
      <c r="B324" s="296" t="s">
        <v>1947</v>
      </c>
      <c r="C324" s="296">
        <v>1650</v>
      </c>
      <c r="D324" s="296">
        <v>1610</v>
      </c>
      <c r="E324" s="296">
        <v>1580</v>
      </c>
      <c r="F324" s="313"/>
      <c r="H324" s="281"/>
    </row>
    <row r="325" s="279" customFormat="1" ht="14.25" customHeight="1" spans="1:8">
      <c r="A325" s="291" t="s">
        <v>1939</v>
      </c>
      <c r="B325" s="296" t="s">
        <v>1948</v>
      </c>
      <c r="C325" s="296">
        <v>1330</v>
      </c>
      <c r="D325" s="296">
        <v>1270</v>
      </c>
      <c r="E325" s="296">
        <v>1240</v>
      </c>
      <c r="F325" s="304">
        <v>430</v>
      </c>
      <c r="H325" s="281"/>
    </row>
    <row r="326" s="279" customFormat="1" ht="14.25" customHeight="1" spans="1:8">
      <c r="A326" s="291" t="s">
        <v>1939</v>
      </c>
      <c r="B326" s="296" t="s">
        <v>1949</v>
      </c>
      <c r="C326" s="296">
        <v>1470</v>
      </c>
      <c r="D326" s="296">
        <v>1430</v>
      </c>
      <c r="E326" s="296">
        <v>1400</v>
      </c>
      <c r="F326" s="313"/>
      <c r="H326" s="281"/>
    </row>
    <row r="327" s="279" customFormat="1" ht="14.25" customHeight="1" spans="1:8">
      <c r="A327" s="291" t="s">
        <v>1939</v>
      </c>
      <c r="B327" s="296" t="s">
        <v>1950</v>
      </c>
      <c r="C327" s="296">
        <v>1420</v>
      </c>
      <c r="D327" s="296">
        <v>1380</v>
      </c>
      <c r="E327" s="296">
        <v>1360</v>
      </c>
      <c r="F327" s="304">
        <v>420</v>
      </c>
      <c r="H327" s="281"/>
    </row>
    <row r="328" s="279" customFormat="1" ht="14.25" customHeight="1" spans="1:8">
      <c r="A328" s="291" t="s">
        <v>1939</v>
      </c>
      <c r="B328" s="296" t="s">
        <v>1951</v>
      </c>
      <c r="C328" s="296">
        <v>1400</v>
      </c>
      <c r="D328" s="296">
        <v>1360</v>
      </c>
      <c r="E328" s="296">
        <v>1330</v>
      </c>
      <c r="F328" s="304">
        <v>460</v>
      </c>
      <c r="H328" s="281"/>
    </row>
    <row r="329" s="279" customFormat="1" ht="14.25" customHeight="1" spans="1:8">
      <c r="A329" s="291" t="s">
        <v>1939</v>
      </c>
      <c r="B329" s="296" t="s">
        <v>1952</v>
      </c>
      <c r="C329" s="296">
        <v>1640</v>
      </c>
      <c r="D329" s="296">
        <v>1610</v>
      </c>
      <c r="E329" s="296">
        <v>1580</v>
      </c>
      <c r="F329" s="304">
        <v>410</v>
      </c>
      <c r="H329" s="281"/>
    </row>
    <row r="330" s="279" customFormat="1" ht="14.25" customHeight="1" spans="1:8">
      <c r="A330" s="291" t="s">
        <v>1939</v>
      </c>
      <c r="B330" s="296" t="s">
        <v>1953</v>
      </c>
      <c r="C330" s="296">
        <v>1260</v>
      </c>
      <c r="D330" s="296">
        <v>1220</v>
      </c>
      <c r="E330" s="296">
        <v>1200</v>
      </c>
      <c r="F330" s="313"/>
      <c r="H330" s="281"/>
    </row>
    <row r="331" s="279" customFormat="1" ht="14.25" customHeight="1" spans="1:8">
      <c r="A331" s="291" t="s">
        <v>1939</v>
      </c>
      <c r="B331" s="296" t="s">
        <v>1954</v>
      </c>
      <c r="C331" s="296">
        <v>1620</v>
      </c>
      <c r="D331" s="296">
        <v>1560</v>
      </c>
      <c r="E331" s="296">
        <v>1530</v>
      </c>
      <c r="F331" s="304">
        <v>490</v>
      </c>
      <c r="H331" s="281"/>
    </row>
    <row r="332" s="279" customFormat="1" ht="14.25" customHeight="1" spans="1:8">
      <c r="A332" s="291" t="s">
        <v>1939</v>
      </c>
      <c r="B332" s="296" t="s">
        <v>1955</v>
      </c>
      <c r="C332" s="296">
        <v>1520</v>
      </c>
      <c r="D332" s="296">
        <v>1470</v>
      </c>
      <c r="E332" s="296">
        <v>1440</v>
      </c>
      <c r="F332" s="304">
        <v>440</v>
      </c>
      <c r="H332" s="281"/>
    </row>
    <row r="333" s="279" customFormat="1" ht="14.25" customHeight="1" spans="1:8">
      <c r="A333" s="291" t="s">
        <v>1939</v>
      </c>
      <c r="B333" s="296" t="s">
        <v>1956</v>
      </c>
      <c r="C333" s="296">
        <v>1370</v>
      </c>
      <c r="D333" s="296">
        <v>1320</v>
      </c>
      <c r="E333" s="296">
        <v>1300</v>
      </c>
      <c r="F333" s="304">
        <v>460</v>
      </c>
      <c r="H333" s="281"/>
    </row>
    <row r="334" s="279" customFormat="1" ht="14.25" customHeight="1" spans="1:8">
      <c r="A334" s="291" t="s">
        <v>1939</v>
      </c>
      <c r="B334" s="296" t="s">
        <v>1957</v>
      </c>
      <c r="C334" s="296">
        <v>1410</v>
      </c>
      <c r="D334" s="296">
        <v>1340</v>
      </c>
      <c r="E334" s="296">
        <v>1310</v>
      </c>
      <c r="F334" s="304">
        <v>410</v>
      </c>
      <c r="H334" s="281"/>
    </row>
    <row r="335" s="279" customFormat="1" ht="14.25" customHeight="1" spans="1:8">
      <c r="A335" s="291" t="s">
        <v>1939</v>
      </c>
      <c r="B335" s="296" t="s">
        <v>1958</v>
      </c>
      <c r="C335" s="296">
        <v>1260</v>
      </c>
      <c r="D335" s="296">
        <v>1220</v>
      </c>
      <c r="E335" s="296">
        <v>1200</v>
      </c>
      <c r="F335" s="313"/>
      <c r="H335" s="281"/>
    </row>
    <row r="336" s="279" customFormat="1" ht="14.25" customHeight="1" spans="1:8">
      <c r="A336" s="291" t="s">
        <v>1939</v>
      </c>
      <c r="B336" s="296" t="s">
        <v>1959</v>
      </c>
      <c r="C336" s="296">
        <v>1160</v>
      </c>
      <c r="D336" s="296">
        <v>1140</v>
      </c>
      <c r="E336" s="296">
        <v>1120</v>
      </c>
      <c r="F336" s="304">
        <v>430</v>
      </c>
      <c r="H336" s="281"/>
    </row>
    <row r="337" s="279" customFormat="1" ht="14.25" customHeight="1" spans="1:8">
      <c r="A337" s="291" t="s">
        <v>1939</v>
      </c>
      <c r="B337" s="302" t="s">
        <v>1960</v>
      </c>
      <c r="C337" s="302"/>
      <c r="D337" s="302"/>
      <c r="E337" s="302"/>
      <c r="F337" s="312">
        <v>380</v>
      </c>
      <c r="H337" s="281"/>
    </row>
    <row r="338" s="279" customFormat="1" ht="14.25" customHeight="1" spans="1:8">
      <c r="A338" s="291" t="s">
        <v>1961</v>
      </c>
      <c r="B338" s="292" t="s">
        <v>1962</v>
      </c>
      <c r="C338" s="292">
        <v>880</v>
      </c>
      <c r="D338" s="292">
        <v>850</v>
      </c>
      <c r="E338" s="292">
        <v>830</v>
      </c>
      <c r="F338" s="317"/>
      <c r="H338" s="281"/>
    </row>
    <row r="339" s="279" customFormat="1" ht="14.25" customHeight="1" spans="1:8">
      <c r="A339" s="291" t="s">
        <v>1961</v>
      </c>
      <c r="B339" s="296" t="s">
        <v>1963</v>
      </c>
      <c r="C339" s="296">
        <v>830</v>
      </c>
      <c r="D339" s="296">
        <v>800</v>
      </c>
      <c r="E339" s="296">
        <v>780</v>
      </c>
      <c r="F339" s="313"/>
      <c r="H339" s="281"/>
    </row>
    <row r="340" s="279" customFormat="1" ht="14.25" customHeight="1" spans="1:8">
      <c r="A340" s="291" t="s">
        <v>1961</v>
      </c>
      <c r="B340" s="296" t="s">
        <v>1964</v>
      </c>
      <c r="C340" s="296">
        <v>980</v>
      </c>
      <c r="D340" s="296">
        <v>950</v>
      </c>
      <c r="E340" s="296">
        <v>920</v>
      </c>
      <c r="F340" s="313"/>
      <c r="H340" s="281"/>
    </row>
    <row r="341" s="279" customFormat="1" ht="14.25" customHeight="1" spans="1:8">
      <c r="A341" s="291" t="s">
        <v>1961</v>
      </c>
      <c r="B341" s="296" t="s">
        <v>1965</v>
      </c>
      <c r="C341" s="296">
        <v>760</v>
      </c>
      <c r="D341" s="296">
        <v>720</v>
      </c>
      <c r="E341" s="296">
        <v>690</v>
      </c>
      <c r="F341" s="304">
        <v>350</v>
      </c>
      <c r="H341" s="281"/>
    </row>
    <row r="342" s="279" customFormat="1" ht="14.25" customHeight="1" spans="1:8">
      <c r="A342" s="291" t="s">
        <v>1961</v>
      </c>
      <c r="B342" s="296" t="s">
        <v>1966</v>
      </c>
      <c r="C342" s="296">
        <v>910</v>
      </c>
      <c r="D342" s="296">
        <v>870</v>
      </c>
      <c r="E342" s="296">
        <v>850</v>
      </c>
      <c r="F342" s="304">
        <v>370</v>
      </c>
      <c r="H342" s="281"/>
    </row>
    <row r="343" s="279" customFormat="1" ht="14.25" customHeight="1" spans="1:8">
      <c r="A343" s="291" t="s">
        <v>1961</v>
      </c>
      <c r="B343" s="296" t="s">
        <v>1967</v>
      </c>
      <c r="C343" s="296">
        <v>800</v>
      </c>
      <c r="D343" s="296">
        <v>760</v>
      </c>
      <c r="E343" s="296">
        <v>730</v>
      </c>
      <c r="F343" s="304">
        <v>340</v>
      </c>
      <c r="H343" s="281"/>
    </row>
    <row r="344" s="279" customFormat="1" ht="14.25" customHeight="1" spans="1:8">
      <c r="A344" s="291" t="s">
        <v>1961</v>
      </c>
      <c r="B344" s="302" t="s">
        <v>1968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333333333333" style="234" customWidth="1"/>
    <col min="2" max="9" width="8.25" style="233" customWidth="1"/>
    <col min="10" max="13" width="8.25" style="234"/>
    <col min="14" max="14" width="10" style="234" customWidth="1"/>
    <col min="15" max="16" width="8.25" style="234"/>
    <col min="17" max="17" width="34.1333333333333" style="234" customWidth="1"/>
    <col min="18" max="18" width="8.25" style="234" customWidth="1"/>
    <col min="19" max="19" width="8.25" style="234"/>
    <col min="20" max="20" width="11.6333333333333" style="234" customWidth="1"/>
    <col min="21" max="16384" width="8.25" style="234"/>
  </cols>
  <sheetData>
    <row r="1" customHeight="1" spans="1:13">
      <c r="A1" s="235" t="s">
        <v>2007</v>
      </c>
      <c r="B1" s="236" t="s">
        <v>355</v>
      </c>
      <c r="C1" s="236" t="s">
        <v>1623</v>
      </c>
      <c r="D1" s="236" t="s">
        <v>1643</v>
      </c>
      <c r="E1" s="236" t="s">
        <v>1664</v>
      </c>
      <c r="F1" s="236" t="s">
        <v>1692</v>
      </c>
      <c r="G1" s="236" t="s">
        <v>1727</v>
      </c>
      <c r="H1" s="236" t="s">
        <v>1776</v>
      </c>
      <c r="I1" s="236" t="s">
        <v>1825</v>
      </c>
      <c r="J1" s="236" t="s">
        <v>1865</v>
      </c>
      <c r="K1" s="236" t="s">
        <v>1911</v>
      </c>
      <c r="L1" s="236" t="s">
        <v>1939</v>
      </c>
      <c r="M1" s="271" t="s">
        <v>1961</v>
      </c>
    </row>
    <row r="2" customHeight="1" spans="1:13">
      <c r="A2" s="237" t="s">
        <v>1614</v>
      </c>
      <c r="B2" s="238">
        <v>3.5</v>
      </c>
      <c r="C2" s="238">
        <v>3.5</v>
      </c>
      <c r="D2" s="239">
        <v>2.5</v>
      </c>
      <c r="E2" s="239">
        <v>2.5</v>
      </c>
      <c r="F2" s="239">
        <v>2.5</v>
      </c>
      <c r="G2" s="239">
        <v>2.5</v>
      </c>
      <c r="H2" s="239">
        <v>2.5</v>
      </c>
      <c r="I2" s="238">
        <v>2</v>
      </c>
      <c r="J2" s="238">
        <v>2</v>
      </c>
      <c r="K2" s="238">
        <v>2</v>
      </c>
      <c r="L2" s="238">
        <v>2</v>
      </c>
      <c r="M2" s="272">
        <v>2</v>
      </c>
    </row>
    <row r="3" customHeight="1" spans="1:13">
      <c r="A3" s="240" t="s">
        <v>353</v>
      </c>
      <c r="B3" s="241">
        <v>3.5</v>
      </c>
      <c r="C3" s="241">
        <v>3.5</v>
      </c>
      <c r="D3" s="242">
        <v>2.5</v>
      </c>
      <c r="E3" s="242">
        <v>2.5</v>
      </c>
      <c r="F3" s="242">
        <v>2.5</v>
      </c>
      <c r="G3" s="242">
        <v>2.5</v>
      </c>
      <c r="H3" s="242">
        <v>2.5</v>
      </c>
      <c r="I3" s="241">
        <v>2</v>
      </c>
      <c r="J3" s="241">
        <v>2</v>
      </c>
      <c r="K3" s="241">
        <v>2</v>
      </c>
      <c r="L3" s="241">
        <v>2</v>
      </c>
      <c r="M3" s="273">
        <v>2</v>
      </c>
    </row>
    <row r="4" customHeight="1" spans="1:13">
      <c r="A4" s="240" t="s">
        <v>1615</v>
      </c>
      <c r="B4" s="242">
        <v>2.5</v>
      </c>
      <c r="C4" s="242">
        <v>2.5</v>
      </c>
      <c r="D4" s="242">
        <v>2.5</v>
      </c>
      <c r="E4" s="242">
        <v>2.5</v>
      </c>
      <c r="F4" s="242">
        <v>2.5</v>
      </c>
      <c r="G4" s="242">
        <v>2.5</v>
      </c>
      <c r="H4" s="242">
        <v>2.5</v>
      </c>
      <c r="I4" s="241">
        <v>1.5</v>
      </c>
      <c r="J4" s="241">
        <v>1.5</v>
      </c>
      <c r="K4" s="241">
        <v>1.5</v>
      </c>
      <c r="L4" s="241">
        <v>1.5</v>
      </c>
      <c r="M4" s="273">
        <v>1.5</v>
      </c>
    </row>
    <row r="5" customHeight="1" spans="1:13">
      <c r="A5" s="243" t="s">
        <v>1616</v>
      </c>
      <c r="B5" s="244">
        <v>1.5</v>
      </c>
      <c r="C5" s="244">
        <v>1.5</v>
      </c>
      <c r="D5" s="244">
        <v>1.5</v>
      </c>
      <c r="E5" s="244">
        <v>1.5</v>
      </c>
      <c r="F5" s="244">
        <v>1.5</v>
      </c>
      <c r="G5" s="245">
        <v>1.2</v>
      </c>
      <c r="H5" s="245">
        <v>1.2</v>
      </c>
      <c r="I5" s="245">
        <v>1</v>
      </c>
      <c r="J5" s="245">
        <v>1</v>
      </c>
      <c r="K5" s="245">
        <v>1</v>
      </c>
      <c r="L5" s="245">
        <v>1</v>
      </c>
      <c r="M5" s="274">
        <v>1</v>
      </c>
    </row>
    <row r="6" customHeight="1" spans="1:13">
      <c r="A6" s="246" t="s">
        <v>2008</v>
      </c>
      <c r="B6" s="247">
        <v>80</v>
      </c>
      <c r="C6" s="247">
        <v>80</v>
      </c>
      <c r="D6" s="247">
        <v>65</v>
      </c>
      <c r="E6" s="247">
        <v>65</v>
      </c>
      <c r="F6" s="247">
        <v>65</v>
      </c>
      <c r="G6" s="247">
        <v>65</v>
      </c>
      <c r="H6" s="247">
        <v>65</v>
      </c>
      <c r="I6" s="247">
        <v>50</v>
      </c>
      <c r="J6" s="247">
        <v>50</v>
      </c>
      <c r="K6" s="247">
        <v>50</v>
      </c>
      <c r="L6" s="247">
        <v>50</v>
      </c>
      <c r="M6" s="275">
        <v>50</v>
      </c>
    </row>
    <row r="7" customHeight="1" spans="1:13">
      <c r="A7" s="248" t="s">
        <v>2009</v>
      </c>
      <c r="B7" s="249">
        <v>70</v>
      </c>
      <c r="C7" s="249">
        <v>70</v>
      </c>
      <c r="D7" s="249">
        <v>55</v>
      </c>
      <c r="E7" s="249">
        <v>55</v>
      </c>
      <c r="F7" s="249">
        <v>55</v>
      </c>
      <c r="G7" s="249">
        <v>55</v>
      </c>
      <c r="H7" s="249">
        <v>55</v>
      </c>
      <c r="I7" s="249">
        <v>40</v>
      </c>
      <c r="J7" s="249">
        <v>40</v>
      </c>
      <c r="K7" s="249">
        <v>40</v>
      </c>
      <c r="L7" s="249">
        <v>40</v>
      </c>
      <c r="M7" s="276">
        <v>40</v>
      </c>
    </row>
    <row r="8" customHeight="1" spans="1:13">
      <c r="A8" s="248" t="s">
        <v>2010</v>
      </c>
      <c r="B8" s="249">
        <v>20</v>
      </c>
      <c r="C8" s="249">
        <v>20</v>
      </c>
      <c r="D8" s="249">
        <v>15</v>
      </c>
      <c r="E8" s="249">
        <v>15</v>
      </c>
      <c r="F8" s="249">
        <v>15</v>
      </c>
      <c r="G8" s="249">
        <v>15</v>
      </c>
      <c r="H8" s="249">
        <v>15</v>
      </c>
      <c r="I8" s="249">
        <v>10</v>
      </c>
      <c r="J8" s="249">
        <v>10</v>
      </c>
      <c r="K8" s="249">
        <v>10</v>
      </c>
      <c r="L8" s="249">
        <v>10</v>
      </c>
      <c r="M8" s="276">
        <v>10</v>
      </c>
    </row>
    <row r="9" customHeight="1" spans="1:13">
      <c r="A9" s="248" t="s">
        <v>2011</v>
      </c>
      <c r="B9" s="249">
        <v>30</v>
      </c>
      <c r="C9" s="249">
        <v>30</v>
      </c>
      <c r="D9" s="249">
        <v>25</v>
      </c>
      <c r="E9" s="249">
        <v>25</v>
      </c>
      <c r="F9" s="249">
        <v>25</v>
      </c>
      <c r="G9" s="249">
        <v>25</v>
      </c>
      <c r="H9" s="249">
        <v>25</v>
      </c>
      <c r="I9" s="249">
        <v>20</v>
      </c>
      <c r="J9" s="249">
        <v>20</v>
      </c>
      <c r="K9" s="249">
        <v>20</v>
      </c>
      <c r="L9" s="249">
        <v>20</v>
      </c>
      <c r="M9" s="276">
        <v>20</v>
      </c>
    </row>
    <row r="10" customHeight="1" spans="1:13">
      <c r="A10" s="248" t="s">
        <v>2012</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2013</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1497</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2014</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2015</v>
      </c>
      <c r="B16" s="253"/>
      <c r="C16" s="254"/>
      <c r="D16" s="254"/>
      <c r="E16" s="253"/>
      <c r="F16" s="254"/>
      <c r="G16" s="254"/>
    </row>
    <row r="17" customHeight="1" spans="1:7">
      <c r="A17" s="249" t="s">
        <v>2016</v>
      </c>
      <c r="B17" s="255" t="s">
        <v>2017</v>
      </c>
      <c r="C17" s="255" t="s">
        <v>2018</v>
      </c>
      <c r="D17" s="256"/>
      <c r="E17" s="249" t="s">
        <v>2019</v>
      </c>
      <c r="F17" s="257"/>
      <c r="G17" s="257"/>
    </row>
    <row r="18" s="232" customFormat="1" customHeight="1" spans="1:9">
      <c r="A18" s="258" t="s">
        <v>1614</v>
      </c>
      <c r="B18" s="258" t="s">
        <v>2020</v>
      </c>
      <c r="C18" s="259" t="s">
        <v>2021</v>
      </c>
      <c r="D18" s="260"/>
      <c r="E18" s="258">
        <v>1</v>
      </c>
      <c r="F18" s="261" t="s">
        <v>2022</v>
      </c>
      <c r="G18" s="262"/>
      <c r="H18" s="233"/>
      <c r="I18" s="233"/>
    </row>
    <row r="19" s="232" customFormat="1" customHeight="1" spans="1:9">
      <c r="A19" s="258"/>
      <c r="B19" s="258" t="s">
        <v>2023</v>
      </c>
      <c r="C19" s="259" t="s">
        <v>2024</v>
      </c>
      <c r="D19" s="260"/>
      <c r="E19" s="258">
        <v>0.9</v>
      </c>
      <c r="F19" s="261" t="s">
        <v>2025</v>
      </c>
      <c r="G19" s="262"/>
      <c r="H19" s="233"/>
      <c r="I19" s="233"/>
    </row>
    <row r="20" s="232" customFormat="1" customHeight="1" spans="1:9">
      <c r="A20" s="258"/>
      <c r="B20" s="258"/>
      <c r="C20" s="259" t="s">
        <v>2026</v>
      </c>
      <c r="D20" s="260"/>
      <c r="E20" s="258">
        <v>1.1</v>
      </c>
      <c r="F20" s="261" t="s">
        <v>2027</v>
      </c>
      <c r="G20" s="262"/>
      <c r="H20" s="233"/>
      <c r="I20" s="233"/>
    </row>
    <row r="21" s="232" customFormat="1" customHeight="1" spans="1:9">
      <c r="A21" s="258"/>
      <c r="B21" s="258"/>
      <c r="C21" s="259" t="s">
        <v>2028</v>
      </c>
      <c r="D21" s="260"/>
      <c r="E21" s="258">
        <v>0.8</v>
      </c>
      <c r="F21" s="261" t="s">
        <v>2029</v>
      </c>
      <c r="G21" s="262"/>
      <c r="H21" s="233"/>
      <c r="I21" s="233"/>
    </row>
    <row r="22" s="232" customFormat="1" customHeight="1" spans="1:9">
      <c r="A22" s="258"/>
      <c r="B22" s="258"/>
      <c r="C22" s="259" t="s">
        <v>2030</v>
      </c>
      <c r="D22" s="260"/>
      <c r="E22" s="258">
        <v>0.5</v>
      </c>
      <c r="F22" s="261"/>
      <c r="G22" s="262"/>
      <c r="H22" s="233"/>
      <c r="I22" s="233"/>
    </row>
    <row r="23" s="232" customFormat="1" customHeight="1" spans="1:9">
      <c r="A23" s="258" t="s">
        <v>353</v>
      </c>
      <c r="B23" s="258" t="s">
        <v>2020</v>
      </c>
      <c r="C23" s="259" t="s">
        <v>1434</v>
      </c>
      <c r="D23" s="260"/>
      <c r="E23" s="258">
        <v>1</v>
      </c>
      <c r="F23" s="261" t="s">
        <v>2031</v>
      </c>
      <c r="G23" s="262"/>
      <c r="H23" s="233"/>
      <c r="I23" s="233"/>
    </row>
    <row r="24" s="232" customFormat="1" customHeight="1" spans="1:9">
      <c r="A24" s="258"/>
      <c r="B24" s="258" t="s">
        <v>2023</v>
      </c>
      <c r="C24" s="259" t="s">
        <v>2032</v>
      </c>
      <c r="D24" s="260"/>
      <c r="E24" s="258">
        <v>0.5</v>
      </c>
      <c r="F24" s="261"/>
      <c r="G24" s="262"/>
      <c r="H24" s="233"/>
      <c r="I24" s="233"/>
    </row>
    <row r="25" s="232" customFormat="1" customHeight="1" spans="1:9">
      <c r="A25" s="258"/>
      <c r="B25" s="258"/>
      <c r="C25" s="259" t="s">
        <v>2033</v>
      </c>
      <c r="D25" s="260"/>
      <c r="E25" s="258">
        <v>1.1</v>
      </c>
      <c r="F25" s="261"/>
      <c r="G25" s="262"/>
      <c r="H25" s="233"/>
      <c r="I25" s="233"/>
    </row>
    <row r="26" s="232" customFormat="1" customHeight="1" spans="1:9">
      <c r="A26" s="258"/>
      <c r="B26" s="258"/>
      <c r="C26" s="259" t="s">
        <v>2034</v>
      </c>
      <c r="D26" s="260"/>
      <c r="E26" s="258">
        <v>1.1</v>
      </c>
      <c r="F26" s="261"/>
      <c r="G26" s="262"/>
      <c r="H26" s="233"/>
      <c r="I26" s="233"/>
    </row>
    <row r="27" s="232" customFormat="1" customHeight="1" spans="1:9">
      <c r="A27" s="258"/>
      <c r="B27" s="258"/>
      <c r="C27" s="259" t="s">
        <v>2035</v>
      </c>
      <c r="D27" s="260"/>
      <c r="E27" s="258">
        <v>0.9</v>
      </c>
      <c r="F27" s="261" t="s">
        <v>2036</v>
      </c>
      <c r="G27" s="262"/>
      <c r="H27" s="233"/>
      <c r="I27" s="233"/>
    </row>
    <row r="28" s="232" customFormat="1" customHeight="1" spans="1:9">
      <c r="A28" s="258"/>
      <c r="B28" s="258"/>
      <c r="C28" s="259" t="s">
        <v>2037</v>
      </c>
      <c r="D28" s="260"/>
      <c r="E28" s="258">
        <v>0.9</v>
      </c>
      <c r="F28" s="261" t="s">
        <v>2038</v>
      </c>
      <c r="G28" s="262"/>
      <c r="H28" s="233"/>
      <c r="I28" s="233"/>
    </row>
    <row r="29" s="232" customFormat="1" customHeight="1" spans="1:9">
      <c r="A29" s="258"/>
      <c r="B29" s="258"/>
      <c r="C29" s="259" t="s">
        <v>2039</v>
      </c>
      <c r="D29" s="260"/>
      <c r="E29" s="258">
        <v>0.9</v>
      </c>
      <c r="F29" s="261" t="s">
        <v>2040</v>
      </c>
      <c r="G29" s="262"/>
      <c r="H29" s="233"/>
      <c r="I29" s="233"/>
    </row>
    <row r="30" s="232" customFormat="1" customHeight="1" spans="1:9">
      <c r="A30" s="258"/>
      <c r="B30" s="258"/>
      <c r="C30" s="259" t="s">
        <v>2041</v>
      </c>
      <c r="D30" s="260"/>
      <c r="E30" s="258">
        <v>0.9</v>
      </c>
      <c r="F30" s="261" t="s">
        <v>2042</v>
      </c>
      <c r="G30" s="262"/>
      <c r="H30" s="233"/>
      <c r="I30" s="233"/>
    </row>
    <row r="31" s="232" customFormat="1" customHeight="1" spans="1:9">
      <c r="A31" s="258"/>
      <c r="B31" s="258"/>
      <c r="C31" s="259" t="s">
        <v>2043</v>
      </c>
      <c r="D31" s="260"/>
      <c r="E31" s="258">
        <v>0.8</v>
      </c>
      <c r="F31" s="261" t="s">
        <v>2044</v>
      </c>
      <c r="G31" s="262"/>
      <c r="H31" s="233"/>
      <c r="I31" s="233"/>
    </row>
    <row r="32" s="232" customFormat="1" customHeight="1" spans="1:9">
      <c r="A32" s="258"/>
      <c r="B32" s="258"/>
      <c r="C32" s="259" t="s">
        <v>2045</v>
      </c>
      <c r="D32" s="260"/>
      <c r="E32" s="258">
        <v>0.8</v>
      </c>
      <c r="F32" s="261" t="s">
        <v>2046</v>
      </c>
      <c r="G32" s="262"/>
      <c r="H32" s="233"/>
      <c r="I32" s="233"/>
    </row>
    <row r="33" s="232" customFormat="1" customHeight="1" spans="1:9">
      <c r="A33" s="258" t="s">
        <v>2047</v>
      </c>
      <c r="B33" s="258" t="s">
        <v>2020</v>
      </c>
      <c r="C33" s="259" t="s">
        <v>2048</v>
      </c>
      <c r="D33" s="260"/>
      <c r="E33" s="258">
        <v>1</v>
      </c>
      <c r="F33" s="261" t="s">
        <v>2049</v>
      </c>
      <c r="G33" s="262"/>
      <c r="H33" s="233"/>
      <c r="I33" s="233"/>
    </row>
    <row r="34" s="232" customFormat="1" customHeight="1" spans="1:9">
      <c r="A34" s="258"/>
      <c r="B34" s="258" t="s">
        <v>2023</v>
      </c>
      <c r="C34" s="259" t="s">
        <v>2050</v>
      </c>
      <c r="D34" s="260"/>
      <c r="E34" s="258">
        <v>1.5</v>
      </c>
      <c r="F34" s="261" t="s">
        <v>2051</v>
      </c>
      <c r="G34" s="262"/>
      <c r="H34" s="233"/>
      <c r="I34" s="233"/>
    </row>
    <row r="35" s="232" customFormat="1" customHeight="1" spans="1:9">
      <c r="A35" s="258" t="s">
        <v>1616</v>
      </c>
      <c r="B35" s="258" t="s">
        <v>2020</v>
      </c>
      <c r="C35" s="259" t="s">
        <v>2052</v>
      </c>
      <c r="D35" s="260"/>
      <c r="E35" s="258">
        <v>1</v>
      </c>
      <c r="F35" s="261" t="s">
        <v>2053</v>
      </c>
      <c r="G35" s="262"/>
      <c r="H35" s="233"/>
      <c r="I35" s="233"/>
    </row>
    <row r="36" s="232" customFormat="1" customHeight="1" spans="1:9">
      <c r="A36" s="258"/>
      <c r="B36" s="258" t="s">
        <v>2023</v>
      </c>
      <c r="C36" s="259" t="s">
        <v>2054</v>
      </c>
      <c r="D36" s="260"/>
      <c r="E36" s="258">
        <v>1</v>
      </c>
      <c r="F36" s="261" t="s">
        <v>2055</v>
      </c>
      <c r="G36" s="262"/>
      <c r="H36" s="233"/>
      <c r="I36" s="233"/>
    </row>
    <row r="37" s="232" customFormat="1" customHeight="1" spans="1:9">
      <c r="A37" s="258"/>
      <c r="B37" s="258"/>
      <c r="C37" s="259" t="s">
        <v>2056</v>
      </c>
      <c r="D37" s="260"/>
      <c r="E37" s="258">
        <v>1.5</v>
      </c>
      <c r="F37" s="261" t="s">
        <v>2057</v>
      </c>
      <c r="G37" s="262"/>
      <c r="H37" s="233"/>
      <c r="I37" s="233"/>
    </row>
    <row r="38" s="232" customFormat="1" customHeight="1" spans="1:9">
      <c r="A38" s="258"/>
      <c r="B38" s="258"/>
      <c r="C38" s="259" t="s">
        <v>2058</v>
      </c>
      <c r="D38" s="260"/>
      <c r="E38" s="258">
        <v>1</v>
      </c>
      <c r="F38" s="261" t="s">
        <v>2059</v>
      </c>
      <c r="G38" s="262"/>
      <c r="H38" s="233"/>
      <c r="I38" s="233"/>
    </row>
    <row r="39" s="232" customFormat="1" customHeight="1" spans="1:9">
      <c r="A39" s="258"/>
      <c r="B39" s="258"/>
      <c r="C39" s="259" t="s">
        <v>2060</v>
      </c>
      <c r="D39" s="260"/>
      <c r="E39" s="258">
        <v>1</v>
      </c>
      <c r="F39" s="261" t="s">
        <v>2061</v>
      </c>
      <c r="G39" s="262"/>
      <c r="H39" s="233"/>
      <c r="I39" s="233"/>
    </row>
    <row r="40" s="232" customFormat="1" customHeight="1" spans="1:9">
      <c r="A40" s="263" t="s">
        <v>2062</v>
      </c>
      <c r="B40" s="263"/>
      <c r="C40" s="263"/>
      <c r="D40" s="263"/>
      <c r="E40" s="263"/>
      <c r="F40" s="264"/>
      <c r="G40" s="264"/>
      <c r="H40" s="233"/>
      <c r="I40" s="233"/>
    </row>
    <row r="42" customHeight="1" spans="1:8">
      <c r="A42" s="265"/>
      <c r="B42" s="249" t="s">
        <v>2063</v>
      </c>
      <c r="C42" s="249" t="s">
        <v>2063</v>
      </c>
      <c r="D42" s="249" t="s">
        <v>2063</v>
      </c>
      <c r="E42" s="251" t="s">
        <v>2063</v>
      </c>
      <c r="F42" s="251" t="s">
        <v>2063</v>
      </c>
      <c r="G42" s="251" t="s">
        <v>2064</v>
      </c>
      <c r="H42" s="251" t="s">
        <v>2063</v>
      </c>
    </row>
    <row r="43" customHeight="1" spans="1:8">
      <c r="A43" s="266"/>
      <c r="B43" s="251" t="s">
        <v>1614</v>
      </c>
      <c r="C43" s="251" t="s">
        <v>1614</v>
      </c>
      <c r="D43" s="251" t="s">
        <v>1614</v>
      </c>
      <c r="E43" s="251" t="s">
        <v>1614</v>
      </c>
      <c r="F43" s="249" t="s">
        <v>353</v>
      </c>
      <c r="G43" s="249" t="s">
        <v>1616</v>
      </c>
      <c r="H43" s="249" t="s">
        <v>2065</v>
      </c>
    </row>
    <row r="44" customHeight="1" spans="1:8">
      <c r="A44" s="267"/>
      <c r="B44" s="249">
        <v>1</v>
      </c>
      <c r="C44" s="249">
        <v>2</v>
      </c>
      <c r="D44" s="249">
        <v>3</v>
      </c>
      <c r="E44" s="251">
        <v>4</v>
      </c>
      <c r="F44" s="256" t="s">
        <v>2066</v>
      </c>
      <c r="G44" s="256" t="s">
        <v>2066</v>
      </c>
      <c r="H44" s="256" t="s">
        <v>2066</v>
      </c>
    </row>
    <row r="45" customHeight="1" spans="1:8">
      <c r="A45" s="268" t="s">
        <v>355</v>
      </c>
      <c r="B45" s="249">
        <v>0.8</v>
      </c>
      <c r="C45" s="249">
        <v>0.5</v>
      </c>
      <c r="D45" s="249">
        <v>0.36</v>
      </c>
      <c r="E45" s="249">
        <v>0.3</v>
      </c>
      <c r="F45" s="256">
        <v>0.3</v>
      </c>
      <c r="G45" s="249">
        <v>0.3</v>
      </c>
      <c r="H45" s="249">
        <v>0.25</v>
      </c>
    </row>
    <row r="46" customHeight="1" spans="1:8">
      <c r="A46" s="268" t="s">
        <v>1623</v>
      </c>
      <c r="B46" s="249">
        <v>0.8</v>
      </c>
      <c r="C46" s="249">
        <v>0.5</v>
      </c>
      <c r="D46" s="249">
        <v>0.36</v>
      </c>
      <c r="E46" s="249">
        <v>0.3</v>
      </c>
      <c r="F46" s="249">
        <v>0.3</v>
      </c>
      <c r="G46" s="249">
        <v>0.3</v>
      </c>
      <c r="H46" s="249">
        <v>0.25</v>
      </c>
    </row>
    <row r="47" customHeight="1" spans="1:8">
      <c r="A47" s="268" t="s">
        <v>1643</v>
      </c>
      <c r="B47" s="249">
        <v>0.7</v>
      </c>
      <c r="C47" s="249">
        <v>0.4</v>
      </c>
      <c r="D47" s="249">
        <v>0.28</v>
      </c>
      <c r="E47" s="249">
        <v>0.25</v>
      </c>
      <c r="F47" s="249">
        <v>0.25</v>
      </c>
      <c r="G47" s="249">
        <v>0.25</v>
      </c>
      <c r="H47" s="249">
        <v>0.2</v>
      </c>
    </row>
    <row r="48" customHeight="1" spans="1:8">
      <c r="A48" s="268" t="s">
        <v>1664</v>
      </c>
      <c r="B48" s="249">
        <v>0.7</v>
      </c>
      <c r="C48" s="249">
        <v>0.4</v>
      </c>
      <c r="D48" s="249">
        <v>0.28</v>
      </c>
      <c r="E48" s="249">
        <v>0.25</v>
      </c>
      <c r="F48" s="249">
        <v>0.25</v>
      </c>
      <c r="G48" s="249">
        <v>0.25</v>
      </c>
      <c r="H48" s="249">
        <v>0.2</v>
      </c>
    </row>
    <row r="49" s="233" customFormat="1" customHeight="1" spans="1:8">
      <c r="A49" s="268" t="s">
        <v>1692</v>
      </c>
      <c r="B49" s="249">
        <v>0.7</v>
      </c>
      <c r="C49" s="249">
        <v>0.4</v>
      </c>
      <c r="D49" s="249">
        <v>0.28</v>
      </c>
      <c r="E49" s="249">
        <v>0.25</v>
      </c>
      <c r="F49" s="249">
        <v>0.25</v>
      </c>
      <c r="G49" s="249">
        <v>0.25</v>
      </c>
      <c r="H49" s="249">
        <v>0.2</v>
      </c>
    </row>
    <row r="50" s="233" customFormat="1" customHeight="1" spans="1:8">
      <c r="A50" s="268" t="s">
        <v>1727</v>
      </c>
      <c r="B50" s="249">
        <v>0.7</v>
      </c>
      <c r="C50" s="249">
        <v>0.4</v>
      </c>
      <c r="D50" s="249">
        <v>0.28</v>
      </c>
      <c r="E50" s="249">
        <v>0.25</v>
      </c>
      <c r="F50" s="249">
        <v>0.25</v>
      </c>
      <c r="G50" s="249">
        <v>0.25</v>
      </c>
      <c r="H50" s="249">
        <v>0.2</v>
      </c>
    </row>
    <row r="51" s="233" customFormat="1" customHeight="1" spans="1:8">
      <c r="A51" s="268" t="s">
        <v>1776</v>
      </c>
      <c r="B51" s="249">
        <v>0.7</v>
      </c>
      <c r="C51" s="249">
        <v>0.4</v>
      </c>
      <c r="D51" s="249">
        <v>0.28</v>
      </c>
      <c r="E51" s="249">
        <v>0.25</v>
      </c>
      <c r="F51" s="249">
        <v>0.25</v>
      </c>
      <c r="G51" s="249">
        <v>0.25</v>
      </c>
      <c r="H51" s="249">
        <v>0.2</v>
      </c>
    </row>
    <row r="52" s="233" customFormat="1" customHeight="1" spans="1:8">
      <c r="A52" s="268" t="s">
        <v>1825</v>
      </c>
      <c r="B52" s="249">
        <v>0.6</v>
      </c>
      <c r="C52" s="249">
        <v>0.3</v>
      </c>
      <c r="D52" s="249">
        <v>0.2</v>
      </c>
      <c r="E52" s="249">
        <v>0.2</v>
      </c>
      <c r="F52" s="249">
        <v>0.2</v>
      </c>
      <c r="G52" s="249">
        <v>0.2</v>
      </c>
      <c r="H52" s="249">
        <v>0.15</v>
      </c>
    </row>
    <row r="53" s="233" customFormat="1" customHeight="1" spans="1:8">
      <c r="A53" s="268" t="s">
        <v>1865</v>
      </c>
      <c r="B53" s="249">
        <v>0.6</v>
      </c>
      <c r="C53" s="249">
        <v>0.3</v>
      </c>
      <c r="D53" s="249">
        <v>0.2</v>
      </c>
      <c r="E53" s="249">
        <v>0.2</v>
      </c>
      <c r="F53" s="249">
        <v>0.2</v>
      </c>
      <c r="G53" s="249">
        <v>0.2</v>
      </c>
      <c r="H53" s="249">
        <v>0.15</v>
      </c>
    </row>
    <row r="54" s="233" customFormat="1" customHeight="1" spans="1:8">
      <c r="A54" s="268" t="s">
        <v>1911</v>
      </c>
      <c r="B54" s="249">
        <v>0.6</v>
      </c>
      <c r="C54" s="249">
        <v>0.3</v>
      </c>
      <c r="D54" s="249">
        <v>0.2</v>
      </c>
      <c r="E54" s="249">
        <v>0.2</v>
      </c>
      <c r="F54" s="249">
        <v>0.2</v>
      </c>
      <c r="G54" s="249">
        <v>0.2</v>
      </c>
      <c r="H54" s="249">
        <v>0.15</v>
      </c>
    </row>
    <row r="55" s="233" customFormat="1" customHeight="1" spans="1:8">
      <c r="A55" s="268" t="s">
        <v>1939</v>
      </c>
      <c r="B55" s="249">
        <v>0.6</v>
      </c>
      <c r="C55" s="249">
        <v>0.3</v>
      </c>
      <c r="D55" s="249">
        <v>0.2</v>
      </c>
      <c r="E55" s="249">
        <v>0.2</v>
      </c>
      <c r="F55" s="249">
        <v>0.2</v>
      </c>
      <c r="G55" s="249">
        <v>0.2</v>
      </c>
      <c r="H55" s="249">
        <v>0.15</v>
      </c>
    </row>
    <row r="56" s="233" customFormat="1" customHeight="1" spans="1:8">
      <c r="A56" s="268" t="s">
        <v>1961</v>
      </c>
      <c r="B56" s="249">
        <v>0.6</v>
      </c>
      <c r="C56" s="249">
        <v>0.3</v>
      </c>
      <c r="D56" s="249">
        <v>0.2</v>
      </c>
      <c r="E56" s="249">
        <v>0.2</v>
      </c>
      <c r="F56" s="249">
        <v>0.2</v>
      </c>
      <c r="G56" s="249">
        <v>0.2</v>
      </c>
      <c r="H56" s="249">
        <v>0.15</v>
      </c>
    </row>
    <row r="58" s="233" customFormat="1" customHeight="1" spans="1:6">
      <c r="A58" s="269"/>
      <c r="B58" s="253"/>
      <c r="C58" s="253"/>
      <c r="D58" s="253" t="s">
        <v>2067</v>
      </c>
      <c r="E58" s="253"/>
      <c r="F58" s="253"/>
    </row>
    <row r="59" s="233" customFormat="1" customHeight="1" spans="1:6">
      <c r="A59" s="258" t="s">
        <v>2068</v>
      </c>
      <c r="B59" s="258" t="s">
        <v>2069</v>
      </c>
      <c r="C59" s="258" t="s">
        <v>2070</v>
      </c>
      <c r="D59" s="258" t="s">
        <v>2071</v>
      </c>
      <c r="E59" s="258" t="s">
        <v>2072</v>
      </c>
      <c r="F59" s="258" t="s">
        <v>2073</v>
      </c>
    </row>
    <row r="60" ht="13.5" spans="1:6">
      <c r="A60" s="258"/>
      <c r="B60" s="258"/>
      <c r="C60" s="258" t="s">
        <v>1447</v>
      </c>
      <c r="D60" s="258"/>
      <c r="E60" s="270" t="s">
        <v>121</v>
      </c>
      <c r="F60" s="258" t="s">
        <v>121</v>
      </c>
    </row>
    <row r="61" s="233" customFormat="1" ht="24" spans="1:6">
      <c r="A61" s="258">
        <v>1</v>
      </c>
      <c r="B61" s="258" t="s">
        <v>2074</v>
      </c>
      <c r="C61" s="249" t="s">
        <v>2075</v>
      </c>
      <c r="D61" s="249" t="s">
        <v>2076</v>
      </c>
      <c r="E61" s="270">
        <v>0.5</v>
      </c>
      <c r="F61" s="258">
        <v>80</v>
      </c>
    </row>
    <row r="62" s="233" customFormat="1" ht="24" spans="1:6">
      <c r="A62" s="258">
        <v>2</v>
      </c>
      <c r="B62" s="258"/>
      <c r="C62" s="249" t="s">
        <v>2077</v>
      </c>
      <c r="D62" s="249" t="s">
        <v>2078</v>
      </c>
      <c r="E62" s="270">
        <v>0.5</v>
      </c>
      <c r="F62" s="258">
        <v>80</v>
      </c>
    </row>
    <row r="63" s="233" customFormat="1" ht="36" spans="1:6">
      <c r="A63" s="258">
        <v>3</v>
      </c>
      <c r="B63" s="258"/>
      <c r="C63" s="249" t="s">
        <v>2079</v>
      </c>
      <c r="D63" s="249" t="s">
        <v>2080</v>
      </c>
      <c r="E63" s="270">
        <v>0.5</v>
      </c>
      <c r="F63" s="258">
        <v>80</v>
      </c>
    </row>
    <row r="64" s="233" customFormat="1" ht="36" spans="1:6">
      <c r="A64" s="258">
        <v>4</v>
      </c>
      <c r="B64" s="258"/>
      <c r="C64" s="249" t="s">
        <v>2081</v>
      </c>
      <c r="D64" s="249" t="s">
        <v>2082</v>
      </c>
      <c r="E64" s="270">
        <v>0.4</v>
      </c>
      <c r="F64" s="258">
        <v>60</v>
      </c>
    </row>
    <row r="65" s="233" customFormat="1" ht="36" spans="1:6">
      <c r="A65" s="258">
        <v>5</v>
      </c>
      <c r="B65" s="258"/>
      <c r="C65" s="249" t="s">
        <v>2083</v>
      </c>
      <c r="D65" s="249" t="s">
        <v>2084</v>
      </c>
      <c r="E65" s="270">
        <v>0.2</v>
      </c>
      <c r="F65" s="258">
        <v>30</v>
      </c>
    </row>
    <row r="66" s="233" customFormat="1" ht="36" spans="1:6">
      <c r="A66" s="258">
        <v>6</v>
      </c>
      <c r="B66" s="258"/>
      <c r="C66" s="249" t="s">
        <v>2085</v>
      </c>
      <c r="D66" s="249" t="s">
        <v>2086</v>
      </c>
      <c r="E66" s="270">
        <v>0.3</v>
      </c>
      <c r="F66" s="258">
        <v>50</v>
      </c>
    </row>
    <row r="67" s="233" customFormat="1" ht="36" spans="1:6">
      <c r="A67" s="258">
        <v>7</v>
      </c>
      <c r="B67" s="258"/>
      <c r="C67" s="249" t="s">
        <v>2087</v>
      </c>
      <c r="D67" s="249" t="s">
        <v>2088</v>
      </c>
      <c r="E67" s="270">
        <v>0.2</v>
      </c>
      <c r="F67" s="258">
        <v>30</v>
      </c>
    </row>
    <row r="68" s="233" customFormat="1" ht="36" spans="1:6">
      <c r="A68" s="258">
        <v>8</v>
      </c>
      <c r="B68" s="258"/>
      <c r="C68" s="249" t="s">
        <v>2089</v>
      </c>
      <c r="D68" s="249" t="s">
        <v>2090</v>
      </c>
      <c r="E68" s="270">
        <v>0.2</v>
      </c>
      <c r="F68" s="258">
        <v>30</v>
      </c>
    </row>
    <row r="69" s="233" customFormat="1" ht="36" spans="1:6">
      <c r="A69" s="258">
        <v>9</v>
      </c>
      <c r="B69" s="258"/>
      <c r="C69" s="249" t="s">
        <v>2091</v>
      </c>
      <c r="D69" s="249" t="s">
        <v>2092</v>
      </c>
      <c r="E69" s="270">
        <v>0.2</v>
      </c>
      <c r="F69" s="258">
        <v>30</v>
      </c>
    </row>
    <row r="70" s="233" customFormat="1" ht="48" spans="1:6">
      <c r="A70" s="258">
        <v>10</v>
      </c>
      <c r="B70" s="258"/>
      <c r="C70" s="249" t="s">
        <v>2093</v>
      </c>
      <c r="D70" s="249" t="s">
        <v>2094</v>
      </c>
      <c r="E70" s="270">
        <v>0.2</v>
      </c>
      <c r="F70" s="258">
        <v>30</v>
      </c>
    </row>
    <row r="71" s="233" customFormat="1" ht="48" spans="1:6">
      <c r="A71" s="258">
        <v>11</v>
      </c>
      <c r="B71" s="258"/>
      <c r="C71" s="249" t="s">
        <v>2095</v>
      </c>
      <c r="D71" s="249" t="s">
        <v>2096</v>
      </c>
      <c r="E71" s="270">
        <v>0.2</v>
      </c>
      <c r="F71" s="258">
        <v>30</v>
      </c>
    </row>
    <row r="72" s="233" customFormat="1" ht="36" spans="1:6">
      <c r="A72" s="258">
        <v>12</v>
      </c>
      <c r="B72" s="258"/>
      <c r="C72" s="249" t="s">
        <v>2097</v>
      </c>
      <c r="D72" s="249" t="s">
        <v>2098</v>
      </c>
      <c r="E72" s="270">
        <v>0.5</v>
      </c>
      <c r="F72" s="258">
        <v>80</v>
      </c>
    </row>
    <row r="73" s="233" customFormat="1" ht="36" spans="1:6">
      <c r="A73" s="258">
        <v>13</v>
      </c>
      <c r="B73" s="258"/>
      <c r="C73" s="249" t="s">
        <v>2099</v>
      </c>
      <c r="D73" s="249" t="s">
        <v>2100</v>
      </c>
      <c r="E73" s="270">
        <v>0.4</v>
      </c>
      <c r="F73" s="258">
        <v>60</v>
      </c>
    </row>
    <row r="74" s="233" customFormat="1" ht="36" spans="1:6">
      <c r="A74" s="258">
        <v>14</v>
      </c>
      <c r="B74" s="258"/>
      <c r="C74" s="249" t="s">
        <v>2101</v>
      </c>
      <c r="D74" s="249" t="s">
        <v>2102</v>
      </c>
      <c r="E74" s="270">
        <v>0.2</v>
      </c>
      <c r="F74" s="258">
        <v>30</v>
      </c>
    </row>
    <row r="75" s="233" customFormat="1" ht="36" spans="1:6">
      <c r="A75" s="258">
        <v>15</v>
      </c>
      <c r="B75" s="258"/>
      <c r="C75" s="249" t="s">
        <v>2103</v>
      </c>
      <c r="D75" s="249" t="s">
        <v>2104</v>
      </c>
      <c r="E75" s="270">
        <v>0.2</v>
      </c>
      <c r="F75" s="258">
        <v>30</v>
      </c>
    </row>
    <row r="76" s="233" customFormat="1" ht="24" spans="1:6">
      <c r="A76" s="258">
        <v>16</v>
      </c>
      <c r="B76" s="258" t="s">
        <v>2105</v>
      </c>
      <c r="C76" s="249" t="s">
        <v>2106</v>
      </c>
      <c r="D76" s="249" t="s">
        <v>2107</v>
      </c>
      <c r="E76" s="270">
        <v>0.5</v>
      </c>
      <c r="F76" s="258">
        <v>80</v>
      </c>
    </row>
    <row r="77" s="233" customFormat="1" ht="24" spans="1:6">
      <c r="A77" s="258">
        <v>17</v>
      </c>
      <c r="B77" s="258"/>
      <c r="C77" s="249" t="s">
        <v>2108</v>
      </c>
      <c r="D77" s="249" t="s">
        <v>2109</v>
      </c>
      <c r="E77" s="270">
        <v>0.5</v>
      </c>
      <c r="F77" s="258">
        <v>80</v>
      </c>
    </row>
    <row r="78" s="233" customFormat="1" ht="36" spans="1:6">
      <c r="A78" s="258">
        <v>18</v>
      </c>
      <c r="B78" s="258"/>
      <c r="C78" s="249" t="s">
        <v>2110</v>
      </c>
      <c r="D78" s="249" t="s">
        <v>2111</v>
      </c>
      <c r="E78" s="270">
        <v>0.2</v>
      </c>
      <c r="F78" s="258">
        <v>30</v>
      </c>
    </row>
    <row r="79" s="233" customFormat="1" ht="24" spans="1:6">
      <c r="A79" s="258">
        <v>19</v>
      </c>
      <c r="B79" s="258"/>
      <c r="C79" s="249" t="s">
        <v>2112</v>
      </c>
      <c r="D79" s="249" t="s">
        <v>2113</v>
      </c>
      <c r="E79" s="270">
        <v>0.5</v>
      </c>
      <c r="F79" s="258">
        <v>80</v>
      </c>
    </row>
    <row r="80" s="233" customFormat="1" ht="36" spans="1:6">
      <c r="A80" s="258">
        <v>20</v>
      </c>
      <c r="B80" s="258"/>
      <c r="C80" s="249" t="s">
        <v>2114</v>
      </c>
      <c r="D80" s="249" t="s">
        <v>2115</v>
      </c>
      <c r="E80" s="270">
        <v>0.2</v>
      </c>
      <c r="F80" s="258">
        <v>30</v>
      </c>
    </row>
    <row r="81" s="233" customFormat="1" ht="36" spans="1:6">
      <c r="A81" s="258">
        <v>21</v>
      </c>
      <c r="B81" s="258"/>
      <c r="C81" s="249" t="s">
        <v>2116</v>
      </c>
      <c r="D81" s="249" t="s">
        <v>2117</v>
      </c>
      <c r="E81" s="270">
        <v>0.2</v>
      </c>
      <c r="F81" s="258">
        <v>30</v>
      </c>
    </row>
    <row r="82" s="233" customFormat="1" ht="48" spans="1:6">
      <c r="A82" s="258">
        <v>22</v>
      </c>
      <c r="B82" s="258"/>
      <c r="C82" s="249" t="s">
        <v>2118</v>
      </c>
      <c r="D82" s="249" t="s">
        <v>2119</v>
      </c>
      <c r="E82" s="270">
        <v>0.2</v>
      </c>
      <c r="F82" s="258">
        <v>30</v>
      </c>
    </row>
    <row r="83" s="233" customFormat="1" ht="48" spans="1:6">
      <c r="A83" s="258">
        <v>23</v>
      </c>
      <c r="B83" s="258"/>
      <c r="C83" s="249" t="s">
        <v>2120</v>
      </c>
      <c r="D83" s="249" t="s">
        <v>2121</v>
      </c>
      <c r="E83" s="270">
        <v>0.2</v>
      </c>
      <c r="F83" s="258">
        <v>30</v>
      </c>
    </row>
    <row r="84" s="233" customFormat="1" ht="36" spans="1:6">
      <c r="A84" s="258">
        <v>24</v>
      </c>
      <c r="B84" s="258"/>
      <c r="C84" s="249" t="s">
        <v>2122</v>
      </c>
      <c r="D84" s="249" t="s">
        <v>2123</v>
      </c>
      <c r="E84" s="270">
        <v>0.2</v>
      </c>
      <c r="F84" s="258">
        <v>30</v>
      </c>
    </row>
    <row r="85" s="233" customFormat="1" ht="36" spans="1:6">
      <c r="A85" s="258">
        <v>25</v>
      </c>
      <c r="B85" s="258"/>
      <c r="C85" s="249" t="s">
        <v>2124</v>
      </c>
      <c r="D85" s="249" t="s">
        <v>2125</v>
      </c>
      <c r="E85" s="270">
        <v>0.5</v>
      </c>
      <c r="F85" s="258">
        <v>80</v>
      </c>
    </row>
    <row r="86" s="233" customFormat="1" ht="36" spans="1:6">
      <c r="A86" s="258">
        <v>26</v>
      </c>
      <c r="B86" s="258"/>
      <c r="C86" s="249" t="s">
        <v>2126</v>
      </c>
      <c r="D86" s="249" t="s">
        <v>2127</v>
      </c>
      <c r="E86" s="270">
        <v>0.2</v>
      </c>
      <c r="F86" s="258">
        <v>30</v>
      </c>
    </row>
    <row r="87" s="233" customFormat="1" ht="36" spans="1:6">
      <c r="A87" s="258">
        <v>27</v>
      </c>
      <c r="B87" s="258"/>
      <c r="C87" s="249" t="s">
        <v>2128</v>
      </c>
      <c r="D87" s="249" t="s">
        <v>2129</v>
      </c>
      <c r="E87" s="270">
        <v>0.2</v>
      </c>
      <c r="F87" s="258">
        <v>30</v>
      </c>
    </row>
    <row r="88" s="233" customFormat="1" ht="36" spans="1:6">
      <c r="A88" s="258">
        <v>28</v>
      </c>
      <c r="B88" s="258"/>
      <c r="C88" s="249" t="s">
        <v>2130</v>
      </c>
      <c r="D88" s="249" t="s">
        <v>2131</v>
      </c>
      <c r="E88" s="270">
        <v>0.2</v>
      </c>
      <c r="F88" s="258">
        <v>30</v>
      </c>
    </row>
    <row r="89" s="233" customFormat="1" ht="36" spans="1:6">
      <c r="A89" s="258">
        <v>29</v>
      </c>
      <c r="B89" s="258"/>
      <c r="C89" s="249" t="s">
        <v>2132</v>
      </c>
      <c r="D89" s="249" t="s">
        <v>2133</v>
      </c>
      <c r="E89" s="270">
        <v>0.2</v>
      </c>
      <c r="F89" s="258">
        <v>30</v>
      </c>
    </row>
    <row r="90" s="233" customFormat="1" ht="36" spans="1:6">
      <c r="A90" s="258">
        <v>30</v>
      </c>
      <c r="B90" s="258"/>
      <c r="C90" s="249" t="s">
        <v>2134</v>
      </c>
      <c r="D90" s="249" t="s">
        <v>2135</v>
      </c>
      <c r="E90" s="270">
        <v>0.2</v>
      </c>
      <c r="F90" s="258">
        <v>30</v>
      </c>
    </row>
    <row r="91" s="233" customFormat="1" ht="36" spans="1:6">
      <c r="A91" s="258">
        <v>31</v>
      </c>
      <c r="B91" s="258"/>
      <c r="C91" s="249" t="s">
        <v>2136</v>
      </c>
      <c r="D91" s="249" t="s">
        <v>2137</v>
      </c>
      <c r="E91" s="270">
        <v>0.2</v>
      </c>
      <c r="F91" s="258">
        <v>30</v>
      </c>
    </row>
    <row r="92" s="233" customFormat="1" ht="36" spans="1:6">
      <c r="A92" s="258">
        <v>32</v>
      </c>
      <c r="B92" s="258" t="s">
        <v>2138</v>
      </c>
      <c r="C92" s="258" t="s">
        <v>2139</v>
      </c>
      <c r="D92" s="249" t="s">
        <v>2140</v>
      </c>
      <c r="E92" s="270">
        <v>0.2</v>
      </c>
      <c r="F92" s="258">
        <v>30</v>
      </c>
    </row>
    <row r="93" s="233" customFormat="1" ht="36" spans="1:6">
      <c r="A93" s="258">
        <v>33</v>
      </c>
      <c r="B93" s="258"/>
      <c r="C93" s="258" t="s">
        <v>2141</v>
      </c>
      <c r="D93" s="249" t="s">
        <v>2142</v>
      </c>
      <c r="E93" s="270">
        <v>0.2</v>
      </c>
      <c r="F93" s="258">
        <v>30</v>
      </c>
    </row>
    <row r="94" s="233" customFormat="1" ht="48" spans="1:6">
      <c r="A94" s="258">
        <v>34</v>
      </c>
      <c r="B94" s="258"/>
      <c r="C94" s="258" t="s">
        <v>2143</v>
      </c>
      <c r="D94" s="249" t="s">
        <v>2144</v>
      </c>
      <c r="E94" s="270">
        <v>0.2</v>
      </c>
      <c r="F94" s="258">
        <v>30</v>
      </c>
    </row>
    <row r="95" s="233" customFormat="1" ht="36" spans="1:6">
      <c r="A95" s="258">
        <v>35</v>
      </c>
      <c r="B95" s="258"/>
      <c r="C95" s="258" t="s">
        <v>2145</v>
      </c>
      <c r="D95" s="249" t="s">
        <v>2146</v>
      </c>
      <c r="E95" s="270">
        <v>0.2</v>
      </c>
      <c r="F95" s="258">
        <v>30</v>
      </c>
    </row>
    <row r="96" s="233" customFormat="1" ht="48" spans="1:6">
      <c r="A96" s="258">
        <v>36</v>
      </c>
      <c r="B96" s="258"/>
      <c r="C96" s="249" t="s">
        <v>2147</v>
      </c>
      <c r="D96" s="249" t="s">
        <v>2148</v>
      </c>
      <c r="E96" s="270">
        <v>0.2</v>
      </c>
      <c r="F96" s="258">
        <v>30</v>
      </c>
    </row>
    <row r="97" s="233" customFormat="1" ht="36" spans="1:6">
      <c r="A97" s="258">
        <v>37</v>
      </c>
      <c r="B97" s="258"/>
      <c r="C97" s="258" t="s">
        <v>2149</v>
      </c>
      <c r="D97" s="249" t="s">
        <v>2150</v>
      </c>
      <c r="E97" s="270">
        <v>0.2</v>
      </c>
      <c r="F97" s="258">
        <v>30</v>
      </c>
    </row>
    <row r="98" s="233" customFormat="1" ht="36" spans="1:6">
      <c r="A98" s="258">
        <v>38</v>
      </c>
      <c r="B98" s="258"/>
      <c r="C98" s="258" t="s">
        <v>2151</v>
      </c>
      <c r="D98" s="249" t="s">
        <v>2152</v>
      </c>
      <c r="E98" s="270">
        <v>0.2</v>
      </c>
      <c r="F98" s="258">
        <v>30</v>
      </c>
    </row>
    <row r="99" s="233" customFormat="1" ht="36" spans="1:6">
      <c r="A99" s="258">
        <v>39</v>
      </c>
      <c r="B99" s="258" t="s">
        <v>2153</v>
      </c>
      <c r="C99" s="258" t="s">
        <v>2154</v>
      </c>
      <c r="D99" s="249" t="s">
        <v>2155</v>
      </c>
      <c r="E99" s="270">
        <v>0.3</v>
      </c>
      <c r="F99" s="258">
        <v>50</v>
      </c>
    </row>
    <row r="100" s="233" customFormat="1" ht="36" spans="1:6">
      <c r="A100" s="258">
        <v>40</v>
      </c>
      <c r="B100" s="258"/>
      <c r="C100" s="258" t="s">
        <v>2156</v>
      </c>
      <c r="D100" s="249" t="s">
        <v>2157</v>
      </c>
      <c r="E100" s="270">
        <v>0.2</v>
      </c>
      <c r="F100" s="258">
        <v>30</v>
      </c>
    </row>
    <row r="101" s="233" customFormat="1" ht="36" spans="1:6">
      <c r="A101" s="258">
        <v>41</v>
      </c>
      <c r="B101" s="258"/>
      <c r="C101" s="258" t="s">
        <v>2158</v>
      </c>
      <c r="D101" s="249" t="s">
        <v>2155</v>
      </c>
      <c r="E101" s="270">
        <v>0.2</v>
      </c>
      <c r="F101" s="258">
        <v>30</v>
      </c>
    </row>
    <row r="102" s="233" customFormat="1" ht="48" spans="1:6">
      <c r="A102" s="258">
        <v>42</v>
      </c>
      <c r="B102" s="258" t="s">
        <v>2159</v>
      </c>
      <c r="C102" s="249" t="s">
        <v>2160</v>
      </c>
      <c r="D102" s="249" t="s">
        <v>2161</v>
      </c>
      <c r="E102" s="270">
        <v>0.2</v>
      </c>
      <c r="F102" s="258">
        <v>30</v>
      </c>
    </row>
    <row r="103" s="233" customFormat="1" ht="36" spans="1:6">
      <c r="A103" s="258">
        <v>43</v>
      </c>
      <c r="B103" s="258" t="s">
        <v>2162</v>
      </c>
      <c r="C103" s="258" t="s">
        <v>2163</v>
      </c>
      <c r="D103" s="249" t="s">
        <v>2164</v>
      </c>
      <c r="E103" s="270">
        <v>0.2</v>
      </c>
      <c r="F103" s="258">
        <v>30</v>
      </c>
    </row>
    <row r="104" s="233" customFormat="1" ht="36" spans="1:6">
      <c r="A104" s="258">
        <v>44</v>
      </c>
      <c r="B104" s="258" t="s">
        <v>2165</v>
      </c>
      <c r="C104" s="258" t="s">
        <v>2166</v>
      </c>
      <c r="D104" s="249" t="s">
        <v>2167</v>
      </c>
      <c r="E104" s="270">
        <v>0.2</v>
      </c>
      <c r="F104" s="258">
        <v>30</v>
      </c>
    </row>
    <row r="105" s="233" customFormat="1" ht="36" spans="1:6">
      <c r="A105" s="258">
        <v>45</v>
      </c>
      <c r="B105" s="258" t="s">
        <v>2168</v>
      </c>
      <c r="C105" s="258" t="s">
        <v>2169</v>
      </c>
      <c r="D105" s="249" t="s">
        <v>2170</v>
      </c>
      <c r="E105" s="270">
        <v>0.2</v>
      </c>
      <c r="F105" s="258">
        <v>30</v>
      </c>
    </row>
    <row r="106" s="233" customFormat="1" ht="36" spans="1:6">
      <c r="A106" s="258">
        <v>46</v>
      </c>
      <c r="B106" s="258"/>
      <c r="C106" s="258" t="s">
        <v>2171</v>
      </c>
      <c r="D106" s="249" t="s">
        <v>2172</v>
      </c>
      <c r="E106" s="270">
        <v>0.2</v>
      </c>
      <c r="F106" s="258">
        <v>30</v>
      </c>
    </row>
    <row r="107" s="233" customFormat="1" ht="36" spans="1:6">
      <c r="A107" s="258">
        <v>47</v>
      </c>
      <c r="B107" s="258" t="s">
        <v>2173</v>
      </c>
      <c r="C107" s="258" t="s">
        <v>2174</v>
      </c>
      <c r="D107" s="249" t="s">
        <v>2175</v>
      </c>
      <c r="E107" s="270">
        <v>0.3</v>
      </c>
      <c r="F107" s="258">
        <v>50</v>
      </c>
    </row>
    <row r="108" s="233" customFormat="1" ht="36" spans="1:6">
      <c r="A108" s="258">
        <v>48</v>
      </c>
      <c r="B108" s="258"/>
      <c r="C108" s="258" t="s">
        <v>2176</v>
      </c>
      <c r="D108" s="249" t="s">
        <v>2177</v>
      </c>
      <c r="E108" s="270">
        <v>0.2</v>
      </c>
      <c r="F108" s="258">
        <v>30</v>
      </c>
    </row>
    <row r="109" s="233" customFormat="1" ht="36" spans="1:6">
      <c r="A109" s="258">
        <v>49</v>
      </c>
      <c r="B109" s="258" t="s">
        <v>2178</v>
      </c>
      <c r="C109" s="258" t="s">
        <v>2179</v>
      </c>
      <c r="D109" s="249" t="s">
        <v>2180</v>
      </c>
      <c r="E109" s="270">
        <v>0.2</v>
      </c>
      <c r="F109" s="258">
        <v>30</v>
      </c>
    </row>
    <row r="110" s="233" customFormat="1" ht="36" spans="1:6">
      <c r="A110" s="258">
        <v>50</v>
      </c>
      <c r="B110" s="258" t="s">
        <v>2181</v>
      </c>
      <c r="C110" s="258" t="s">
        <v>2182</v>
      </c>
      <c r="D110" s="249" t="s">
        <v>2183</v>
      </c>
      <c r="E110" s="270">
        <v>0.2</v>
      </c>
      <c r="F110" s="258">
        <v>30</v>
      </c>
    </row>
    <row r="111" s="233" customFormat="1" ht="36" spans="1:6">
      <c r="A111" s="258">
        <v>51</v>
      </c>
      <c r="B111" s="258" t="s">
        <v>2184</v>
      </c>
      <c r="C111" s="258" t="s">
        <v>2185</v>
      </c>
      <c r="D111" s="249" t="s">
        <v>2186</v>
      </c>
      <c r="E111" s="270">
        <v>0.2</v>
      </c>
      <c r="F111" s="258">
        <v>30</v>
      </c>
    </row>
    <row r="112" s="233" customFormat="1" ht="36" spans="1:6">
      <c r="A112" s="258">
        <v>52</v>
      </c>
      <c r="B112" s="258"/>
      <c r="C112" s="258" t="s">
        <v>2187</v>
      </c>
      <c r="D112" s="249" t="s">
        <v>2188</v>
      </c>
      <c r="E112" s="270">
        <v>0.2</v>
      </c>
      <c r="F112" s="258">
        <v>30</v>
      </c>
    </row>
    <row r="113" s="233" customFormat="1" ht="36" spans="1:6">
      <c r="A113" s="258">
        <v>53</v>
      </c>
      <c r="B113" s="258"/>
      <c r="C113" s="258" t="s">
        <v>2189</v>
      </c>
      <c r="D113" s="249" t="s">
        <v>2190</v>
      </c>
      <c r="E113" s="270">
        <v>0.2</v>
      </c>
      <c r="F113" s="258">
        <v>30</v>
      </c>
    </row>
    <row r="114" ht="36" spans="1:6">
      <c r="A114" s="258">
        <v>54</v>
      </c>
      <c r="B114" s="258" t="s">
        <v>2191</v>
      </c>
      <c r="C114" s="258" t="s">
        <v>2192</v>
      </c>
      <c r="D114" s="249" t="s">
        <v>2193</v>
      </c>
      <c r="E114" s="270">
        <v>0.2</v>
      </c>
      <c r="F114" s="258">
        <v>30</v>
      </c>
    </row>
    <row r="115" ht="36" spans="1:6">
      <c r="A115" s="258">
        <v>55</v>
      </c>
      <c r="B115" s="258" t="s">
        <v>2194</v>
      </c>
      <c r="C115" s="258" t="s">
        <v>2195</v>
      </c>
      <c r="D115" s="249" t="s">
        <v>2196</v>
      </c>
      <c r="E115" s="270">
        <v>0.2</v>
      </c>
      <c r="F115" s="258">
        <v>30</v>
      </c>
    </row>
    <row r="116" ht="36" spans="1:6">
      <c r="A116" s="258">
        <v>56</v>
      </c>
      <c r="B116" s="258" t="s">
        <v>2197</v>
      </c>
      <c r="C116" s="258" t="s">
        <v>2198</v>
      </c>
      <c r="D116" s="249" t="s">
        <v>2199</v>
      </c>
      <c r="E116" s="270">
        <v>0.2</v>
      </c>
      <c r="F116" s="258">
        <v>30</v>
      </c>
    </row>
    <row r="117" ht="36" spans="1:6">
      <c r="A117" s="258">
        <v>57</v>
      </c>
      <c r="B117" s="258"/>
      <c r="C117" s="258" t="s">
        <v>2200</v>
      </c>
      <c r="D117" s="249" t="s">
        <v>2201</v>
      </c>
      <c r="E117" s="270">
        <v>0.2</v>
      </c>
      <c r="F117" s="258">
        <v>30</v>
      </c>
    </row>
    <row r="118" ht="36" spans="1:6">
      <c r="A118" s="258">
        <v>58</v>
      </c>
      <c r="B118" s="258" t="s">
        <v>2202</v>
      </c>
      <c r="C118" s="258" t="s">
        <v>2203</v>
      </c>
      <c r="D118" s="249" t="s">
        <v>2204</v>
      </c>
      <c r="E118" s="270">
        <v>0.2</v>
      </c>
      <c r="F118" s="258">
        <v>30</v>
      </c>
    </row>
    <row r="119" ht="13.5" spans="1:6">
      <c r="A119" s="258"/>
      <c r="B119" s="258"/>
      <c r="C119" s="258" t="s">
        <v>1447</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2205</v>
      </c>
      <c r="B1" s="224"/>
      <c r="C1" s="224"/>
      <c r="D1" s="224"/>
      <c r="E1" s="224"/>
      <c r="F1" s="224"/>
      <c r="G1" s="224"/>
      <c r="H1" s="224"/>
      <c r="I1" s="224"/>
      <c r="J1" s="224"/>
      <c r="K1" s="224"/>
      <c r="L1" s="224"/>
      <c r="M1" s="224"/>
      <c r="N1" s="224"/>
    </row>
    <row r="2" spans="1:13">
      <c r="A2" s="225" t="s">
        <v>2206</v>
      </c>
      <c r="B2" s="226" t="s">
        <v>355</v>
      </c>
      <c r="C2" s="226" t="s">
        <v>1623</v>
      </c>
      <c r="D2" s="226" t="s">
        <v>1643</v>
      </c>
      <c r="E2" s="226" t="s">
        <v>1664</v>
      </c>
      <c r="F2" s="226" t="s">
        <v>1692</v>
      </c>
      <c r="G2" s="226" t="s">
        <v>1727</v>
      </c>
      <c r="H2" s="227" t="s">
        <v>1776</v>
      </c>
      <c r="I2" s="227" t="s">
        <v>1825</v>
      </c>
      <c r="J2" s="230" t="s">
        <v>1865</v>
      </c>
      <c r="K2" s="230" t="s">
        <v>1911</v>
      </c>
      <c r="L2" s="230" t="s">
        <v>1939</v>
      </c>
      <c r="M2" s="230" t="s">
        <v>1961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2207</v>
      </c>
      <c r="B103" s="224"/>
      <c r="C103" s="224"/>
      <c r="D103" s="224"/>
      <c r="E103" s="224"/>
      <c r="F103" s="224"/>
      <c r="G103" s="224"/>
      <c r="H103" s="224"/>
      <c r="I103" s="224"/>
      <c r="J103" s="224"/>
      <c r="K103" s="224"/>
      <c r="L103" s="224"/>
      <c r="M103" s="224"/>
      <c r="N103" s="224"/>
    </row>
    <row r="104" ht="14.25" spans="1:14">
      <c r="A104" s="225" t="s">
        <v>2206</v>
      </c>
      <c r="B104" s="226" t="s">
        <v>355</v>
      </c>
      <c r="C104" s="226" t="s">
        <v>1623</v>
      </c>
      <c r="D104" s="226" t="s">
        <v>1643</v>
      </c>
      <c r="E104" s="226" t="s">
        <v>1664</v>
      </c>
      <c r="F104" s="226" t="s">
        <v>1692</v>
      </c>
      <c r="G104" s="226" t="s">
        <v>1727</v>
      </c>
      <c r="H104" s="227" t="s">
        <v>1776</v>
      </c>
      <c r="I104" s="227" t="s">
        <v>1825</v>
      </c>
      <c r="J104" s="230" t="s">
        <v>1865</v>
      </c>
      <c r="K104" s="230" t="s">
        <v>1911</v>
      </c>
      <c r="L104" s="230" t="s">
        <v>1939</v>
      </c>
      <c r="M104" s="230" t="s">
        <v>1961</v>
      </c>
      <c r="N104" s="224">
        <f>SUMPRODUCT((A105:A204=ROUNDDOWN(基准地价修正!G3,1))*(B104:M104=基准地价修正!G2)*(B105:M204))</f>
        <v>1</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2208</v>
      </c>
      <c r="B205" s="224"/>
      <c r="C205" s="224"/>
      <c r="D205" s="224"/>
      <c r="E205" s="224"/>
      <c r="F205" s="224"/>
      <c r="G205" s="224"/>
      <c r="H205" s="224"/>
      <c r="I205" s="224"/>
      <c r="J205" s="224"/>
      <c r="K205" s="224"/>
      <c r="L205" s="224"/>
      <c r="M205" s="224"/>
    </row>
    <row r="206" spans="1:13">
      <c r="A206" s="225" t="s">
        <v>2206</v>
      </c>
      <c r="B206" s="226" t="s">
        <v>355</v>
      </c>
      <c r="C206" s="226" t="s">
        <v>1623</v>
      </c>
      <c r="D206" s="226" t="s">
        <v>1643</v>
      </c>
      <c r="E206" s="226" t="s">
        <v>1664</v>
      </c>
      <c r="F206" s="226" t="s">
        <v>1692</v>
      </c>
      <c r="G206" s="226" t="s">
        <v>1727</v>
      </c>
      <c r="H206" s="227" t="s">
        <v>1776</v>
      </c>
      <c r="I206" s="227" t="s">
        <v>1825</v>
      </c>
      <c r="J206" s="230" t="s">
        <v>1865</v>
      </c>
      <c r="K206" s="230" t="s">
        <v>1911</v>
      </c>
      <c r="L206" s="230" t="s">
        <v>1939</v>
      </c>
      <c r="M206" s="230" t="s">
        <v>1961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2209</v>
      </c>
      <c r="B307" s="224"/>
      <c r="C307" s="224"/>
      <c r="D307" s="224"/>
      <c r="E307" s="224"/>
      <c r="F307" s="224"/>
      <c r="G307" s="224"/>
      <c r="H307" s="224"/>
      <c r="I307" s="224"/>
      <c r="J307" s="224"/>
      <c r="K307" s="224"/>
      <c r="L307" s="224"/>
      <c r="M307" s="224"/>
    </row>
    <row r="308" spans="1:13">
      <c r="A308" s="225" t="s">
        <v>2206</v>
      </c>
      <c r="B308" s="226" t="s">
        <v>355</v>
      </c>
      <c r="C308" s="226" t="s">
        <v>1623</v>
      </c>
      <c r="D308" s="226" t="s">
        <v>1643</v>
      </c>
      <c r="E308" s="226" t="s">
        <v>1664</v>
      </c>
      <c r="F308" s="226" t="s">
        <v>1692</v>
      </c>
      <c r="G308" s="226" t="s">
        <v>1727</v>
      </c>
      <c r="H308" s="227" t="s">
        <v>1776</v>
      </c>
      <c r="I308" s="227" t="s">
        <v>1825</v>
      </c>
      <c r="J308" s="230" t="s">
        <v>1865</v>
      </c>
      <c r="K308" s="230" t="s">
        <v>1911</v>
      </c>
      <c r="L308" s="230" t="s">
        <v>1939</v>
      </c>
      <c r="M308" s="230" t="s">
        <v>1961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J21" sqref="J21"/>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8333333333333" style="77" customWidth="1"/>
    <col min="19" max="19" width="7.13333333333333" style="78" customWidth="1"/>
    <col min="20" max="22" width="7.13333333333333" style="77" customWidth="1"/>
    <col min="23" max="23" width="23.8833333333333" style="77" customWidth="1"/>
    <col min="24" max="25" width="9" style="77"/>
    <col min="26" max="27" width="11.6333333333333" style="77" customWidth="1"/>
    <col min="28" max="28" width="9" style="77"/>
    <col min="29" max="29" width="2" style="77" customWidth="1"/>
    <col min="30" max="16384" width="9" style="77"/>
  </cols>
  <sheetData>
    <row r="1" s="68" customFormat="1" spans="2:34">
      <c r="B1" s="79" t="s">
        <v>2210</v>
      </c>
      <c r="C1" s="79"/>
      <c r="D1" s="79"/>
      <c r="E1" s="79"/>
      <c r="F1" s="79"/>
      <c r="G1" s="80" t="s">
        <v>2211</v>
      </c>
      <c r="H1" s="80"/>
      <c r="I1" s="80"/>
      <c r="J1" s="80"/>
      <c r="K1" s="80"/>
      <c r="L1" s="80"/>
      <c r="N1" s="80" t="s">
        <v>2212</v>
      </c>
      <c r="O1" s="80"/>
      <c r="P1" s="80"/>
      <c r="Q1" s="80"/>
      <c r="R1" s="80"/>
      <c r="S1" s="80" t="s">
        <v>2213</v>
      </c>
      <c r="T1" s="80"/>
      <c r="U1" s="80"/>
      <c r="V1" s="80"/>
      <c r="X1" s="161" t="s">
        <v>2214</v>
      </c>
      <c r="Y1" s="80"/>
      <c r="Z1" s="80"/>
      <c r="AA1" s="80"/>
      <c r="AB1" s="80"/>
      <c r="AD1" s="161" t="s">
        <v>2215</v>
      </c>
      <c r="AE1" s="80"/>
      <c r="AF1" s="80"/>
      <c r="AG1" s="80"/>
      <c r="AH1" s="80"/>
    </row>
    <row r="2" s="69" customFormat="1" ht="14.25" spans="2:34">
      <c r="B2" s="81" t="s">
        <v>2216</v>
      </c>
      <c r="C2" s="81" t="s">
        <v>2217</v>
      </c>
      <c r="D2" s="82" t="s">
        <v>353</v>
      </c>
      <c r="E2" s="82" t="s">
        <v>1615</v>
      </c>
      <c r="F2" s="81" t="s">
        <v>2218</v>
      </c>
      <c r="G2" s="83"/>
      <c r="H2" s="84"/>
      <c r="I2" s="81" t="s">
        <v>2216</v>
      </c>
      <c r="J2" s="82" t="s">
        <v>2219</v>
      </c>
      <c r="K2" s="82" t="s">
        <v>1615</v>
      </c>
      <c r="L2" s="81" t="s">
        <v>2218</v>
      </c>
      <c r="N2" s="81" t="s">
        <v>2216</v>
      </c>
      <c r="O2" s="82" t="s">
        <v>2219</v>
      </c>
      <c r="P2" s="82" t="s">
        <v>1615</v>
      </c>
      <c r="Q2" s="81" t="s">
        <v>2218</v>
      </c>
      <c r="R2" s="162"/>
      <c r="S2" s="81" t="s">
        <v>2216</v>
      </c>
      <c r="T2" s="82" t="s">
        <v>2219</v>
      </c>
      <c r="U2" s="82" t="s">
        <v>1615</v>
      </c>
      <c r="V2" s="81" t="s">
        <v>2218</v>
      </c>
      <c r="X2" s="81" t="s">
        <v>2216</v>
      </c>
      <c r="Y2" s="81" t="s">
        <v>2217</v>
      </c>
      <c r="Z2" s="82" t="s">
        <v>353</v>
      </c>
      <c r="AA2" s="82" t="s">
        <v>1615</v>
      </c>
      <c r="AB2" s="81" t="s">
        <v>2218</v>
      </c>
      <c r="AD2" s="81" t="s">
        <v>2216</v>
      </c>
      <c r="AE2" s="81" t="s">
        <v>2217</v>
      </c>
      <c r="AF2" s="82" t="s">
        <v>353</v>
      </c>
      <c r="AG2" s="82" t="s">
        <v>1615</v>
      </c>
      <c r="AH2" s="81" t="s">
        <v>2218</v>
      </c>
    </row>
    <row r="3" s="70" customFormat="1" ht="14.25" spans="1:34">
      <c r="A3" s="85" t="s">
        <v>2220</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2221</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2222</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2223</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2224</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2225</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2226</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2227</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2228</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2229</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2230</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2231</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2232</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2233</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2234</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2235</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2236</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2237</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2238</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2239</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2240</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2241</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2242</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2243</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2244</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2245</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2246</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2247</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2248</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2249</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2250</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2251</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2252</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2253</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2254</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2255</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2256</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2257</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2258</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2259</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2260</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2261</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2262</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2263</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2264</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2265</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2266</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2267</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2268</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2269</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2270</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2271</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2272</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2273</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2274</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2275</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2276</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2277</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2278</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2279</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2280</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2281</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2282</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2283</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2284</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2285</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2286</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2287</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2288</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2289</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2290</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2291</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2292</v>
      </c>
      <c r="G76" s="202"/>
      <c r="N76" s="202"/>
      <c r="S76" s="202"/>
    </row>
    <row r="77" s="76" customFormat="1" spans="1:19">
      <c r="A77" s="76" t="s">
        <v>2293</v>
      </c>
      <c r="G77" s="202"/>
      <c r="N77" s="202"/>
      <c r="S77" s="202"/>
    </row>
    <row r="78" s="76" customFormat="1" spans="1:22">
      <c r="A78" s="76" t="s">
        <v>2294</v>
      </c>
      <c r="G78" s="202"/>
      <c r="I78" s="209"/>
      <c r="J78" s="209"/>
      <c r="K78" s="209"/>
      <c r="L78" s="209"/>
      <c r="N78" s="210"/>
      <c r="O78" s="209"/>
      <c r="P78" s="209"/>
      <c r="Q78" s="209"/>
      <c r="S78" s="210"/>
      <c r="T78" s="209"/>
      <c r="U78" s="209"/>
      <c r="V78" s="209"/>
    </row>
    <row r="79" s="76" customFormat="1" spans="1:19">
      <c r="A79" s="76" t="s">
        <v>2295</v>
      </c>
      <c r="G79" s="202"/>
      <c r="N79" s="202"/>
      <c r="S79" s="202"/>
    </row>
    <row r="86" ht="13.5"/>
    <row r="87" spans="7:22">
      <c r="G87" s="77"/>
      <c r="S87" s="213" t="s">
        <v>2296</v>
      </c>
      <c r="T87" s="214" t="s">
        <v>2297</v>
      </c>
      <c r="U87" s="214" t="s">
        <v>2298</v>
      </c>
      <c r="V87" s="214" t="s">
        <v>2299</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5" style="3" customWidth="1"/>
    <col min="3" max="3" width="15.6333333333333" style="3" customWidth="1"/>
    <col min="4" max="4" width="9.38333333333333" style="3" customWidth="1"/>
    <col min="5" max="5" width="13.5" style="3" customWidth="1"/>
    <col min="6" max="6" width="9" style="3"/>
    <col min="7" max="7" width="9.38333333333333" style="3" customWidth="1"/>
    <col min="8" max="8" width="11.5" style="3" customWidth="1"/>
    <col min="9" max="9" width="9" style="3"/>
    <col min="10" max="10" width="9.38333333333333" style="3" customWidth="1"/>
    <col min="11" max="11" width="4" style="2" customWidth="1"/>
    <col min="12" max="12" width="5.13333333333333" style="3" customWidth="1"/>
    <col min="13" max="13" width="13.75" style="3" customWidth="1"/>
    <col min="14" max="256" width="9" style="3"/>
    <col min="257" max="257" width="4.88333333333333" style="4" customWidth="1"/>
    <col min="258" max="258" width="13.25" style="4" customWidth="1"/>
    <col min="259" max="259" width="15.6333333333333" style="4" customWidth="1"/>
    <col min="260" max="260" width="9.38333333333333" style="4" customWidth="1"/>
    <col min="261" max="261" width="13.5" style="4" customWidth="1"/>
    <col min="262" max="262" width="9" style="4"/>
    <col min="263" max="263" width="9.38333333333333" style="4" customWidth="1"/>
    <col min="264" max="265" width="9" style="4"/>
    <col min="266" max="266" width="9.38333333333333" style="4" customWidth="1"/>
    <col min="267" max="267" width="4" style="4" customWidth="1"/>
    <col min="268" max="268" width="5.13333333333333" style="4" customWidth="1"/>
    <col min="269" max="269" width="13.75" style="4" customWidth="1"/>
    <col min="270" max="512" width="9" style="4"/>
    <col min="513" max="513" width="4.88333333333333" style="4" customWidth="1"/>
    <col min="514" max="514" width="13.25" style="4" customWidth="1"/>
    <col min="515" max="515" width="15.6333333333333" style="4" customWidth="1"/>
    <col min="516" max="516" width="9.38333333333333" style="4" customWidth="1"/>
    <col min="517" max="517" width="13.5" style="4" customWidth="1"/>
    <col min="518" max="518" width="9" style="4"/>
    <col min="519" max="519" width="9.38333333333333" style="4" customWidth="1"/>
    <col min="520" max="521" width="9" style="4"/>
    <col min="522" max="522" width="9.38333333333333" style="4" customWidth="1"/>
    <col min="523" max="523" width="4" style="4" customWidth="1"/>
    <col min="524" max="524" width="5.13333333333333" style="4" customWidth="1"/>
    <col min="525" max="525" width="13.75" style="4" customWidth="1"/>
    <col min="526" max="768" width="9" style="4"/>
    <col min="769" max="769" width="4.88333333333333" style="4" customWidth="1"/>
    <col min="770" max="770" width="13.25" style="4" customWidth="1"/>
    <col min="771" max="771" width="15.6333333333333" style="4" customWidth="1"/>
    <col min="772" max="772" width="9.38333333333333" style="4" customWidth="1"/>
    <col min="773" max="773" width="13.5" style="4" customWidth="1"/>
    <col min="774" max="774" width="9" style="4"/>
    <col min="775" max="775" width="9.38333333333333" style="4" customWidth="1"/>
    <col min="776" max="777" width="9" style="4"/>
    <col min="778" max="778" width="9.38333333333333" style="4" customWidth="1"/>
    <col min="779" max="779" width="4" style="4" customWidth="1"/>
    <col min="780" max="780" width="5.13333333333333" style="4" customWidth="1"/>
    <col min="781" max="781" width="13.75" style="4" customWidth="1"/>
    <col min="782" max="1024" width="9" style="4"/>
    <col min="1025" max="1025" width="4.88333333333333" style="4" customWidth="1"/>
    <col min="1026" max="1026" width="13.25" style="4" customWidth="1"/>
    <col min="1027" max="1027" width="15.6333333333333" style="4" customWidth="1"/>
    <col min="1028" max="1028" width="9.38333333333333" style="4" customWidth="1"/>
    <col min="1029" max="1029" width="13.5" style="4" customWidth="1"/>
    <col min="1030" max="1030" width="9" style="4"/>
    <col min="1031" max="1031" width="9.38333333333333" style="4" customWidth="1"/>
    <col min="1032" max="1033" width="9" style="4"/>
    <col min="1034" max="1034" width="9.38333333333333" style="4" customWidth="1"/>
    <col min="1035" max="1035" width="4" style="4" customWidth="1"/>
    <col min="1036" max="1036" width="5.13333333333333" style="4" customWidth="1"/>
    <col min="1037" max="1037" width="13.75" style="4" customWidth="1"/>
    <col min="1038" max="1280" width="9" style="4"/>
    <col min="1281" max="1281" width="4.88333333333333" style="4" customWidth="1"/>
    <col min="1282" max="1282" width="13.25" style="4" customWidth="1"/>
    <col min="1283" max="1283" width="15.6333333333333" style="4" customWidth="1"/>
    <col min="1284" max="1284" width="9.38333333333333" style="4" customWidth="1"/>
    <col min="1285" max="1285" width="13.5" style="4" customWidth="1"/>
    <col min="1286" max="1286" width="9" style="4"/>
    <col min="1287" max="1287" width="9.38333333333333" style="4" customWidth="1"/>
    <col min="1288" max="1289" width="9" style="4"/>
    <col min="1290" max="1290" width="9.38333333333333" style="4" customWidth="1"/>
    <col min="1291" max="1291" width="4" style="4" customWidth="1"/>
    <col min="1292" max="1292" width="5.13333333333333" style="4" customWidth="1"/>
    <col min="1293" max="1293" width="13.75" style="4" customWidth="1"/>
    <col min="1294" max="1536" width="9" style="4"/>
    <col min="1537" max="1537" width="4.88333333333333" style="4" customWidth="1"/>
    <col min="1538" max="1538" width="13.25" style="4" customWidth="1"/>
    <col min="1539" max="1539" width="15.6333333333333" style="4" customWidth="1"/>
    <col min="1540" max="1540" width="9.38333333333333" style="4" customWidth="1"/>
    <col min="1541" max="1541" width="13.5" style="4" customWidth="1"/>
    <col min="1542" max="1542" width="9" style="4"/>
    <col min="1543" max="1543" width="9.38333333333333" style="4" customWidth="1"/>
    <col min="1544" max="1545" width="9" style="4"/>
    <col min="1546" max="1546" width="9.38333333333333" style="4" customWidth="1"/>
    <col min="1547" max="1547" width="4" style="4" customWidth="1"/>
    <col min="1548" max="1548" width="5.13333333333333" style="4" customWidth="1"/>
    <col min="1549" max="1549" width="13.75" style="4" customWidth="1"/>
    <col min="1550" max="1792" width="9" style="4"/>
    <col min="1793" max="1793" width="4.88333333333333" style="4" customWidth="1"/>
    <col min="1794" max="1794" width="13.25" style="4" customWidth="1"/>
    <col min="1795" max="1795" width="15.6333333333333" style="4" customWidth="1"/>
    <col min="1796" max="1796" width="9.38333333333333" style="4" customWidth="1"/>
    <col min="1797" max="1797" width="13.5" style="4" customWidth="1"/>
    <col min="1798" max="1798" width="9" style="4"/>
    <col min="1799" max="1799" width="9.38333333333333" style="4" customWidth="1"/>
    <col min="1800" max="1801" width="9" style="4"/>
    <col min="1802" max="1802" width="9.38333333333333" style="4" customWidth="1"/>
    <col min="1803" max="1803" width="4" style="4" customWidth="1"/>
    <col min="1804" max="1804" width="5.13333333333333" style="4" customWidth="1"/>
    <col min="1805" max="1805" width="13.75" style="4" customWidth="1"/>
    <col min="1806" max="2048" width="9" style="4"/>
    <col min="2049" max="2049" width="4.88333333333333" style="4" customWidth="1"/>
    <col min="2050" max="2050" width="13.25" style="4" customWidth="1"/>
    <col min="2051" max="2051" width="15.6333333333333" style="4" customWidth="1"/>
    <col min="2052" max="2052" width="9.38333333333333" style="4" customWidth="1"/>
    <col min="2053" max="2053" width="13.5" style="4" customWidth="1"/>
    <col min="2054" max="2054" width="9" style="4"/>
    <col min="2055" max="2055" width="9.38333333333333" style="4" customWidth="1"/>
    <col min="2056" max="2057" width="9" style="4"/>
    <col min="2058" max="2058" width="9.38333333333333" style="4" customWidth="1"/>
    <col min="2059" max="2059" width="4" style="4" customWidth="1"/>
    <col min="2060" max="2060" width="5.13333333333333" style="4" customWidth="1"/>
    <col min="2061" max="2061" width="13.75" style="4" customWidth="1"/>
    <col min="2062" max="2304" width="9" style="4"/>
    <col min="2305" max="2305" width="4.88333333333333" style="4" customWidth="1"/>
    <col min="2306" max="2306" width="13.25" style="4" customWidth="1"/>
    <col min="2307" max="2307" width="15.6333333333333" style="4" customWidth="1"/>
    <col min="2308" max="2308" width="9.38333333333333" style="4" customWidth="1"/>
    <col min="2309" max="2309" width="13.5" style="4" customWidth="1"/>
    <col min="2310" max="2310" width="9" style="4"/>
    <col min="2311" max="2311" width="9.38333333333333" style="4" customWidth="1"/>
    <col min="2312" max="2313" width="9" style="4"/>
    <col min="2314" max="2314" width="9.38333333333333" style="4" customWidth="1"/>
    <col min="2315" max="2315" width="4" style="4" customWidth="1"/>
    <col min="2316" max="2316" width="5.13333333333333" style="4" customWidth="1"/>
    <col min="2317" max="2317" width="13.75" style="4" customWidth="1"/>
    <col min="2318" max="2560" width="9" style="4"/>
    <col min="2561" max="2561" width="4.88333333333333" style="4" customWidth="1"/>
    <col min="2562" max="2562" width="13.25" style="4" customWidth="1"/>
    <col min="2563" max="2563" width="15.6333333333333" style="4" customWidth="1"/>
    <col min="2564" max="2564" width="9.38333333333333" style="4" customWidth="1"/>
    <col min="2565" max="2565" width="13.5" style="4" customWidth="1"/>
    <col min="2566" max="2566" width="9" style="4"/>
    <col min="2567" max="2567" width="9.38333333333333" style="4" customWidth="1"/>
    <col min="2568" max="2569" width="9" style="4"/>
    <col min="2570" max="2570" width="9.38333333333333" style="4" customWidth="1"/>
    <col min="2571" max="2571" width="4" style="4" customWidth="1"/>
    <col min="2572" max="2572" width="5.13333333333333" style="4" customWidth="1"/>
    <col min="2573" max="2573" width="13.75" style="4" customWidth="1"/>
    <col min="2574" max="2816" width="9" style="4"/>
    <col min="2817" max="2817" width="4.88333333333333" style="4" customWidth="1"/>
    <col min="2818" max="2818" width="13.25" style="4" customWidth="1"/>
    <col min="2819" max="2819" width="15.6333333333333" style="4" customWidth="1"/>
    <col min="2820" max="2820" width="9.38333333333333" style="4" customWidth="1"/>
    <col min="2821" max="2821" width="13.5" style="4" customWidth="1"/>
    <col min="2822" max="2822" width="9" style="4"/>
    <col min="2823" max="2823" width="9.38333333333333" style="4" customWidth="1"/>
    <col min="2824" max="2825" width="9" style="4"/>
    <col min="2826" max="2826" width="9.38333333333333" style="4" customWidth="1"/>
    <col min="2827" max="2827" width="4" style="4" customWidth="1"/>
    <col min="2828" max="2828" width="5.13333333333333" style="4" customWidth="1"/>
    <col min="2829" max="2829" width="13.75" style="4" customWidth="1"/>
    <col min="2830" max="3072" width="9" style="4"/>
    <col min="3073" max="3073" width="4.88333333333333" style="4" customWidth="1"/>
    <col min="3074" max="3074" width="13.25" style="4" customWidth="1"/>
    <col min="3075" max="3075" width="15.6333333333333" style="4" customWidth="1"/>
    <col min="3076" max="3076" width="9.38333333333333" style="4" customWidth="1"/>
    <col min="3077" max="3077" width="13.5" style="4" customWidth="1"/>
    <col min="3078" max="3078" width="9" style="4"/>
    <col min="3079" max="3079" width="9.38333333333333" style="4" customWidth="1"/>
    <col min="3080" max="3081" width="9" style="4"/>
    <col min="3082" max="3082" width="9.38333333333333" style="4" customWidth="1"/>
    <col min="3083" max="3083" width="4" style="4" customWidth="1"/>
    <col min="3084" max="3084" width="5.13333333333333" style="4" customWidth="1"/>
    <col min="3085" max="3085" width="13.75" style="4" customWidth="1"/>
    <col min="3086" max="3328" width="9" style="4"/>
    <col min="3329" max="3329" width="4.88333333333333" style="4" customWidth="1"/>
    <col min="3330" max="3330" width="13.25" style="4" customWidth="1"/>
    <col min="3331" max="3331" width="15.6333333333333" style="4" customWidth="1"/>
    <col min="3332" max="3332" width="9.38333333333333" style="4" customWidth="1"/>
    <col min="3333" max="3333" width="13.5" style="4" customWidth="1"/>
    <col min="3334" max="3334" width="9" style="4"/>
    <col min="3335" max="3335" width="9.38333333333333" style="4" customWidth="1"/>
    <col min="3336" max="3337" width="9" style="4"/>
    <col min="3338" max="3338" width="9.38333333333333" style="4" customWidth="1"/>
    <col min="3339" max="3339" width="4" style="4" customWidth="1"/>
    <col min="3340" max="3340" width="5.13333333333333" style="4" customWidth="1"/>
    <col min="3341" max="3341" width="13.75" style="4" customWidth="1"/>
    <col min="3342" max="3584" width="9" style="4"/>
    <col min="3585" max="3585" width="4.88333333333333" style="4" customWidth="1"/>
    <col min="3586" max="3586" width="13.25" style="4" customWidth="1"/>
    <col min="3587" max="3587" width="15.6333333333333" style="4" customWidth="1"/>
    <col min="3588" max="3588" width="9.38333333333333" style="4" customWidth="1"/>
    <col min="3589" max="3589" width="13.5" style="4" customWidth="1"/>
    <col min="3590" max="3590" width="9" style="4"/>
    <col min="3591" max="3591" width="9.38333333333333" style="4" customWidth="1"/>
    <col min="3592" max="3593" width="9" style="4"/>
    <col min="3594" max="3594" width="9.38333333333333" style="4" customWidth="1"/>
    <col min="3595" max="3595" width="4" style="4" customWidth="1"/>
    <col min="3596" max="3596" width="5.13333333333333" style="4" customWidth="1"/>
    <col min="3597" max="3597" width="13.75" style="4" customWidth="1"/>
    <col min="3598" max="3840" width="9" style="4"/>
    <col min="3841" max="3841" width="4.88333333333333" style="4" customWidth="1"/>
    <col min="3842" max="3842" width="13.25" style="4" customWidth="1"/>
    <col min="3843" max="3843" width="15.6333333333333" style="4" customWidth="1"/>
    <col min="3844" max="3844" width="9.38333333333333" style="4" customWidth="1"/>
    <col min="3845" max="3845" width="13.5" style="4" customWidth="1"/>
    <col min="3846" max="3846" width="9" style="4"/>
    <col min="3847" max="3847" width="9.38333333333333" style="4" customWidth="1"/>
    <col min="3848" max="3849" width="9" style="4"/>
    <col min="3850" max="3850" width="9.38333333333333" style="4" customWidth="1"/>
    <col min="3851" max="3851" width="4" style="4" customWidth="1"/>
    <col min="3852" max="3852" width="5.13333333333333" style="4" customWidth="1"/>
    <col min="3853" max="3853" width="13.75" style="4" customWidth="1"/>
    <col min="3854" max="4096" width="9" style="4"/>
    <col min="4097" max="4097" width="4.88333333333333" style="4" customWidth="1"/>
    <col min="4098" max="4098" width="13.25" style="4" customWidth="1"/>
    <col min="4099" max="4099" width="15.6333333333333" style="4" customWidth="1"/>
    <col min="4100" max="4100" width="9.38333333333333" style="4" customWidth="1"/>
    <col min="4101" max="4101" width="13.5" style="4" customWidth="1"/>
    <col min="4102" max="4102" width="9" style="4"/>
    <col min="4103" max="4103" width="9.38333333333333" style="4" customWidth="1"/>
    <col min="4104" max="4105" width="9" style="4"/>
    <col min="4106" max="4106" width="9.38333333333333" style="4" customWidth="1"/>
    <col min="4107" max="4107" width="4" style="4" customWidth="1"/>
    <col min="4108" max="4108" width="5.13333333333333" style="4" customWidth="1"/>
    <col min="4109" max="4109" width="13.75" style="4" customWidth="1"/>
    <col min="4110" max="4352" width="9" style="4"/>
    <col min="4353" max="4353" width="4.88333333333333" style="4" customWidth="1"/>
    <col min="4354" max="4354" width="13.25" style="4" customWidth="1"/>
    <col min="4355" max="4355" width="15.6333333333333" style="4" customWidth="1"/>
    <col min="4356" max="4356" width="9.38333333333333" style="4" customWidth="1"/>
    <col min="4357" max="4357" width="13.5" style="4" customWidth="1"/>
    <col min="4358" max="4358" width="9" style="4"/>
    <col min="4359" max="4359" width="9.38333333333333" style="4" customWidth="1"/>
    <col min="4360" max="4361" width="9" style="4"/>
    <col min="4362" max="4362" width="9.38333333333333" style="4" customWidth="1"/>
    <col min="4363" max="4363" width="4" style="4" customWidth="1"/>
    <col min="4364" max="4364" width="5.13333333333333" style="4" customWidth="1"/>
    <col min="4365" max="4365" width="13.75" style="4" customWidth="1"/>
    <col min="4366" max="4608" width="9" style="4"/>
    <col min="4609" max="4609" width="4.88333333333333" style="4" customWidth="1"/>
    <col min="4610" max="4610" width="13.25" style="4" customWidth="1"/>
    <col min="4611" max="4611" width="15.6333333333333" style="4" customWidth="1"/>
    <col min="4612" max="4612" width="9.38333333333333" style="4" customWidth="1"/>
    <col min="4613" max="4613" width="13.5" style="4" customWidth="1"/>
    <col min="4614" max="4614" width="9" style="4"/>
    <col min="4615" max="4615" width="9.38333333333333" style="4" customWidth="1"/>
    <col min="4616" max="4617" width="9" style="4"/>
    <col min="4618" max="4618" width="9.38333333333333" style="4" customWidth="1"/>
    <col min="4619" max="4619" width="4" style="4" customWidth="1"/>
    <col min="4620" max="4620" width="5.13333333333333" style="4" customWidth="1"/>
    <col min="4621" max="4621" width="13.75" style="4" customWidth="1"/>
    <col min="4622" max="4864" width="9" style="4"/>
    <col min="4865" max="4865" width="4.88333333333333" style="4" customWidth="1"/>
    <col min="4866" max="4866" width="13.25" style="4" customWidth="1"/>
    <col min="4867" max="4867" width="15.6333333333333" style="4" customWidth="1"/>
    <col min="4868" max="4868" width="9.38333333333333" style="4" customWidth="1"/>
    <col min="4869" max="4869" width="13.5" style="4" customWidth="1"/>
    <col min="4870" max="4870" width="9" style="4"/>
    <col min="4871" max="4871" width="9.38333333333333" style="4" customWidth="1"/>
    <col min="4872" max="4873" width="9" style="4"/>
    <col min="4874" max="4874" width="9.38333333333333" style="4" customWidth="1"/>
    <col min="4875" max="4875" width="4" style="4" customWidth="1"/>
    <col min="4876" max="4876" width="5.13333333333333" style="4" customWidth="1"/>
    <col min="4877" max="4877" width="13.75" style="4" customWidth="1"/>
    <col min="4878" max="5120" width="9" style="4"/>
    <col min="5121" max="5121" width="4.88333333333333" style="4" customWidth="1"/>
    <col min="5122" max="5122" width="13.25" style="4" customWidth="1"/>
    <col min="5123" max="5123" width="15.6333333333333" style="4" customWidth="1"/>
    <col min="5124" max="5124" width="9.38333333333333" style="4" customWidth="1"/>
    <col min="5125" max="5125" width="13.5" style="4" customWidth="1"/>
    <col min="5126" max="5126" width="9" style="4"/>
    <col min="5127" max="5127" width="9.38333333333333" style="4" customWidth="1"/>
    <col min="5128" max="5129" width="9" style="4"/>
    <col min="5130" max="5130" width="9.38333333333333" style="4" customWidth="1"/>
    <col min="5131" max="5131" width="4" style="4" customWidth="1"/>
    <col min="5132" max="5132" width="5.13333333333333" style="4" customWidth="1"/>
    <col min="5133" max="5133" width="13.75" style="4" customWidth="1"/>
    <col min="5134" max="5376" width="9" style="4"/>
    <col min="5377" max="5377" width="4.88333333333333" style="4" customWidth="1"/>
    <col min="5378" max="5378" width="13.25" style="4" customWidth="1"/>
    <col min="5379" max="5379" width="15.6333333333333" style="4" customWidth="1"/>
    <col min="5380" max="5380" width="9.38333333333333" style="4" customWidth="1"/>
    <col min="5381" max="5381" width="13.5" style="4" customWidth="1"/>
    <col min="5382" max="5382" width="9" style="4"/>
    <col min="5383" max="5383" width="9.38333333333333" style="4" customWidth="1"/>
    <col min="5384" max="5385" width="9" style="4"/>
    <col min="5386" max="5386" width="9.38333333333333" style="4" customWidth="1"/>
    <col min="5387" max="5387" width="4" style="4" customWidth="1"/>
    <col min="5388" max="5388" width="5.13333333333333" style="4" customWidth="1"/>
    <col min="5389" max="5389" width="13.75" style="4" customWidth="1"/>
    <col min="5390" max="5632" width="9" style="4"/>
    <col min="5633" max="5633" width="4.88333333333333" style="4" customWidth="1"/>
    <col min="5634" max="5634" width="13.25" style="4" customWidth="1"/>
    <col min="5635" max="5635" width="15.6333333333333" style="4" customWidth="1"/>
    <col min="5636" max="5636" width="9.38333333333333" style="4" customWidth="1"/>
    <col min="5637" max="5637" width="13.5" style="4" customWidth="1"/>
    <col min="5638" max="5638" width="9" style="4"/>
    <col min="5639" max="5639" width="9.38333333333333" style="4" customWidth="1"/>
    <col min="5640" max="5641" width="9" style="4"/>
    <col min="5642" max="5642" width="9.38333333333333" style="4" customWidth="1"/>
    <col min="5643" max="5643" width="4" style="4" customWidth="1"/>
    <col min="5644" max="5644" width="5.13333333333333" style="4" customWidth="1"/>
    <col min="5645" max="5645" width="13.75" style="4" customWidth="1"/>
    <col min="5646" max="5888" width="9" style="4"/>
    <col min="5889" max="5889" width="4.88333333333333" style="4" customWidth="1"/>
    <col min="5890" max="5890" width="13.25" style="4" customWidth="1"/>
    <col min="5891" max="5891" width="15.6333333333333" style="4" customWidth="1"/>
    <col min="5892" max="5892" width="9.38333333333333" style="4" customWidth="1"/>
    <col min="5893" max="5893" width="13.5" style="4" customWidth="1"/>
    <col min="5894" max="5894" width="9" style="4"/>
    <col min="5895" max="5895" width="9.38333333333333" style="4" customWidth="1"/>
    <col min="5896" max="5897" width="9" style="4"/>
    <col min="5898" max="5898" width="9.38333333333333" style="4" customWidth="1"/>
    <col min="5899" max="5899" width="4" style="4" customWidth="1"/>
    <col min="5900" max="5900" width="5.13333333333333" style="4" customWidth="1"/>
    <col min="5901" max="5901" width="13.75" style="4" customWidth="1"/>
    <col min="5902" max="6144" width="9" style="4"/>
    <col min="6145" max="6145" width="4.88333333333333" style="4" customWidth="1"/>
    <col min="6146" max="6146" width="13.25" style="4" customWidth="1"/>
    <col min="6147" max="6147" width="15.6333333333333" style="4" customWidth="1"/>
    <col min="6148" max="6148" width="9.38333333333333" style="4" customWidth="1"/>
    <col min="6149" max="6149" width="13.5" style="4" customWidth="1"/>
    <col min="6150" max="6150" width="9" style="4"/>
    <col min="6151" max="6151" width="9.38333333333333" style="4" customWidth="1"/>
    <col min="6152" max="6153" width="9" style="4"/>
    <col min="6154" max="6154" width="9.38333333333333" style="4" customWidth="1"/>
    <col min="6155" max="6155" width="4" style="4" customWidth="1"/>
    <col min="6156" max="6156" width="5.13333333333333" style="4" customWidth="1"/>
    <col min="6157" max="6157" width="13.75" style="4" customWidth="1"/>
    <col min="6158" max="6400" width="9" style="4"/>
    <col min="6401" max="6401" width="4.88333333333333" style="4" customWidth="1"/>
    <col min="6402" max="6402" width="13.25" style="4" customWidth="1"/>
    <col min="6403" max="6403" width="15.6333333333333" style="4" customWidth="1"/>
    <col min="6404" max="6404" width="9.38333333333333" style="4" customWidth="1"/>
    <col min="6405" max="6405" width="13.5" style="4" customWidth="1"/>
    <col min="6406" max="6406" width="9" style="4"/>
    <col min="6407" max="6407" width="9.38333333333333" style="4" customWidth="1"/>
    <col min="6408" max="6409" width="9" style="4"/>
    <col min="6410" max="6410" width="9.38333333333333" style="4" customWidth="1"/>
    <col min="6411" max="6411" width="4" style="4" customWidth="1"/>
    <col min="6412" max="6412" width="5.13333333333333" style="4" customWidth="1"/>
    <col min="6413" max="6413" width="13.75" style="4" customWidth="1"/>
    <col min="6414" max="6656" width="9" style="4"/>
    <col min="6657" max="6657" width="4.88333333333333" style="4" customWidth="1"/>
    <col min="6658" max="6658" width="13.25" style="4" customWidth="1"/>
    <col min="6659" max="6659" width="15.6333333333333" style="4" customWidth="1"/>
    <col min="6660" max="6660" width="9.38333333333333" style="4" customWidth="1"/>
    <col min="6661" max="6661" width="13.5" style="4" customWidth="1"/>
    <col min="6662" max="6662" width="9" style="4"/>
    <col min="6663" max="6663" width="9.38333333333333" style="4" customWidth="1"/>
    <col min="6664" max="6665" width="9" style="4"/>
    <col min="6666" max="6666" width="9.38333333333333" style="4" customWidth="1"/>
    <col min="6667" max="6667" width="4" style="4" customWidth="1"/>
    <col min="6668" max="6668" width="5.13333333333333" style="4" customWidth="1"/>
    <col min="6669" max="6669" width="13.75" style="4" customWidth="1"/>
    <col min="6670" max="6912" width="9" style="4"/>
    <col min="6913" max="6913" width="4.88333333333333" style="4" customWidth="1"/>
    <col min="6914" max="6914" width="13.25" style="4" customWidth="1"/>
    <col min="6915" max="6915" width="15.6333333333333" style="4" customWidth="1"/>
    <col min="6916" max="6916" width="9.38333333333333" style="4" customWidth="1"/>
    <col min="6917" max="6917" width="13.5" style="4" customWidth="1"/>
    <col min="6918" max="6918" width="9" style="4"/>
    <col min="6919" max="6919" width="9.38333333333333" style="4" customWidth="1"/>
    <col min="6920" max="6921" width="9" style="4"/>
    <col min="6922" max="6922" width="9.38333333333333" style="4" customWidth="1"/>
    <col min="6923" max="6923" width="4" style="4" customWidth="1"/>
    <col min="6924" max="6924" width="5.13333333333333" style="4" customWidth="1"/>
    <col min="6925" max="6925" width="13.75" style="4" customWidth="1"/>
    <col min="6926" max="7168" width="9" style="4"/>
    <col min="7169" max="7169" width="4.88333333333333" style="4" customWidth="1"/>
    <col min="7170" max="7170" width="13.25" style="4" customWidth="1"/>
    <col min="7171" max="7171" width="15.6333333333333" style="4" customWidth="1"/>
    <col min="7172" max="7172" width="9.38333333333333" style="4" customWidth="1"/>
    <col min="7173" max="7173" width="13.5" style="4" customWidth="1"/>
    <col min="7174" max="7174" width="9" style="4"/>
    <col min="7175" max="7175" width="9.38333333333333" style="4" customWidth="1"/>
    <col min="7176" max="7177" width="9" style="4"/>
    <col min="7178" max="7178" width="9.38333333333333" style="4" customWidth="1"/>
    <col min="7179" max="7179" width="4" style="4" customWidth="1"/>
    <col min="7180" max="7180" width="5.13333333333333" style="4" customWidth="1"/>
    <col min="7181" max="7181" width="13.75" style="4" customWidth="1"/>
    <col min="7182" max="7424" width="9" style="4"/>
    <col min="7425" max="7425" width="4.88333333333333" style="4" customWidth="1"/>
    <col min="7426" max="7426" width="13.25" style="4" customWidth="1"/>
    <col min="7427" max="7427" width="15.6333333333333" style="4" customWidth="1"/>
    <col min="7428" max="7428" width="9.38333333333333" style="4" customWidth="1"/>
    <col min="7429" max="7429" width="13.5" style="4" customWidth="1"/>
    <col min="7430" max="7430" width="9" style="4"/>
    <col min="7431" max="7431" width="9.38333333333333" style="4" customWidth="1"/>
    <col min="7432" max="7433" width="9" style="4"/>
    <col min="7434" max="7434" width="9.38333333333333" style="4" customWidth="1"/>
    <col min="7435" max="7435" width="4" style="4" customWidth="1"/>
    <col min="7436" max="7436" width="5.13333333333333" style="4" customWidth="1"/>
    <col min="7437" max="7437" width="13.75" style="4" customWidth="1"/>
    <col min="7438" max="7680" width="9" style="4"/>
    <col min="7681" max="7681" width="4.88333333333333" style="4" customWidth="1"/>
    <col min="7682" max="7682" width="13.25" style="4" customWidth="1"/>
    <col min="7683" max="7683" width="15.6333333333333" style="4" customWidth="1"/>
    <col min="7684" max="7684" width="9.38333333333333" style="4" customWidth="1"/>
    <col min="7685" max="7685" width="13.5" style="4" customWidth="1"/>
    <col min="7686" max="7686" width="9" style="4"/>
    <col min="7687" max="7687" width="9.38333333333333" style="4" customWidth="1"/>
    <col min="7688" max="7689" width="9" style="4"/>
    <col min="7690" max="7690" width="9.38333333333333" style="4" customWidth="1"/>
    <col min="7691" max="7691" width="4" style="4" customWidth="1"/>
    <col min="7692" max="7692" width="5.13333333333333" style="4" customWidth="1"/>
    <col min="7693" max="7693" width="13.75" style="4" customWidth="1"/>
    <col min="7694" max="7936" width="9" style="4"/>
    <col min="7937" max="7937" width="4.88333333333333" style="4" customWidth="1"/>
    <col min="7938" max="7938" width="13.25" style="4" customWidth="1"/>
    <col min="7939" max="7939" width="15.6333333333333" style="4" customWidth="1"/>
    <col min="7940" max="7940" width="9.38333333333333" style="4" customWidth="1"/>
    <col min="7941" max="7941" width="13.5" style="4" customWidth="1"/>
    <col min="7942" max="7942" width="9" style="4"/>
    <col min="7943" max="7943" width="9.38333333333333" style="4" customWidth="1"/>
    <col min="7944" max="7945" width="9" style="4"/>
    <col min="7946" max="7946" width="9.38333333333333" style="4" customWidth="1"/>
    <col min="7947" max="7947" width="4" style="4" customWidth="1"/>
    <col min="7948" max="7948" width="5.13333333333333" style="4" customWidth="1"/>
    <col min="7949" max="7949" width="13.75" style="4" customWidth="1"/>
    <col min="7950" max="8192" width="9" style="4"/>
    <col min="8193" max="8193" width="4.88333333333333" style="4" customWidth="1"/>
    <col min="8194" max="8194" width="13.25" style="4" customWidth="1"/>
    <col min="8195" max="8195" width="15.6333333333333" style="4" customWidth="1"/>
    <col min="8196" max="8196" width="9.38333333333333" style="4" customWidth="1"/>
    <col min="8197" max="8197" width="13.5" style="4" customWidth="1"/>
    <col min="8198" max="8198" width="9" style="4"/>
    <col min="8199" max="8199" width="9.38333333333333" style="4" customWidth="1"/>
    <col min="8200" max="8201" width="9" style="4"/>
    <col min="8202" max="8202" width="9.38333333333333" style="4" customWidth="1"/>
    <col min="8203" max="8203" width="4" style="4" customWidth="1"/>
    <col min="8204" max="8204" width="5.13333333333333" style="4" customWidth="1"/>
    <col min="8205" max="8205" width="13.75" style="4" customWidth="1"/>
    <col min="8206" max="8448" width="9" style="4"/>
    <col min="8449" max="8449" width="4.88333333333333" style="4" customWidth="1"/>
    <col min="8450" max="8450" width="13.25" style="4" customWidth="1"/>
    <col min="8451" max="8451" width="15.6333333333333" style="4" customWidth="1"/>
    <col min="8452" max="8452" width="9.38333333333333" style="4" customWidth="1"/>
    <col min="8453" max="8453" width="13.5" style="4" customWidth="1"/>
    <col min="8454" max="8454" width="9" style="4"/>
    <col min="8455" max="8455" width="9.38333333333333" style="4" customWidth="1"/>
    <col min="8456" max="8457" width="9" style="4"/>
    <col min="8458" max="8458" width="9.38333333333333" style="4" customWidth="1"/>
    <col min="8459" max="8459" width="4" style="4" customWidth="1"/>
    <col min="8460" max="8460" width="5.13333333333333" style="4" customWidth="1"/>
    <col min="8461" max="8461" width="13.75" style="4" customWidth="1"/>
    <col min="8462" max="8704" width="9" style="4"/>
    <col min="8705" max="8705" width="4.88333333333333" style="4" customWidth="1"/>
    <col min="8706" max="8706" width="13.25" style="4" customWidth="1"/>
    <col min="8707" max="8707" width="15.6333333333333" style="4" customWidth="1"/>
    <col min="8708" max="8708" width="9.38333333333333" style="4" customWidth="1"/>
    <col min="8709" max="8709" width="13.5" style="4" customWidth="1"/>
    <col min="8710" max="8710" width="9" style="4"/>
    <col min="8711" max="8711" width="9.38333333333333" style="4" customWidth="1"/>
    <col min="8712" max="8713" width="9" style="4"/>
    <col min="8714" max="8714" width="9.38333333333333" style="4" customWidth="1"/>
    <col min="8715" max="8715" width="4" style="4" customWidth="1"/>
    <col min="8716" max="8716" width="5.13333333333333" style="4" customWidth="1"/>
    <col min="8717" max="8717" width="13.75" style="4" customWidth="1"/>
    <col min="8718" max="8960" width="9" style="4"/>
    <col min="8961" max="8961" width="4.88333333333333" style="4" customWidth="1"/>
    <col min="8962" max="8962" width="13.25" style="4" customWidth="1"/>
    <col min="8963" max="8963" width="15.6333333333333" style="4" customWidth="1"/>
    <col min="8964" max="8964" width="9.38333333333333" style="4" customWidth="1"/>
    <col min="8965" max="8965" width="13.5" style="4" customWidth="1"/>
    <col min="8966" max="8966" width="9" style="4"/>
    <col min="8967" max="8967" width="9.38333333333333" style="4" customWidth="1"/>
    <col min="8968" max="8969" width="9" style="4"/>
    <col min="8970" max="8970" width="9.38333333333333" style="4" customWidth="1"/>
    <col min="8971" max="8971" width="4" style="4" customWidth="1"/>
    <col min="8972" max="8972" width="5.13333333333333" style="4" customWidth="1"/>
    <col min="8973" max="8973" width="13.75" style="4" customWidth="1"/>
    <col min="8974" max="9216" width="9" style="4"/>
    <col min="9217" max="9217" width="4.88333333333333" style="4" customWidth="1"/>
    <col min="9218" max="9218" width="13.25" style="4" customWidth="1"/>
    <col min="9219" max="9219" width="15.6333333333333" style="4" customWidth="1"/>
    <col min="9220" max="9220" width="9.38333333333333" style="4" customWidth="1"/>
    <col min="9221" max="9221" width="13.5" style="4" customWidth="1"/>
    <col min="9222" max="9222" width="9" style="4"/>
    <col min="9223" max="9223" width="9.38333333333333" style="4" customWidth="1"/>
    <col min="9224" max="9225" width="9" style="4"/>
    <col min="9226" max="9226" width="9.38333333333333" style="4" customWidth="1"/>
    <col min="9227" max="9227" width="4" style="4" customWidth="1"/>
    <col min="9228" max="9228" width="5.13333333333333" style="4" customWidth="1"/>
    <col min="9229" max="9229" width="13.75" style="4" customWidth="1"/>
    <col min="9230" max="9472" width="9" style="4"/>
    <col min="9473" max="9473" width="4.88333333333333" style="4" customWidth="1"/>
    <col min="9474" max="9474" width="13.25" style="4" customWidth="1"/>
    <col min="9475" max="9475" width="15.6333333333333" style="4" customWidth="1"/>
    <col min="9476" max="9476" width="9.38333333333333" style="4" customWidth="1"/>
    <col min="9477" max="9477" width="13.5" style="4" customWidth="1"/>
    <col min="9478" max="9478" width="9" style="4"/>
    <col min="9479" max="9479" width="9.38333333333333" style="4" customWidth="1"/>
    <col min="9480" max="9481" width="9" style="4"/>
    <col min="9482" max="9482" width="9.38333333333333" style="4" customWidth="1"/>
    <col min="9483" max="9483" width="4" style="4" customWidth="1"/>
    <col min="9484" max="9484" width="5.13333333333333" style="4" customWidth="1"/>
    <col min="9485" max="9485" width="13.75" style="4" customWidth="1"/>
    <col min="9486" max="9728" width="9" style="4"/>
    <col min="9729" max="9729" width="4.88333333333333" style="4" customWidth="1"/>
    <col min="9730" max="9730" width="13.25" style="4" customWidth="1"/>
    <col min="9731" max="9731" width="15.6333333333333" style="4" customWidth="1"/>
    <col min="9732" max="9732" width="9.38333333333333" style="4" customWidth="1"/>
    <col min="9733" max="9733" width="13.5" style="4" customWidth="1"/>
    <col min="9734" max="9734" width="9" style="4"/>
    <col min="9735" max="9735" width="9.38333333333333" style="4" customWidth="1"/>
    <col min="9736" max="9737" width="9" style="4"/>
    <col min="9738" max="9738" width="9.38333333333333" style="4" customWidth="1"/>
    <col min="9739" max="9739" width="4" style="4" customWidth="1"/>
    <col min="9740" max="9740" width="5.13333333333333" style="4" customWidth="1"/>
    <col min="9741" max="9741" width="13.75" style="4" customWidth="1"/>
    <col min="9742" max="9984" width="9" style="4"/>
    <col min="9985" max="9985" width="4.88333333333333" style="4" customWidth="1"/>
    <col min="9986" max="9986" width="13.25" style="4" customWidth="1"/>
    <col min="9987" max="9987" width="15.6333333333333" style="4" customWidth="1"/>
    <col min="9988" max="9988" width="9.38333333333333" style="4" customWidth="1"/>
    <col min="9989" max="9989" width="13.5" style="4" customWidth="1"/>
    <col min="9990" max="9990" width="9" style="4"/>
    <col min="9991" max="9991" width="9.38333333333333" style="4" customWidth="1"/>
    <col min="9992" max="9993" width="9" style="4"/>
    <col min="9994" max="9994" width="9.38333333333333" style="4" customWidth="1"/>
    <col min="9995" max="9995" width="4" style="4" customWidth="1"/>
    <col min="9996" max="9996" width="5.13333333333333" style="4" customWidth="1"/>
    <col min="9997" max="9997" width="13.75" style="4" customWidth="1"/>
    <col min="9998" max="10240" width="9" style="4"/>
    <col min="10241" max="10241" width="4.88333333333333" style="4" customWidth="1"/>
    <col min="10242" max="10242" width="13.25" style="4" customWidth="1"/>
    <col min="10243" max="10243" width="15.6333333333333" style="4" customWidth="1"/>
    <col min="10244" max="10244" width="9.38333333333333" style="4" customWidth="1"/>
    <col min="10245" max="10245" width="13.5" style="4" customWidth="1"/>
    <col min="10246" max="10246" width="9" style="4"/>
    <col min="10247" max="10247" width="9.38333333333333" style="4" customWidth="1"/>
    <col min="10248" max="10249" width="9" style="4"/>
    <col min="10250" max="10250" width="9.38333333333333" style="4" customWidth="1"/>
    <col min="10251" max="10251" width="4" style="4" customWidth="1"/>
    <col min="10252" max="10252" width="5.13333333333333" style="4" customWidth="1"/>
    <col min="10253" max="10253" width="13.75" style="4" customWidth="1"/>
    <col min="10254" max="10496" width="9" style="4"/>
    <col min="10497" max="10497" width="4.88333333333333" style="4" customWidth="1"/>
    <col min="10498" max="10498" width="13.25" style="4" customWidth="1"/>
    <col min="10499" max="10499" width="15.6333333333333" style="4" customWidth="1"/>
    <col min="10500" max="10500" width="9.38333333333333" style="4" customWidth="1"/>
    <col min="10501" max="10501" width="13.5" style="4" customWidth="1"/>
    <col min="10502" max="10502" width="9" style="4"/>
    <col min="10503" max="10503" width="9.38333333333333" style="4" customWidth="1"/>
    <col min="10504" max="10505" width="9" style="4"/>
    <col min="10506" max="10506" width="9.38333333333333" style="4" customWidth="1"/>
    <col min="10507" max="10507" width="4" style="4" customWidth="1"/>
    <col min="10508" max="10508" width="5.13333333333333" style="4" customWidth="1"/>
    <col min="10509" max="10509" width="13.75" style="4" customWidth="1"/>
    <col min="10510" max="10752" width="9" style="4"/>
    <col min="10753" max="10753" width="4.88333333333333" style="4" customWidth="1"/>
    <col min="10754" max="10754" width="13.25" style="4" customWidth="1"/>
    <col min="10755" max="10755" width="15.6333333333333" style="4" customWidth="1"/>
    <col min="10756" max="10756" width="9.38333333333333" style="4" customWidth="1"/>
    <col min="10757" max="10757" width="13.5" style="4" customWidth="1"/>
    <col min="10758" max="10758" width="9" style="4"/>
    <col min="10759" max="10759" width="9.38333333333333" style="4" customWidth="1"/>
    <col min="10760" max="10761" width="9" style="4"/>
    <col min="10762" max="10762" width="9.38333333333333" style="4" customWidth="1"/>
    <col min="10763" max="10763" width="4" style="4" customWidth="1"/>
    <col min="10764" max="10764" width="5.13333333333333" style="4" customWidth="1"/>
    <col min="10765" max="10765" width="13.75" style="4" customWidth="1"/>
    <col min="10766" max="11008" width="9" style="4"/>
    <col min="11009" max="11009" width="4.88333333333333" style="4" customWidth="1"/>
    <col min="11010" max="11010" width="13.25" style="4" customWidth="1"/>
    <col min="11011" max="11011" width="15.6333333333333" style="4" customWidth="1"/>
    <col min="11012" max="11012" width="9.38333333333333" style="4" customWidth="1"/>
    <col min="11013" max="11013" width="13.5" style="4" customWidth="1"/>
    <col min="11014" max="11014" width="9" style="4"/>
    <col min="11015" max="11015" width="9.38333333333333" style="4" customWidth="1"/>
    <col min="11016" max="11017" width="9" style="4"/>
    <col min="11018" max="11018" width="9.38333333333333" style="4" customWidth="1"/>
    <col min="11019" max="11019" width="4" style="4" customWidth="1"/>
    <col min="11020" max="11020" width="5.13333333333333" style="4" customWidth="1"/>
    <col min="11021" max="11021" width="13.75" style="4" customWidth="1"/>
    <col min="11022" max="11264" width="9" style="4"/>
    <col min="11265" max="11265" width="4.88333333333333" style="4" customWidth="1"/>
    <col min="11266" max="11266" width="13.25" style="4" customWidth="1"/>
    <col min="11267" max="11267" width="15.6333333333333" style="4" customWidth="1"/>
    <col min="11268" max="11268" width="9.38333333333333" style="4" customWidth="1"/>
    <col min="11269" max="11269" width="13.5" style="4" customWidth="1"/>
    <col min="11270" max="11270" width="9" style="4"/>
    <col min="11271" max="11271" width="9.38333333333333" style="4" customWidth="1"/>
    <col min="11272" max="11273" width="9" style="4"/>
    <col min="11274" max="11274" width="9.38333333333333" style="4" customWidth="1"/>
    <col min="11275" max="11275" width="4" style="4" customWidth="1"/>
    <col min="11276" max="11276" width="5.13333333333333" style="4" customWidth="1"/>
    <col min="11277" max="11277" width="13.75" style="4" customWidth="1"/>
    <col min="11278" max="11520" width="9" style="4"/>
    <col min="11521" max="11521" width="4.88333333333333" style="4" customWidth="1"/>
    <col min="11522" max="11522" width="13.25" style="4" customWidth="1"/>
    <col min="11523" max="11523" width="15.6333333333333" style="4" customWidth="1"/>
    <col min="11524" max="11524" width="9.38333333333333" style="4" customWidth="1"/>
    <col min="11525" max="11525" width="13.5" style="4" customWidth="1"/>
    <col min="11526" max="11526" width="9" style="4"/>
    <col min="11527" max="11527" width="9.38333333333333" style="4" customWidth="1"/>
    <col min="11528" max="11529" width="9" style="4"/>
    <col min="11530" max="11530" width="9.38333333333333" style="4" customWidth="1"/>
    <col min="11531" max="11531" width="4" style="4" customWidth="1"/>
    <col min="11532" max="11532" width="5.13333333333333" style="4" customWidth="1"/>
    <col min="11533" max="11533" width="13.75" style="4" customWidth="1"/>
    <col min="11534" max="11776" width="9" style="4"/>
    <col min="11777" max="11777" width="4.88333333333333" style="4" customWidth="1"/>
    <col min="11778" max="11778" width="13.25" style="4" customWidth="1"/>
    <col min="11779" max="11779" width="15.6333333333333" style="4" customWidth="1"/>
    <col min="11780" max="11780" width="9.38333333333333" style="4" customWidth="1"/>
    <col min="11781" max="11781" width="13.5" style="4" customWidth="1"/>
    <col min="11782" max="11782" width="9" style="4"/>
    <col min="11783" max="11783" width="9.38333333333333" style="4" customWidth="1"/>
    <col min="11784" max="11785" width="9" style="4"/>
    <col min="11786" max="11786" width="9.38333333333333" style="4" customWidth="1"/>
    <col min="11787" max="11787" width="4" style="4" customWidth="1"/>
    <col min="11788" max="11788" width="5.13333333333333" style="4" customWidth="1"/>
    <col min="11789" max="11789" width="13.75" style="4" customWidth="1"/>
    <col min="11790" max="12032" width="9" style="4"/>
    <col min="12033" max="12033" width="4.88333333333333" style="4" customWidth="1"/>
    <col min="12034" max="12034" width="13.25" style="4" customWidth="1"/>
    <col min="12035" max="12035" width="15.6333333333333" style="4" customWidth="1"/>
    <col min="12036" max="12036" width="9.38333333333333" style="4" customWidth="1"/>
    <col min="12037" max="12037" width="13.5" style="4" customWidth="1"/>
    <col min="12038" max="12038" width="9" style="4"/>
    <col min="12039" max="12039" width="9.38333333333333" style="4" customWidth="1"/>
    <col min="12040" max="12041" width="9" style="4"/>
    <col min="12042" max="12042" width="9.38333333333333" style="4" customWidth="1"/>
    <col min="12043" max="12043" width="4" style="4" customWidth="1"/>
    <col min="12044" max="12044" width="5.13333333333333" style="4" customWidth="1"/>
    <col min="12045" max="12045" width="13.75" style="4" customWidth="1"/>
    <col min="12046" max="12288" width="9" style="4"/>
    <col min="12289" max="12289" width="4.88333333333333" style="4" customWidth="1"/>
    <col min="12290" max="12290" width="13.25" style="4" customWidth="1"/>
    <col min="12291" max="12291" width="15.6333333333333" style="4" customWidth="1"/>
    <col min="12292" max="12292" width="9.38333333333333" style="4" customWidth="1"/>
    <col min="12293" max="12293" width="13.5" style="4" customWidth="1"/>
    <col min="12294" max="12294" width="9" style="4"/>
    <col min="12295" max="12295" width="9.38333333333333" style="4" customWidth="1"/>
    <col min="12296" max="12297" width="9" style="4"/>
    <col min="12298" max="12298" width="9.38333333333333" style="4" customWidth="1"/>
    <col min="12299" max="12299" width="4" style="4" customWidth="1"/>
    <col min="12300" max="12300" width="5.13333333333333" style="4" customWidth="1"/>
    <col min="12301" max="12301" width="13.75" style="4" customWidth="1"/>
    <col min="12302" max="12544" width="9" style="4"/>
    <col min="12545" max="12545" width="4.88333333333333" style="4" customWidth="1"/>
    <col min="12546" max="12546" width="13.25" style="4" customWidth="1"/>
    <col min="12547" max="12547" width="15.6333333333333" style="4" customWidth="1"/>
    <col min="12548" max="12548" width="9.38333333333333" style="4" customWidth="1"/>
    <col min="12549" max="12549" width="13.5" style="4" customWidth="1"/>
    <col min="12550" max="12550" width="9" style="4"/>
    <col min="12551" max="12551" width="9.38333333333333" style="4" customWidth="1"/>
    <col min="12552" max="12553" width="9" style="4"/>
    <col min="12554" max="12554" width="9.38333333333333" style="4" customWidth="1"/>
    <col min="12555" max="12555" width="4" style="4" customWidth="1"/>
    <col min="12556" max="12556" width="5.13333333333333" style="4" customWidth="1"/>
    <col min="12557" max="12557" width="13.75" style="4" customWidth="1"/>
    <col min="12558" max="12800" width="9" style="4"/>
    <col min="12801" max="12801" width="4.88333333333333" style="4" customWidth="1"/>
    <col min="12802" max="12802" width="13.25" style="4" customWidth="1"/>
    <col min="12803" max="12803" width="15.6333333333333" style="4" customWidth="1"/>
    <col min="12804" max="12804" width="9.38333333333333" style="4" customWidth="1"/>
    <col min="12805" max="12805" width="13.5" style="4" customWidth="1"/>
    <col min="12806" max="12806" width="9" style="4"/>
    <col min="12807" max="12807" width="9.38333333333333" style="4" customWidth="1"/>
    <col min="12808" max="12809" width="9" style="4"/>
    <col min="12810" max="12810" width="9.38333333333333" style="4" customWidth="1"/>
    <col min="12811" max="12811" width="4" style="4" customWidth="1"/>
    <col min="12812" max="12812" width="5.13333333333333" style="4" customWidth="1"/>
    <col min="12813" max="12813" width="13.75" style="4" customWidth="1"/>
    <col min="12814" max="13056" width="9" style="4"/>
    <col min="13057" max="13057" width="4.88333333333333" style="4" customWidth="1"/>
    <col min="13058" max="13058" width="13.25" style="4" customWidth="1"/>
    <col min="13059" max="13059" width="15.6333333333333" style="4" customWidth="1"/>
    <col min="13060" max="13060" width="9.38333333333333" style="4" customWidth="1"/>
    <col min="13061" max="13061" width="13.5" style="4" customWidth="1"/>
    <col min="13062" max="13062" width="9" style="4"/>
    <col min="13063" max="13063" width="9.38333333333333" style="4" customWidth="1"/>
    <col min="13064" max="13065" width="9" style="4"/>
    <col min="13066" max="13066" width="9.38333333333333" style="4" customWidth="1"/>
    <col min="13067" max="13067" width="4" style="4" customWidth="1"/>
    <col min="13068" max="13068" width="5.13333333333333" style="4" customWidth="1"/>
    <col min="13069" max="13069" width="13.75" style="4" customWidth="1"/>
    <col min="13070" max="13312" width="9" style="4"/>
    <col min="13313" max="13313" width="4.88333333333333" style="4" customWidth="1"/>
    <col min="13314" max="13314" width="13.25" style="4" customWidth="1"/>
    <col min="13315" max="13315" width="15.6333333333333" style="4" customWidth="1"/>
    <col min="13316" max="13316" width="9.38333333333333" style="4" customWidth="1"/>
    <col min="13317" max="13317" width="13.5" style="4" customWidth="1"/>
    <col min="13318" max="13318" width="9" style="4"/>
    <col min="13319" max="13319" width="9.38333333333333" style="4" customWidth="1"/>
    <col min="13320" max="13321" width="9" style="4"/>
    <col min="13322" max="13322" width="9.38333333333333" style="4" customWidth="1"/>
    <col min="13323" max="13323" width="4" style="4" customWidth="1"/>
    <col min="13324" max="13324" width="5.13333333333333" style="4" customWidth="1"/>
    <col min="13325" max="13325" width="13.75" style="4" customWidth="1"/>
    <col min="13326" max="13568" width="9" style="4"/>
    <col min="13569" max="13569" width="4.88333333333333" style="4" customWidth="1"/>
    <col min="13570" max="13570" width="13.25" style="4" customWidth="1"/>
    <col min="13571" max="13571" width="15.6333333333333" style="4" customWidth="1"/>
    <col min="13572" max="13572" width="9.38333333333333" style="4" customWidth="1"/>
    <col min="13573" max="13573" width="13.5" style="4" customWidth="1"/>
    <col min="13574" max="13574" width="9" style="4"/>
    <col min="13575" max="13575" width="9.38333333333333" style="4" customWidth="1"/>
    <col min="13576" max="13577" width="9" style="4"/>
    <col min="13578" max="13578" width="9.38333333333333" style="4" customWidth="1"/>
    <col min="13579" max="13579" width="4" style="4" customWidth="1"/>
    <col min="13580" max="13580" width="5.13333333333333" style="4" customWidth="1"/>
    <col min="13581" max="13581" width="13.75" style="4" customWidth="1"/>
    <col min="13582" max="13824" width="9" style="4"/>
    <col min="13825" max="13825" width="4.88333333333333" style="4" customWidth="1"/>
    <col min="13826" max="13826" width="13.25" style="4" customWidth="1"/>
    <col min="13827" max="13827" width="15.6333333333333" style="4" customWidth="1"/>
    <col min="13828" max="13828" width="9.38333333333333" style="4" customWidth="1"/>
    <col min="13829" max="13829" width="13.5" style="4" customWidth="1"/>
    <col min="13830" max="13830" width="9" style="4"/>
    <col min="13831" max="13831" width="9.38333333333333" style="4" customWidth="1"/>
    <col min="13832" max="13833" width="9" style="4"/>
    <col min="13834" max="13834" width="9.38333333333333" style="4" customWidth="1"/>
    <col min="13835" max="13835" width="4" style="4" customWidth="1"/>
    <col min="13836" max="13836" width="5.13333333333333" style="4" customWidth="1"/>
    <col min="13837" max="13837" width="13.75" style="4" customWidth="1"/>
    <col min="13838" max="14080" width="9" style="4"/>
    <col min="14081" max="14081" width="4.88333333333333" style="4" customWidth="1"/>
    <col min="14082" max="14082" width="13.25" style="4" customWidth="1"/>
    <col min="14083" max="14083" width="15.6333333333333" style="4" customWidth="1"/>
    <col min="14084" max="14084" width="9.38333333333333" style="4" customWidth="1"/>
    <col min="14085" max="14085" width="13.5" style="4" customWidth="1"/>
    <col min="14086" max="14086" width="9" style="4"/>
    <col min="14087" max="14087" width="9.38333333333333" style="4" customWidth="1"/>
    <col min="14088" max="14089" width="9" style="4"/>
    <col min="14090" max="14090" width="9.38333333333333" style="4" customWidth="1"/>
    <col min="14091" max="14091" width="4" style="4" customWidth="1"/>
    <col min="14092" max="14092" width="5.13333333333333" style="4" customWidth="1"/>
    <col min="14093" max="14093" width="13.75" style="4" customWidth="1"/>
    <col min="14094" max="14336" width="9" style="4"/>
    <col min="14337" max="14337" width="4.88333333333333" style="4" customWidth="1"/>
    <col min="14338" max="14338" width="13.25" style="4" customWidth="1"/>
    <col min="14339" max="14339" width="15.6333333333333" style="4" customWidth="1"/>
    <col min="14340" max="14340" width="9.38333333333333" style="4" customWidth="1"/>
    <col min="14341" max="14341" width="13.5" style="4" customWidth="1"/>
    <col min="14342" max="14342" width="9" style="4"/>
    <col min="14343" max="14343" width="9.38333333333333" style="4" customWidth="1"/>
    <col min="14344" max="14345" width="9" style="4"/>
    <col min="14346" max="14346" width="9.38333333333333" style="4" customWidth="1"/>
    <col min="14347" max="14347" width="4" style="4" customWidth="1"/>
    <col min="14348" max="14348" width="5.13333333333333" style="4" customWidth="1"/>
    <col min="14349" max="14349" width="13.75" style="4" customWidth="1"/>
    <col min="14350" max="14592" width="9" style="4"/>
    <col min="14593" max="14593" width="4.88333333333333" style="4" customWidth="1"/>
    <col min="14594" max="14594" width="13.25" style="4" customWidth="1"/>
    <col min="14595" max="14595" width="15.6333333333333" style="4" customWidth="1"/>
    <col min="14596" max="14596" width="9.38333333333333" style="4" customWidth="1"/>
    <col min="14597" max="14597" width="13.5" style="4" customWidth="1"/>
    <col min="14598" max="14598" width="9" style="4"/>
    <col min="14599" max="14599" width="9.38333333333333" style="4" customWidth="1"/>
    <col min="14600" max="14601" width="9" style="4"/>
    <col min="14602" max="14602" width="9.38333333333333" style="4" customWidth="1"/>
    <col min="14603" max="14603" width="4" style="4" customWidth="1"/>
    <col min="14604" max="14604" width="5.13333333333333" style="4" customWidth="1"/>
    <col min="14605" max="14605" width="13.75" style="4" customWidth="1"/>
    <col min="14606" max="14848" width="9" style="4"/>
    <col min="14849" max="14849" width="4.88333333333333" style="4" customWidth="1"/>
    <col min="14850" max="14850" width="13.25" style="4" customWidth="1"/>
    <col min="14851" max="14851" width="15.6333333333333" style="4" customWidth="1"/>
    <col min="14852" max="14852" width="9.38333333333333" style="4" customWidth="1"/>
    <col min="14853" max="14853" width="13.5" style="4" customWidth="1"/>
    <col min="14854" max="14854" width="9" style="4"/>
    <col min="14855" max="14855" width="9.38333333333333" style="4" customWidth="1"/>
    <col min="14856" max="14857" width="9" style="4"/>
    <col min="14858" max="14858" width="9.38333333333333" style="4" customWidth="1"/>
    <col min="14859" max="14859" width="4" style="4" customWidth="1"/>
    <col min="14860" max="14860" width="5.13333333333333" style="4" customWidth="1"/>
    <col min="14861" max="14861" width="13.75" style="4" customWidth="1"/>
    <col min="14862" max="15104" width="9" style="4"/>
    <col min="15105" max="15105" width="4.88333333333333" style="4" customWidth="1"/>
    <col min="15106" max="15106" width="13.25" style="4" customWidth="1"/>
    <col min="15107" max="15107" width="15.6333333333333" style="4" customWidth="1"/>
    <col min="15108" max="15108" width="9.38333333333333" style="4" customWidth="1"/>
    <col min="15109" max="15109" width="13.5" style="4" customWidth="1"/>
    <col min="15110" max="15110" width="9" style="4"/>
    <col min="15111" max="15111" width="9.38333333333333" style="4" customWidth="1"/>
    <col min="15112" max="15113" width="9" style="4"/>
    <col min="15114" max="15114" width="9.38333333333333" style="4" customWidth="1"/>
    <col min="15115" max="15115" width="4" style="4" customWidth="1"/>
    <col min="15116" max="15116" width="5.13333333333333" style="4" customWidth="1"/>
    <col min="15117" max="15117" width="13.75" style="4" customWidth="1"/>
    <col min="15118" max="15360" width="9" style="4"/>
    <col min="15361" max="15361" width="4.88333333333333" style="4" customWidth="1"/>
    <col min="15362" max="15362" width="13.25" style="4" customWidth="1"/>
    <col min="15363" max="15363" width="15.6333333333333" style="4" customWidth="1"/>
    <col min="15364" max="15364" width="9.38333333333333" style="4" customWidth="1"/>
    <col min="15365" max="15365" width="13.5" style="4" customWidth="1"/>
    <col min="15366" max="15366" width="9" style="4"/>
    <col min="15367" max="15367" width="9.38333333333333" style="4" customWidth="1"/>
    <col min="15368" max="15369" width="9" style="4"/>
    <col min="15370" max="15370" width="9.38333333333333" style="4" customWidth="1"/>
    <col min="15371" max="15371" width="4" style="4" customWidth="1"/>
    <col min="15372" max="15372" width="5.13333333333333" style="4" customWidth="1"/>
    <col min="15373" max="15373" width="13.75" style="4" customWidth="1"/>
    <col min="15374" max="15616" width="9" style="4"/>
    <col min="15617" max="15617" width="4.88333333333333" style="4" customWidth="1"/>
    <col min="15618" max="15618" width="13.25" style="4" customWidth="1"/>
    <col min="15619" max="15619" width="15.6333333333333" style="4" customWidth="1"/>
    <col min="15620" max="15620" width="9.38333333333333" style="4" customWidth="1"/>
    <col min="15621" max="15621" width="13.5" style="4" customWidth="1"/>
    <col min="15622" max="15622" width="9" style="4"/>
    <col min="15623" max="15623" width="9.38333333333333" style="4" customWidth="1"/>
    <col min="15624" max="15625" width="9" style="4"/>
    <col min="15626" max="15626" width="9.38333333333333" style="4" customWidth="1"/>
    <col min="15627" max="15627" width="4" style="4" customWidth="1"/>
    <col min="15628" max="15628" width="5.13333333333333" style="4" customWidth="1"/>
    <col min="15629" max="15629" width="13.75" style="4" customWidth="1"/>
    <col min="15630" max="15872" width="9" style="4"/>
    <col min="15873" max="15873" width="4.88333333333333" style="4" customWidth="1"/>
    <col min="15874" max="15874" width="13.25" style="4" customWidth="1"/>
    <col min="15875" max="15875" width="15.6333333333333" style="4" customWidth="1"/>
    <col min="15876" max="15876" width="9.38333333333333" style="4" customWidth="1"/>
    <col min="15877" max="15877" width="13.5" style="4" customWidth="1"/>
    <col min="15878" max="15878" width="9" style="4"/>
    <col min="15879" max="15879" width="9.38333333333333" style="4" customWidth="1"/>
    <col min="15880" max="15881" width="9" style="4"/>
    <col min="15882" max="15882" width="9.38333333333333" style="4" customWidth="1"/>
    <col min="15883" max="15883" width="4" style="4" customWidth="1"/>
    <col min="15884" max="15884" width="5.13333333333333" style="4" customWidth="1"/>
    <col min="15885" max="15885" width="13.75" style="4" customWidth="1"/>
    <col min="15886" max="16128" width="9" style="4"/>
    <col min="16129" max="16129" width="4.88333333333333" style="4" customWidth="1"/>
    <col min="16130" max="16130" width="13.25" style="4" customWidth="1"/>
    <col min="16131" max="16131" width="15.6333333333333" style="4" customWidth="1"/>
    <col min="16132" max="16132" width="9.38333333333333" style="4" customWidth="1"/>
    <col min="16133" max="16133" width="13.5" style="4" customWidth="1"/>
    <col min="16134" max="16134" width="9" style="4"/>
    <col min="16135" max="16135" width="9.38333333333333" style="4" customWidth="1"/>
    <col min="16136" max="16137" width="9" style="4"/>
    <col min="16138" max="16138" width="9.38333333333333" style="4" customWidth="1"/>
    <col min="16139" max="16139" width="4" style="4" customWidth="1"/>
    <col min="16140" max="16140" width="5.13333333333333" style="4" customWidth="1"/>
    <col min="16141" max="16141" width="13.75" style="4" customWidth="1"/>
    <col min="16142" max="16384" width="9" style="4"/>
  </cols>
  <sheetData>
    <row r="1" s="1" customFormat="1" ht="14.25" spans="1:257">
      <c r="A1" s="5"/>
      <c r="B1" s="6" t="s">
        <v>2300</v>
      </c>
      <c r="C1" s="7">
        <f>项目基本情况!D2</f>
        <v>43426</v>
      </c>
      <c r="D1" s="6" t="s">
        <v>2301</v>
      </c>
      <c r="E1" s="8">
        <f>'数据-取费表'!B23</f>
        <v>2</v>
      </c>
      <c r="F1" s="6" t="s">
        <v>2302</v>
      </c>
      <c r="G1" s="9">
        <f ca="1">INDIRECT("d"&amp;$K$1)/100</f>
        <v>0.0475</v>
      </c>
      <c r="H1" s="6" t="s">
        <v>2303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2302</v>
      </c>
      <c r="E2" s="10"/>
      <c r="F2" s="10" t="s">
        <v>2304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2305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2306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2307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2308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2309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2311</v>
      </c>
      <c r="C10" s="34"/>
      <c r="D10" s="34"/>
      <c r="E10" s="34"/>
      <c r="F10" s="34"/>
      <c r="G10" s="34"/>
      <c r="H10" s="34"/>
      <c r="I10" s="2"/>
      <c r="J10" s="2"/>
      <c r="K10" s="34"/>
      <c r="L10" s="35" t="s">
        <v>2312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2313</v>
      </c>
      <c r="C11" s="38" t="s">
        <v>2314</v>
      </c>
      <c r="D11" s="39" t="s">
        <v>2315</v>
      </c>
      <c r="E11" s="40"/>
      <c r="F11" s="39" t="s">
        <v>2316</v>
      </c>
      <c r="G11" s="41"/>
      <c r="H11" s="40"/>
      <c r="I11" s="39" t="s">
        <v>2317</v>
      </c>
      <c r="J11" s="40"/>
      <c r="K11" s="36"/>
      <c r="L11" s="37" t="s">
        <v>2313</v>
      </c>
      <c r="M11" s="38" t="s">
        <v>2314</v>
      </c>
      <c r="N11" s="37" t="s">
        <v>2318</v>
      </c>
      <c r="O11" s="39" t="s">
        <v>2319</v>
      </c>
      <c r="P11" s="41"/>
      <c r="Q11" s="41"/>
      <c r="R11" s="41"/>
      <c r="S11" s="41"/>
      <c r="T11" s="40"/>
      <c r="U11" s="39" t="s">
        <v>2320</v>
      </c>
      <c r="V11" s="41"/>
      <c r="W11" s="40"/>
      <c r="X11" s="37" t="s">
        <v>2321</v>
      </c>
      <c r="Y11" s="37" t="s">
        <v>2322</v>
      </c>
      <c r="Z11" s="37" t="s">
        <v>2323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2324</v>
      </c>
      <c r="E12" s="45" t="s">
        <v>2306</v>
      </c>
      <c r="F12" s="45" t="s">
        <v>2307</v>
      </c>
      <c r="G12" s="45" t="s">
        <v>2308</v>
      </c>
      <c r="H12" s="45" t="s">
        <v>2309</v>
      </c>
      <c r="I12" s="56" t="s">
        <v>2325</v>
      </c>
      <c r="J12" s="56" t="s">
        <v>2325</v>
      </c>
      <c r="K12" s="42"/>
      <c r="L12" s="43"/>
      <c r="M12" s="44"/>
      <c r="N12" s="43"/>
      <c r="O12" s="56" t="s">
        <v>2326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2327</v>
      </c>
      <c r="C13" s="48">
        <v>42301</v>
      </c>
      <c r="D13" s="49">
        <v>4.35</v>
      </c>
      <c r="E13" s="49">
        <v>4.35</v>
      </c>
      <c r="F13" s="49">
        <v>4.75</v>
      </c>
      <c r="G13" s="49">
        <v>4.75</v>
      </c>
      <c r="H13" s="49">
        <v>4.9</v>
      </c>
      <c r="I13" s="49">
        <v>2.75</v>
      </c>
      <c r="J13" s="49">
        <v>3.25</v>
      </c>
      <c r="K13" s="46"/>
      <c r="L13" s="47" t="s">
        <v>2327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2328</v>
      </c>
      <c r="Y42" s="50" t="s">
        <v>2328</v>
      </c>
      <c r="Z42" s="50" t="s">
        <v>2328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2328</v>
      </c>
      <c r="Y43" s="50" t="s">
        <v>2328</v>
      </c>
      <c r="Z43" s="50" t="s">
        <v>2328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2328</v>
      </c>
      <c r="Y44" s="50" t="s">
        <v>2328</v>
      </c>
      <c r="Z44" s="50" t="s">
        <v>2328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2328</v>
      </c>
      <c r="Y45" s="50" t="s">
        <v>2328</v>
      </c>
      <c r="Z45" s="50" t="s">
        <v>2328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2328</v>
      </c>
      <c r="Y46" s="50" t="s">
        <v>2328</v>
      </c>
      <c r="Z46" s="50" t="s">
        <v>2328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2328</v>
      </c>
      <c r="Y47" s="50" t="s">
        <v>2328</v>
      </c>
      <c r="Z47" s="50" t="s">
        <v>2328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2328</v>
      </c>
      <c r="Y48" s="50" t="s">
        <v>2328</v>
      </c>
      <c r="Z48" s="50" t="s">
        <v>2328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2328</v>
      </c>
      <c r="Y49" s="50" t="s">
        <v>2328</v>
      </c>
      <c r="Z49" s="50" t="s">
        <v>2328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2328</v>
      </c>
      <c r="Y50" s="50" t="s">
        <v>2328</v>
      </c>
      <c r="Z50" s="50" t="s">
        <v>2328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2328</v>
      </c>
      <c r="V51" s="50" t="s">
        <v>2328</v>
      </c>
      <c r="W51" s="50" t="s">
        <v>2328</v>
      </c>
      <c r="X51" s="50" t="s">
        <v>2328</v>
      </c>
      <c r="Y51" s="50" t="s">
        <v>2328</v>
      </c>
      <c r="Z51" s="50" t="s">
        <v>2328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2328</v>
      </c>
      <c r="J55" s="50" t="s">
        <v>2328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3333333333333" style="2921" customWidth="1"/>
    <col min="2" max="2" width="37.8833333333333" style="2921" customWidth="1"/>
    <col min="3" max="3" width="16.1333333333333" style="2921" customWidth="1"/>
    <col min="4" max="4" width="22.25" style="2921" customWidth="1"/>
    <col min="5" max="5" width="4.13333333333333" style="2921" customWidth="1"/>
    <col min="6" max="7" width="13" style="2921" customWidth="1"/>
    <col min="8" max="16384" width="9" style="2921"/>
  </cols>
  <sheetData>
    <row r="1" ht="18.75" spans="1:5">
      <c r="A1" s="2922" t="s">
        <v>86</v>
      </c>
      <c r="B1" s="2923"/>
      <c r="C1" s="2923"/>
      <c r="D1" s="2923"/>
      <c r="E1" s="2923"/>
    </row>
    <row r="2" ht="78.75" customHeight="1" spans="1:5">
      <c r="A2" s="29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4"/>
      <c r="C2" s="2924"/>
      <c r="D2" s="2924"/>
      <c r="E2" s="2924"/>
    </row>
    <row r="3" customHeight="1" spans="1:5">
      <c r="A3" s="2925"/>
      <c r="B3" s="2925"/>
      <c r="C3" s="2925"/>
      <c r="D3" s="2925"/>
      <c r="E3" s="2925"/>
    </row>
    <row r="4" ht="19.5" spans="1:5">
      <c r="A4" s="2926" t="str">
        <f>IF(项目基本情况!D5="房地产市场价值","估价结果一览表（市场价值不需本页表格)","估价结果一览表")</f>
        <v>估价结果一览表（市场价值不需本页表格)</v>
      </c>
      <c r="B4" s="2926"/>
      <c r="C4" s="2926"/>
      <c r="D4" s="2926"/>
      <c r="E4" s="2926"/>
    </row>
    <row r="5" ht="14.25" customHeight="1" spans="1:5">
      <c r="A5" s="2923"/>
      <c r="B5" s="2927" t="s">
        <v>87</v>
      </c>
      <c r="C5" s="2928" t="s">
        <v>88</v>
      </c>
      <c r="D5" s="2929"/>
      <c r="E5" s="2923"/>
    </row>
    <row r="6" ht="14.25" spans="1:5">
      <c r="A6" s="2923"/>
      <c r="B6" s="2930" t="str">
        <f>项目基本情况!I1</f>
        <v>北京市房地产</v>
      </c>
      <c r="C6" s="2931">
        <f>项目基本情况!C12</f>
        <v>223.88</v>
      </c>
      <c r="D6" s="2931"/>
      <c r="E6" s="2923"/>
    </row>
    <row r="7" ht="14.25" spans="1:5">
      <c r="A7" s="2923"/>
      <c r="B7" s="2932" t="s">
        <v>89</v>
      </c>
      <c r="C7" s="2933" t="str">
        <f>IF('数据-取费表'!B3="万元","总价（万元）","总价（元）")</f>
        <v>总价（元）</v>
      </c>
      <c r="D7" s="2931">
        <f ca="1">IF('数据-取费表'!E3="否",结果表!I102,'结果表 (1修多)'!I103)</f>
        <v>11221313</v>
      </c>
      <c r="E7" s="2923"/>
    </row>
    <row r="8" ht="28.5" spans="1:5">
      <c r="A8" s="2923"/>
      <c r="B8" s="2932"/>
      <c r="C8" s="2934" t="s">
        <v>90</v>
      </c>
      <c r="D8" s="2935" t="str">
        <f ca="1">IF('数据-取费表'!B3="万元",NUMBERSTRING(INT(D7*10000),2)&amp;"元整",NUMBERSTRING(INT(D7),2)&amp;"元整")</f>
        <v>壹仟壹佰贰拾贰万壹仟叁佰壹拾叁元整</v>
      </c>
      <c r="E8" s="2923"/>
    </row>
    <row r="9" ht="14.25" spans="1:5">
      <c r="A9" s="2923"/>
      <c r="B9" s="2932"/>
      <c r="C9" s="2936" t="s">
        <v>91</v>
      </c>
      <c r="D9" s="2931">
        <f ca="1">IF('数据-取费表'!E3="否",结果表!I103,'结果表 (1修多)'!I104)</f>
        <v>50122</v>
      </c>
      <c r="E9" s="2923"/>
    </row>
    <row r="10" ht="14.25" spans="1:5">
      <c r="A10" s="2923"/>
      <c r="B10" s="2930" t="str">
        <f>IF('数据-取费表'!E3="否",结果表!F105,'结果表 (1修多)'!F106)</f>
        <v>2.估价师所知悉的法定优先受偿款</v>
      </c>
      <c r="C10" s="2937" t="str">
        <f>IF('数据-取费表'!B3="万元","总额（万元）","总额（元）")</f>
        <v>总额（元）</v>
      </c>
      <c r="D10" s="2931">
        <f>IF('数据-取费表'!E3="否",结果表!I105,'结果表 (1修多)'!I106)</f>
        <v>0</v>
      </c>
      <c r="E10" s="2923"/>
    </row>
    <row r="11" ht="14.25" spans="1:5">
      <c r="A11" s="2923"/>
      <c r="B11" s="2930"/>
      <c r="C11" s="2934" t="s">
        <v>90</v>
      </c>
      <c r="D11" s="2935" t="str">
        <f>IF('数据-取费表'!B3="万元",NUMBERSTRING(INT(D10*10000),2)&amp;"元整",NUMBERSTRING(INT(D10),2)&amp;"元整")</f>
        <v>零元整</v>
      </c>
      <c r="E11" s="2923"/>
    </row>
    <row r="12" ht="14.25" spans="1:5">
      <c r="A12" s="2923"/>
      <c r="B12" s="2938" t="s">
        <v>92</v>
      </c>
      <c r="C12" s="2939" t="str">
        <f>C10</f>
        <v>总额（元）</v>
      </c>
      <c r="D12" s="2940">
        <f>IF('数据-取费表'!E3="否",结果表!I106,'结果表 (1修多)'!I107)</f>
        <v>0</v>
      </c>
      <c r="E12" s="2923"/>
    </row>
    <row r="13" ht="14.25" spans="1:5">
      <c r="A13" s="2923"/>
      <c r="B13" s="2938" t="s">
        <v>93</v>
      </c>
      <c r="C13" s="2939" t="str">
        <f>C10</f>
        <v>总额（元）</v>
      </c>
      <c r="D13" s="2940">
        <f>IF('数据-取费表'!E3="否",结果表!I107,'结果表 (1修多)'!I108)</f>
        <v>0</v>
      </c>
      <c r="E13" s="2923"/>
    </row>
    <row r="14" ht="14.25" spans="1:5">
      <c r="A14" s="2923"/>
      <c r="B14" s="2938" t="s">
        <v>94</v>
      </c>
      <c r="C14" s="2939" t="str">
        <f>C10</f>
        <v>总额（元）</v>
      </c>
      <c r="D14" s="2940">
        <f>IF('数据-取费表'!E3="否",结果表!I108,'结果表 (1修多)'!I109)</f>
        <v>0</v>
      </c>
      <c r="E14" s="2923"/>
    </row>
    <row r="15" ht="14.25" spans="1:5">
      <c r="A15" s="2923"/>
      <c r="B15" s="2930" t="str">
        <f>IF('数据-取费表'!E3="否",结果表!F110,'结果表 (1修多)'!F111)</f>
        <v>3.房地产抵押价值</v>
      </c>
      <c r="C15" s="2941" t="str">
        <f>C7</f>
        <v>总价（元）</v>
      </c>
      <c r="D15" s="2931">
        <f ca="1">IF('数据-取费表'!E3="否",结果表!I110,'结果表 (1修多)'!I111)</f>
        <v>11221313</v>
      </c>
      <c r="E15" s="2923"/>
    </row>
    <row r="16" ht="28.5" spans="1:5">
      <c r="A16" s="2923"/>
      <c r="B16" s="2930"/>
      <c r="C16" s="2934" t="s">
        <v>90</v>
      </c>
      <c r="D16" s="2931" t="str">
        <f ca="1">IF('数据-取费表'!B3="万元",NUMBERSTRING(INT(D15*10000),2)&amp;"元整",NUMBERSTRING(INT(D15),2)&amp;"元整")</f>
        <v>壹仟壹佰贰拾贰万壹仟叁佰壹拾叁元整</v>
      </c>
      <c r="E16" s="2923"/>
    </row>
    <row r="17" ht="14.25" spans="1:5">
      <c r="A17" s="2923"/>
      <c r="B17" s="2930"/>
      <c r="C17" s="2936" t="s">
        <v>91</v>
      </c>
      <c r="D17" s="2931">
        <f ca="1">IF('数据-取费表'!E3="否",结果表!I111,'结果表 (1修多)'!I112)</f>
        <v>50122</v>
      </c>
      <c r="E17" s="2923"/>
    </row>
    <row r="18" ht="14.25" spans="1:5">
      <c r="A18" s="2923"/>
      <c r="B18" s="2930" t="str">
        <f>IF('数据-取费表'!E3="否",结果表!F112,'结果表 (1修多)'!F113)</f>
        <v>——</v>
      </c>
      <c r="C18" s="2941" t="str">
        <f>C7</f>
        <v>总价（元）</v>
      </c>
      <c r="D18" s="2931" t="str">
        <f ca="1">IF('数据-取费表'!E3="否",结果表!I112,'结果表 (1修多)'!I113)</f>
        <v>——</v>
      </c>
      <c r="E18" s="2923"/>
    </row>
    <row r="19" ht="14.25" spans="1:5">
      <c r="A19" s="2923"/>
      <c r="B19" s="2930"/>
      <c r="C19" s="2934" t="s">
        <v>90</v>
      </c>
      <c r="D19" s="2931" t="e">
        <f ca="1">IF('数据-取费表'!B3="万元",NUMBERSTRING(INT(D18*10000),2)&amp;"元整",NUMBERSTRING(INT(D18),2)&amp;"元整")</f>
        <v>#VALUE!</v>
      </c>
      <c r="E19" s="2923"/>
    </row>
    <row r="20" ht="14.25" spans="1:5">
      <c r="A20" s="2923"/>
      <c r="B20" s="2930"/>
      <c r="C20" s="2936" t="s">
        <v>91</v>
      </c>
      <c r="D20" s="2931" t="str">
        <f ca="1">IF('数据-取费表'!E3="否",结果表!I113,'结果表 (1修多)'!I114)</f>
        <v>——</v>
      </c>
      <c r="E20" s="2923"/>
    </row>
    <row r="21" ht="14.25" spans="1:5">
      <c r="A21" s="2923"/>
      <c r="B21" s="2932" t="str">
        <f>IF('数据-取费表'!E3="否",结果表!F114,'结果表 (1修多)'!F115)</f>
        <v>——</v>
      </c>
      <c r="C21" s="2933" t="str">
        <f>C7</f>
        <v>总价（元）</v>
      </c>
      <c r="D21" s="2931" t="str">
        <f ca="1">IF('数据-取费表'!E3="否",结果表!I114,'结果表 (1修多)'!I115)</f>
        <v>——</v>
      </c>
      <c r="E21" s="2923"/>
    </row>
    <row r="22" ht="14.25" spans="1:5">
      <c r="A22" s="2923"/>
      <c r="B22" s="2932"/>
      <c r="C22" s="2934" t="s">
        <v>90</v>
      </c>
      <c r="D22" s="2935" t="e">
        <f ca="1">IF('数据-取费表'!B3="万元",NUMBERSTRING(INT(D21*10000),2)&amp;"元整",NUMBERSTRING(INT(D21),2)&amp;"元整")</f>
        <v>#VALUE!</v>
      </c>
      <c r="E22" s="2923"/>
    </row>
    <row r="23" ht="15" spans="1:5">
      <c r="A23" s="2923"/>
      <c r="B23" s="2942"/>
      <c r="C23" s="2943" t="s">
        <v>91</v>
      </c>
      <c r="D23" s="2944" t="str">
        <f ca="1">IF('数据-取费表'!E3="否",结果表!I115,'结果表 (1修多)'!I116)</f>
        <v>——</v>
      </c>
      <c r="E23" s="2923"/>
    </row>
    <row r="24" ht="14.25" spans="1:5">
      <c r="A24" s="2923"/>
      <c r="B24" s="2923"/>
      <c r="C24" s="2923"/>
      <c r="D24" s="2923"/>
      <c r="E24" s="2923"/>
    </row>
    <row r="25" ht="18.75" customHeight="1" spans="1:5">
      <c r="A25" s="2923"/>
      <c r="B25" s="2945" t="s">
        <v>95</v>
      </c>
      <c r="C25" s="2945"/>
      <c r="D25" s="2945"/>
      <c r="E25" s="2923"/>
    </row>
    <row r="26" ht="18.75" customHeight="1" spans="1:5">
      <c r="A26" s="2923"/>
      <c r="B26" s="2946" t="s">
        <v>96</v>
      </c>
      <c r="C26" s="2947"/>
      <c r="D26" s="2948" t="s">
        <v>97</v>
      </c>
      <c r="E26" s="2923"/>
    </row>
    <row r="27" ht="18.75" customHeight="1" spans="1:5">
      <c r="A27" s="2923"/>
      <c r="B27" s="2949"/>
      <c r="C27" s="2950"/>
      <c r="D27" s="2951"/>
      <c r="E27" s="2923"/>
    </row>
    <row r="28" ht="14.25" spans="1:5">
      <c r="A28" s="2923"/>
      <c r="B28" s="2952" t="s">
        <v>89</v>
      </c>
      <c r="C28" s="2953" t="s">
        <v>98</v>
      </c>
      <c r="D28" s="2954">
        <f ca="1">IF('数据-取费表'!E3="否",结果表!I102,'结果表 (1修多)'!I103)</f>
        <v>11221313</v>
      </c>
      <c r="E28" s="2923"/>
    </row>
    <row r="29" ht="28.5" spans="1:5">
      <c r="A29" s="2923"/>
      <c r="B29" s="2955"/>
      <c r="C29" s="2956" t="s">
        <v>90</v>
      </c>
      <c r="D29" s="2957" t="str">
        <f ca="1">IF('数据-取费表'!B3="万元",NUMBERSTRING(INT(D28*10000),2)&amp;"元整",NUMBERSTRING(INT(D28),2)&amp;"元整")</f>
        <v>壹仟壹佰贰拾贰万壹仟叁佰壹拾叁元整</v>
      </c>
      <c r="E29" s="2923"/>
    </row>
    <row r="30" ht="14.25" spans="1:5">
      <c r="A30" s="2923"/>
      <c r="B30" s="2958"/>
      <c r="C30" s="2936" t="s">
        <v>99</v>
      </c>
      <c r="D30" s="2959">
        <f ca="1">IF('数据-取费表'!E3="否",结果表!I103,'结果表 (1修多)'!I104)</f>
        <v>50122</v>
      </c>
      <c r="E30" s="2923"/>
    </row>
    <row r="31" ht="14.25" spans="1:5">
      <c r="A31" s="2923"/>
      <c r="B31" s="2960" t="str">
        <f>B10</f>
        <v>2.估价师所知悉的法定优先受偿款</v>
      </c>
      <c r="C31" s="2961" t="s">
        <v>100</v>
      </c>
      <c r="D31" s="2951">
        <f>IF('数据-取费表'!E3="否",结果表!I105,'结果表 (1修多)'!I106)</f>
        <v>0</v>
      </c>
      <c r="E31" s="2923"/>
    </row>
    <row r="32" ht="14.25" spans="1:5">
      <c r="A32" s="2923"/>
      <c r="B32" s="2953"/>
      <c r="C32" s="2956" t="s">
        <v>90</v>
      </c>
      <c r="D32" s="2962" t="str">
        <f>IF('数据-取费表'!B3="万元",NUMBERSTRING(INT(D31*10000),2)&amp;"元整",NUMBERSTRING(INT(D31),2)&amp;"元整")</f>
        <v>零元整</v>
      </c>
      <c r="E32" s="2923"/>
    </row>
    <row r="33" ht="14.25" spans="1:5">
      <c r="A33" s="2923"/>
      <c r="B33" s="2934" t="s">
        <v>92</v>
      </c>
      <c r="C33" s="2934" t="str">
        <f>C31</f>
        <v>总额</v>
      </c>
      <c r="D33" s="2959">
        <f>IF('数据-取费表'!E3="否",结果表!I106,'结果表 (1修多)'!I107)</f>
        <v>0</v>
      </c>
      <c r="E33" s="2923"/>
    </row>
    <row r="34" ht="14.25" spans="1:5">
      <c r="A34" s="2923"/>
      <c r="B34" s="2934" t="s">
        <v>93</v>
      </c>
      <c r="C34" s="2934" t="str">
        <f>C31</f>
        <v>总额</v>
      </c>
      <c r="D34" s="2959">
        <f>IF('数据-取费表'!E3="否",结果表!I107,'结果表 (1修多)'!I108)</f>
        <v>0</v>
      </c>
      <c r="E34" s="2923"/>
    </row>
    <row r="35" ht="14.25" spans="1:5">
      <c r="A35" s="2923"/>
      <c r="B35" s="2934" t="s">
        <v>94</v>
      </c>
      <c r="C35" s="2934" t="str">
        <f>C31</f>
        <v>总额</v>
      </c>
      <c r="D35" s="2959">
        <f>IF('数据-取费表'!E3="否",结果表!I108,'结果表 (1修多)'!I109)</f>
        <v>0</v>
      </c>
      <c r="E35" s="2923"/>
    </row>
    <row r="36" ht="14.25" spans="1:5">
      <c r="A36" s="2923"/>
      <c r="B36" s="2961" t="str">
        <f>B15</f>
        <v>3.房地产抵押价值</v>
      </c>
      <c r="C36" s="2961" t="str">
        <f>C28</f>
        <v>总价</v>
      </c>
      <c r="D36" s="2951">
        <f ca="1">IF('数据-取费表'!E3="否",结果表!I110,'结果表 (1修多)'!I111)</f>
        <v>11221313</v>
      </c>
      <c r="E36" s="2923"/>
    </row>
    <row r="37" ht="28.5" spans="1:5">
      <c r="A37" s="2923"/>
      <c r="B37" s="2961"/>
      <c r="C37" s="2956" t="s">
        <v>90</v>
      </c>
      <c r="D37" s="2962" t="str">
        <f ca="1">IF('数据-取费表'!B3="万元",NUMBERSTRING(INT(D36*10000),2)&amp;"元整",NUMBERSTRING(INT(D36),2)&amp;"元整")</f>
        <v>壹仟壹佰贰拾贰万壹仟叁佰壹拾叁元整</v>
      </c>
      <c r="E37" s="2923"/>
    </row>
    <row r="38" ht="14.25" spans="1:5">
      <c r="A38" s="2923"/>
      <c r="B38" s="2961"/>
      <c r="C38" s="2936" t="s">
        <v>99</v>
      </c>
      <c r="D38" s="2959">
        <f ca="1">IF('数据-取费表'!E3="否",结果表!D113,'结果表 (1修多)'!D116)</f>
        <v>50122</v>
      </c>
      <c r="E38" s="2923"/>
    </row>
    <row r="39" ht="14.25" spans="1:5">
      <c r="A39" s="2923"/>
      <c r="B39" s="2963" t="str">
        <f>B18</f>
        <v>——</v>
      </c>
      <c r="C39" s="2961" t="str">
        <f>C28</f>
        <v>总价</v>
      </c>
      <c r="D39" s="2951" t="str">
        <f ca="1">IF('数据-取费表'!E3="否",结果表!I112,'结果表 (1修多)'!I113)</f>
        <v>——</v>
      </c>
      <c r="E39" s="2923"/>
    </row>
    <row r="40" ht="14.25" spans="1:5">
      <c r="A40" s="2923"/>
      <c r="B40" s="2963"/>
      <c r="C40" s="2956" t="s">
        <v>90</v>
      </c>
      <c r="D40" s="2962" t="e">
        <f ca="1">IF('数据-取费表'!B3="万元",NUMBERSTRING(INT(D39*10000),2)&amp;"元整",NUMBERSTRING(INT(D39),2)&amp;"元整")</f>
        <v>#VALUE!</v>
      </c>
      <c r="E40" s="2923"/>
    </row>
    <row r="41" ht="14.25" spans="1:5">
      <c r="A41" s="2923"/>
      <c r="B41" s="2963"/>
      <c r="C41" s="2936" t="s">
        <v>99</v>
      </c>
      <c r="D41" s="2959" t="str">
        <f ca="1">IF('数据-取费表'!E3="否",结果表!D115,'结果表 (1修多)'!D118)</f>
        <v>——</v>
      </c>
      <c r="E41" s="2923"/>
    </row>
    <row r="42" ht="14.25" spans="1:5">
      <c r="A42" s="2923"/>
      <c r="B42" s="2961" t="str">
        <f>B21</f>
        <v>——</v>
      </c>
      <c r="C42" s="2961" t="str">
        <f>C28</f>
        <v>总价</v>
      </c>
      <c r="D42" s="2951" t="str">
        <f ca="1">IF('数据-取费表'!E3="否",结果表!I114,'结果表 (1修多)'!I115)</f>
        <v>——</v>
      </c>
      <c r="E42" s="2923"/>
    </row>
    <row r="43" ht="14.25" spans="1:5">
      <c r="A43" s="2923"/>
      <c r="B43" s="2960"/>
      <c r="C43" s="2956" t="s">
        <v>90</v>
      </c>
      <c r="D43" s="2964" t="e">
        <f ca="1">IF('数据-取费表'!B3="万元",NUMBERSTRING(INT(D42*10000),2)&amp;"元整",NUMBERSTRING(INT(D42),2)&amp;"元整")</f>
        <v>#VALUE!</v>
      </c>
      <c r="E43" s="2923"/>
    </row>
    <row r="44" ht="15" spans="1:5">
      <c r="A44" s="2923"/>
      <c r="B44" s="2965"/>
      <c r="C44" s="2943" t="s">
        <v>99</v>
      </c>
      <c r="D44" s="2966" t="str">
        <f ca="1">IF('数据-取费表'!E3="否",结果表!D117,'结果表 (1修多)'!D120)</f>
        <v>——</v>
      </c>
      <c r="E44" s="2923"/>
    </row>
    <row r="45" ht="14.25" spans="1:5">
      <c r="A45" s="2923"/>
      <c r="B45" s="2923" t="str">
        <f>IF('数据-取费表'!B3="元","单位：元、元/平方米（单位：人民币）","单位：万元、元/平方米（单位：人民币）")</f>
        <v>单位：元、元/平方米（单位：人民币）</v>
      </c>
      <c r="C45" s="2923"/>
      <c r="D45" s="2923"/>
      <c r="E45" s="2923"/>
    </row>
    <row r="46" ht="18.75" spans="2:2">
      <c r="B46" s="29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1" customWidth="1"/>
    <col min="2" max="9" width="12.25" style="2891" customWidth="1"/>
    <col min="10" max="16384" width="9" style="2891"/>
  </cols>
  <sheetData>
    <row r="1" ht="16.5" spans="1:9">
      <c r="A1" s="2910" t="str">
        <f>IF(项目基本情况!D5="房地产市场价值","估价结果一览表","结果表-2")</f>
        <v>估价结果一览表</v>
      </c>
      <c r="B1" s="2910"/>
      <c r="C1" s="2910"/>
      <c r="D1" s="2910"/>
      <c r="E1" s="2910"/>
      <c r="F1" s="2910"/>
      <c r="G1" s="2910"/>
      <c r="H1" s="2910"/>
      <c r="I1" s="2910"/>
    </row>
    <row r="2" ht="30" customHeight="1" spans="1:9">
      <c r="A2" s="2911" t="s">
        <v>102</v>
      </c>
      <c r="B2" s="2911" t="s">
        <v>103</v>
      </c>
      <c r="C2" s="2911" t="s">
        <v>104</v>
      </c>
      <c r="D2" s="2911" t="str">
        <f>IF('数据-取费表'!E3="否",结果表!D119,'结果表 (1修多)'!D122)</f>
        <v>出让国有建设用地使用权价值</v>
      </c>
      <c r="E2" s="2911"/>
      <c r="F2" s="2911" t="s">
        <v>105</v>
      </c>
      <c r="G2" s="2911"/>
      <c r="H2" s="2911" t="s">
        <v>106</v>
      </c>
      <c r="I2" s="2911"/>
    </row>
    <row r="3" ht="15" spans="1:9">
      <c r="A3" s="2912"/>
      <c r="B3" s="2912"/>
      <c r="C3" s="2912"/>
      <c r="D3" s="2912" t="s">
        <v>107</v>
      </c>
      <c r="E3" s="2912" t="s">
        <v>108</v>
      </c>
      <c r="F3" s="2912" t="s">
        <v>107</v>
      </c>
      <c r="G3" s="2912" t="s">
        <v>108</v>
      </c>
      <c r="H3" s="2912" t="s">
        <v>107</v>
      </c>
      <c r="I3" s="2912" t="s">
        <v>108</v>
      </c>
    </row>
    <row r="4" ht="46.5" customHeight="1" spans="1:9">
      <c r="A4" s="2912" t="str">
        <f>项目基本情况!I1</f>
        <v>北京市房地产</v>
      </c>
      <c r="B4" s="2912">
        <f>结果表!B121</f>
        <v>223.88</v>
      </c>
      <c r="C4" s="2912">
        <f>结果表!C121</f>
        <v>0</v>
      </c>
      <c r="D4" s="2912">
        <f ca="1">IF('数据-取费表'!E3="否",结果表!D121,'结果表 (1修多)'!D124)</f>
        <v>10166615</v>
      </c>
      <c r="E4" s="2912">
        <f ca="1">IF('数据-取费表'!E3="否",结果表!E121,'结果表 (1修多)'!E124)</f>
        <v>45411</v>
      </c>
      <c r="F4" s="2912">
        <f ca="1">IF('数据-取费表'!E3="否",结果表!F121,'结果表 (1修多)'!F124)</f>
        <v>1054699</v>
      </c>
      <c r="G4" s="2912">
        <f ca="1">IF('数据-取费表'!E3="否",结果表!G121,'结果表 (1修多)'!G124)</f>
        <v>4711</v>
      </c>
      <c r="H4" s="2912">
        <f ca="1">IF('数据-取费表'!E3="否",结果表!H121,'结果表 (1修多)'!H124)</f>
        <v>11221313</v>
      </c>
      <c r="I4" s="2912">
        <f ca="1">IF('数据-取费表'!E3="否",结果表!I121,'结果表 (1修多)'!I124)</f>
        <v>50122</v>
      </c>
    </row>
    <row r="5" ht="15" spans="1:9">
      <c r="A5" s="2912" t="s">
        <v>109</v>
      </c>
      <c r="B5" s="2912"/>
      <c r="C5" s="2912"/>
      <c r="D5" s="2913" t="str">
        <f ca="1">IF('数据-取费表'!E3="否",结果表!D122,'结果表 (1修多)'!D125)</f>
        <v>壹仟零壹拾陆万陆仟陆佰壹拾伍元整</v>
      </c>
      <c r="E5" s="2913"/>
      <c r="F5" s="2913" t="str">
        <f ca="1">IF('数据-取费表'!E3="否",结果表!F122,'结果表 (1修多)'!F125)</f>
        <v>壹佰零伍万肆仟陆佰玖拾玖元整</v>
      </c>
      <c r="G5" s="2913"/>
      <c r="H5" s="2913" t="str">
        <f ca="1">IF('数据-取费表'!E3="否",结果表!H122,'结果表 (1修多)'!H125)</f>
        <v>壹仟壹佰贰拾贰万壹仟叁佰壹拾叁元整</v>
      </c>
      <c r="I5" s="2913"/>
    </row>
    <row r="6" ht="15.75" spans="1:9">
      <c r="A6" s="2914" t="str">
        <f>IF('数据-取费表'!E3="否",结果表!A123,'结果表 (1修多)'!A126)</f>
        <v>——</v>
      </c>
      <c r="B6" s="2914"/>
      <c r="C6" s="2914"/>
      <c r="D6" s="2914">
        <f>IF('数据-取费表'!E3="否",结果表!D123,'结果表 (1修多)'!D126)</f>
        <v>0</v>
      </c>
      <c r="E6" s="2914"/>
      <c r="F6" s="2914"/>
      <c r="G6" s="2914"/>
      <c r="H6" s="2914"/>
      <c r="I6" s="2914"/>
    </row>
    <row r="7" ht="15" spans="1:9">
      <c r="A7" s="2912" t="s">
        <v>109</v>
      </c>
      <c r="B7" s="2912"/>
      <c r="C7" s="2912"/>
      <c r="D7" s="2915">
        <f>IF('数据-取费表'!E3="否",结果表!D124,'结果表 (1修多)'!D127)</f>
        <v>0</v>
      </c>
      <c r="E7" s="2916"/>
      <c r="F7" s="2916"/>
      <c r="G7" s="2916"/>
      <c r="H7" s="2916"/>
      <c r="I7" s="2920"/>
    </row>
    <row r="8" ht="15.75" spans="1:9">
      <c r="A8" s="2914" t="str">
        <f>IF('数据-取费表'!E3="否",结果表!A125,'结果表 (1修多)'!A128)</f>
        <v>——</v>
      </c>
      <c r="B8" s="2914"/>
      <c r="C8" s="2914"/>
      <c r="D8" s="2914">
        <f ca="1">IF('数据-取费表'!E3="否",结果表!D125,'结果表 (1修多)'!D128)</f>
        <v>11221313</v>
      </c>
      <c r="E8" s="2914"/>
      <c r="F8" s="2914"/>
      <c r="G8" s="2914"/>
      <c r="H8" s="2914"/>
      <c r="I8" s="2914"/>
    </row>
    <row r="9" ht="15" spans="1:9">
      <c r="A9" s="2912" t="s">
        <v>109</v>
      </c>
      <c r="B9" s="2912"/>
      <c r="C9" s="2912"/>
      <c r="D9" s="2913">
        <f ca="1">IF('数据-取费表'!E3="否",结果表!D126,'结果表 (1修多)'!D129)</f>
        <v>50122</v>
      </c>
      <c r="E9" s="2913"/>
      <c r="F9" s="2913"/>
      <c r="G9" s="2913"/>
      <c r="H9" s="2913"/>
      <c r="I9" s="2913"/>
    </row>
    <row r="10" ht="15.75" spans="1:9">
      <c r="A10" s="2914" t="str">
        <f>IF('数据-取费表'!E3="否",结果表!A127,'结果表 (1修多)'!A130)</f>
        <v>——</v>
      </c>
      <c r="B10" s="2914"/>
      <c r="C10" s="2914"/>
      <c r="D10" s="2914" t="str">
        <f ca="1">IF('数据-取费表'!E3="否",结果表!D127,'结果表 (1修多)'!D129)</f>
        <v>——</v>
      </c>
      <c r="E10" s="2914"/>
      <c r="F10" s="2914"/>
      <c r="G10" s="2914"/>
      <c r="H10" s="2914"/>
      <c r="I10" s="2914"/>
    </row>
    <row r="11" ht="15" spans="1:9">
      <c r="A11" s="2912" t="s">
        <v>109</v>
      </c>
      <c r="B11" s="2912"/>
      <c r="C11" s="2912"/>
      <c r="D11" s="2913" t="str">
        <f ca="1">IF('数据-取费表'!E3="否",结果表!D128,'结果表 (1修多)'!D131)</f>
        <v>——</v>
      </c>
      <c r="E11" s="2913"/>
      <c r="F11" s="2913"/>
      <c r="G11" s="2913"/>
      <c r="H11" s="2913"/>
      <c r="I11" s="2913"/>
    </row>
    <row r="12" ht="15.75" spans="1:9">
      <c r="A12" s="2914" t="str">
        <f>IF('数据-取费表'!E3="否",结果表!A129,'结果表 (1修多)'!A132)</f>
        <v>——</v>
      </c>
      <c r="B12" s="2914"/>
      <c r="C12" s="2914"/>
      <c r="D12" s="2914" t="str">
        <f ca="1">IF('数据-取费表'!E3="否",结果表!D129,'结果表 (1修多)'!D132)</f>
        <v>——</v>
      </c>
      <c r="E12" s="2914"/>
      <c r="F12" s="2914"/>
      <c r="G12" s="2914"/>
      <c r="H12" s="2914"/>
      <c r="I12" s="2914"/>
    </row>
    <row r="13" ht="15.75" spans="1:9">
      <c r="A13" s="2917" t="s">
        <v>109</v>
      </c>
      <c r="B13" s="2917"/>
      <c r="C13" s="2917"/>
      <c r="D13" s="2918">
        <f>IF('数据-取费表'!E3="否",结果表!D130,'结果表 (1修多)'!D133)</f>
        <v>0</v>
      </c>
      <c r="E13" s="2918"/>
      <c r="F13" s="2918"/>
      <c r="G13" s="2918"/>
      <c r="H13" s="2918"/>
      <c r="I13" s="2918"/>
    </row>
    <row r="14" spans="1:9">
      <c r="A14" s="2919" t="str">
        <f>IF('数据-取费表'!E3="否",结果表!A131,'结果表 (1修多)'!A134)</f>
        <v>单位：平方米、元、元/平方米（币种：人民币）</v>
      </c>
      <c r="B14" s="2919"/>
      <c r="C14" s="2919"/>
      <c r="D14" s="2919"/>
      <c r="E14" s="2919"/>
      <c r="F14" s="2919"/>
      <c r="G14" s="2919"/>
      <c r="H14" s="2919"/>
      <c r="I14" s="2919"/>
    </row>
    <row r="15" spans="1:9">
      <c r="A15" s="2824"/>
      <c r="B15" s="2824"/>
      <c r="C15" s="2824"/>
      <c r="D15" s="2824"/>
      <c r="E15" s="2824"/>
      <c r="F15" s="2824"/>
      <c r="G15" s="2824"/>
      <c r="H15" s="2824"/>
      <c r="I15" s="2824"/>
    </row>
    <row r="16" ht="18.75" spans="1:9">
      <c r="A16" s="2869" t="s">
        <v>110</v>
      </c>
      <c r="B16" s="2824"/>
      <c r="C16" s="2824"/>
      <c r="D16" s="2824"/>
      <c r="E16" s="2824"/>
      <c r="F16" s="2824"/>
      <c r="G16" s="2824"/>
      <c r="H16" s="2824"/>
      <c r="I16" s="2824"/>
    </row>
    <row r="17" spans="1:9">
      <c r="A17" s="2824"/>
      <c r="B17" s="2824"/>
      <c r="C17" s="2824"/>
      <c r="D17" s="2824"/>
      <c r="E17" s="2824"/>
      <c r="F17" s="2824"/>
      <c r="G17" s="2824"/>
      <c r="H17" s="2824"/>
      <c r="I17" s="2824"/>
    </row>
    <row r="18" spans="1:9">
      <c r="A18" s="2824"/>
      <c r="B18" s="2824"/>
      <c r="C18" s="2824"/>
      <c r="D18" s="2824"/>
      <c r="E18" s="2824"/>
      <c r="F18" s="2824"/>
      <c r="G18" s="2824"/>
      <c r="H18" s="2824"/>
      <c r="I18" s="2824"/>
    </row>
    <row r="19" spans="1:9">
      <c r="A19" s="2824"/>
      <c r="B19" s="2824"/>
      <c r="C19" s="2824"/>
      <c r="D19" s="2824"/>
      <c r="E19" s="2824"/>
      <c r="F19" s="2824"/>
      <c r="G19" s="2824"/>
      <c r="H19" s="2824"/>
      <c r="I19" s="2824"/>
    </row>
    <row r="20" spans="1:9">
      <c r="A20" s="2824"/>
      <c r="B20" s="2824"/>
      <c r="C20" s="2824"/>
      <c r="D20" s="2824"/>
      <c r="E20" s="2824"/>
      <c r="F20" s="2824"/>
      <c r="G20" s="2824"/>
      <c r="H20" s="2824"/>
      <c r="I20" s="2824"/>
    </row>
    <row r="21" spans="1:9">
      <c r="A21" s="2824"/>
      <c r="B21" s="2824"/>
      <c r="C21" s="2824"/>
      <c r="D21" s="2824"/>
      <c r="E21" s="2824"/>
      <c r="F21" s="2824"/>
      <c r="G21" s="2824"/>
      <c r="H21" s="2824"/>
      <c r="I21" s="2824"/>
    </row>
    <row r="22" spans="1:9">
      <c r="A22" s="2824"/>
      <c r="B22" s="2824"/>
      <c r="C22" s="2824"/>
      <c r="D22" s="2824"/>
      <c r="E22" s="2824"/>
      <c r="F22" s="2824"/>
      <c r="G22" s="2824"/>
      <c r="H22" s="2824"/>
      <c r="I22" s="2824"/>
    </row>
    <row r="23" spans="1:9">
      <c r="A23" s="2824"/>
      <c r="B23" s="2824"/>
      <c r="C23" s="2824"/>
      <c r="D23" s="2824"/>
      <c r="E23" s="2824"/>
      <c r="F23" s="2824"/>
      <c r="G23" s="2824"/>
      <c r="H23" s="2824"/>
      <c r="I23" s="2824"/>
    </row>
    <row r="24" spans="1:9">
      <c r="A24" s="2824"/>
      <c r="B24" s="2824"/>
      <c r="C24" s="2824"/>
      <c r="D24" s="2824"/>
      <c r="E24" s="2824"/>
      <c r="F24" s="2824"/>
      <c r="G24" s="2824"/>
      <c r="H24" s="2824"/>
      <c r="I24" s="2824"/>
    </row>
    <row r="25" spans="1:9">
      <c r="A25" s="2824"/>
      <c r="B25" s="2824"/>
      <c r="C25" s="2824"/>
      <c r="D25" s="2824"/>
      <c r="E25" s="2824"/>
      <c r="F25" s="2824"/>
      <c r="G25" s="2824"/>
      <c r="H25" s="2824"/>
      <c r="I25" s="2824"/>
    </row>
    <row r="26" spans="1:9">
      <c r="A26" s="2824"/>
      <c r="B26" s="2824"/>
      <c r="C26" s="2824"/>
      <c r="D26" s="2824"/>
      <c r="E26" s="2824"/>
      <c r="F26" s="2824"/>
      <c r="G26" s="2824"/>
      <c r="H26" s="2824"/>
      <c r="I26" s="28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786805555555556" top="0.984027777777778" bottom="0.984027777777778" header="0.590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333333333333" style="2891" customWidth="1"/>
    <col min="2" max="2" width="24" style="2891" customWidth="1"/>
    <col min="3" max="3" width="23.25" style="2891" customWidth="1"/>
    <col min="4" max="4" width="21" style="2891" customWidth="1"/>
    <col min="5" max="16384" width="9" style="2891"/>
  </cols>
  <sheetData>
    <row r="1" ht="18.75" spans="1:4">
      <c r="A1" s="2892" t="s">
        <v>111</v>
      </c>
      <c r="B1" s="2892"/>
      <c r="C1" s="2892"/>
      <c r="D1" s="2892"/>
    </row>
    <row r="2" ht="18" spans="1:4">
      <c r="A2" s="2893" t="s">
        <v>112</v>
      </c>
      <c r="B2" s="2893"/>
      <c r="C2" s="2893"/>
      <c r="D2" s="2893"/>
    </row>
    <row r="3" ht="18.75" spans="1:4">
      <c r="A3" s="2894" t="s">
        <v>113</v>
      </c>
      <c r="B3" s="2894" t="s">
        <v>114</v>
      </c>
      <c r="C3" s="2894" t="s">
        <v>115</v>
      </c>
      <c r="D3" s="2894" t="s">
        <v>116</v>
      </c>
    </row>
    <row r="4" ht="56.25" customHeight="1" spans="1:4">
      <c r="A4" s="2895" t="str">
        <f>项目基本情况!B3</f>
        <v>杨红英</v>
      </c>
      <c r="B4" s="2896">
        <f ca="1">项目基本情况!C3</f>
        <v>1120070085</v>
      </c>
      <c r="C4" s="2897"/>
      <c r="D4" s="2898" t="s">
        <v>117</v>
      </c>
    </row>
    <row r="5" ht="56.25" customHeight="1" spans="1:4">
      <c r="A5" s="2895" t="str">
        <f>项目基本情况!D3</f>
        <v>叶凌</v>
      </c>
      <c r="B5" s="2896">
        <f ca="1">项目基本情况!E3</f>
        <v>1119970111</v>
      </c>
      <c r="C5" s="2899"/>
      <c r="D5" s="2898" t="s">
        <v>117</v>
      </c>
    </row>
    <row r="6" ht="12" customHeight="1" spans="1:4">
      <c r="A6" s="2895"/>
      <c r="B6" s="2896"/>
      <c r="C6" s="2900"/>
      <c r="D6" s="2898"/>
    </row>
    <row r="7" ht="18" spans="1:4">
      <c r="A7" s="2893" t="s">
        <v>118</v>
      </c>
      <c r="B7" s="2893"/>
      <c r="C7" s="2893"/>
      <c r="D7" s="2893"/>
    </row>
    <row r="8" ht="18.75" spans="1:4">
      <c r="A8" s="2894" t="s">
        <v>113</v>
      </c>
      <c r="B8" s="2896" t="s">
        <v>119</v>
      </c>
      <c r="C8" s="2894" t="s">
        <v>115</v>
      </c>
      <c r="D8" s="2894" t="s">
        <v>116</v>
      </c>
    </row>
    <row r="9" ht="56.25" customHeight="1" spans="1:4">
      <c r="A9" s="2901" t="s">
        <v>120</v>
      </c>
      <c r="B9" s="2901" t="s">
        <v>121</v>
      </c>
      <c r="C9" s="2897"/>
      <c r="D9" s="2898" t="s">
        <v>117</v>
      </c>
    </row>
    <row r="11" ht="18.75" spans="1:1">
      <c r="A11" s="2892" t="s">
        <v>122</v>
      </c>
    </row>
    <row r="12" ht="30" customHeight="1" spans="1:4">
      <c r="A12" s="2902" t="s">
        <v>123</v>
      </c>
      <c r="B12" s="2903"/>
      <c r="C12" s="2903"/>
      <c r="D12" s="2903"/>
    </row>
    <row r="13" ht="15" spans="1:4">
      <c r="A13" s="29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ht="30" customHeight="1" spans="1:4">
      <c r="A14" s="2902" t="str">
        <f>IF(项目基本情况!D4="抵押","3.抵押双方在办理抵押登记手续时，应使用本公司出具的正式《房地产评估报告》，特提醒报告使用者注意。","——")</f>
        <v>——</v>
      </c>
      <c r="B14" s="2903"/>
      <c r="C14" s="2903"/>
      <c r="D14" s="2903"/>
    </row>
    <row r="15" ht="15.75" customHeight="1" spans="1:4">
      <c r="A15" s="2902" t="str">
        <f>IF(项目基本情况!D4="抵押","4.本次评估估价师所知悉的法定优先受偿款情况说明如下：","——")</f>
        <v>——</v>
      </c>
      <c r="B15" s="2903"/>
      <c r="C15" s="2903"/>
      <c r="D15" s="2903"/>
    </row>
    <row r="16" ht="75" customHeight="1" spans="1:4">
      <c r="A16" s="2902" t="str">
        <f>IF(项目基本情况!D4="抵押",CONCATENATE(项目基本情况!J13,项目基本情况!J14,项目基本情况!J15),"——")</f>
        <v>——</v>
      </c>
      <c r="B16" s="2902"/>
      <c r="C16" s="2902"/>
      <c r="D16" s="2902"/>
    </row>
    <row r="17" ht="63.75" customHeight="1" spans="1:4">
      <c r="A17" s="2904" t="s">
        <v>124</v>
      </c>
      <c r="B17" s="2904"/>
      <c r="C17" s="2904"/>
      <c r="D17" s="2904"/>
    </row>
    <row r="18" ht="15.75" customHeight="1" spans="1:4">
      <c r="A18" s="2902" t="str">
        <f>IF(项目基本情况!D4="抵押",结果表!K106,"——")</f>
        <v>——</v>
      </c>
      <c r="B18" s="2902"/>
      <c r="C18" s="2902"/>
      <c r="D18" s="2902"/>
    </row>
    <row r="19" ht="46.5" customHeight="1" spans="1:4">
      <c r="A19" s="29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2"/>
      <c r="C19" s="2902"/>
      <c r="D19" s="2902"/>
    </row>
    <row r="20" ht="15" spans="1:4">
      <c r="A20" s="2904" t="s">
        <v>125</v>
      </c>
      <c r="B20" s="2904"/>
      <c r="C20" s="2904"/>
      <c r="D20" s="2904"/>
    </row>
    <row r="21" spans="1:4">
      <c r="A21" s="2905"/>
      <c r="B21" s="323"/>
      <c r="C21" s="323"/>
      <c r="D21" s="323"/>
    </row>
    <row r="22" spans="1:4">
      <c r="A22" s="2905"/>
      <c r="B22" s="323"/>
      <c r="C22" s="323"/>
      <c r="D22" s="323"/>
    </row>
    <row r="23" ht="18.75" spans="1:1">
      <c r="A23" s="2906" t="s">
        <v>126</v>
      </c>
    </row>
    <row r="24" ht="18" spans="1:1">
      <c r="A24" s="2906"/>
    </row>
    <row r="25" ht="18.75" spans="1:1">
      <c r="A25" s="2906" t="s">
        <v>127</v>
      </c>
    </row>
    <row r="28" ht="21" customHeight="1" spans="4:4">
      <c r="D28" s="2907" t="s">
        <v>128</v>
      </c>
    </row>
    <row r="29" ht="21" customHeight="1" spans="3:4">
      <c r="C29" s="2908"/>
      <c r="D29" s="29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70" customWidth="1"/>
    <col min="2" max="16384" width="14.5" style="2824"/>
  </cols>
  <sheetData>
    <row r="1" s="2869" customFormat="1" ht="18.75" spans="1:1">
      <c r="A1" s="2871" t="s">
        <v>129</v>
      </c>
    </row>
    <row r="3" ht="14.25" spans="1:7">
      <c r="A3" s="2872" t="s">
        <v>130</v>
      </c>
      <c r="B3" s="2824" t="s">
        <v>131</v>
      </c>
      <c r="G3" s="2873"/>
    </row>
    <row r="4" spans="7:7">
      <c r="G4" s="2873"/>
    </row>
    <row r="5" ht="14.25" spans="1:7">
      <c r="A5" s="2874" t="s">
        <v>132</v>
      </c>
      <c r="B5" s="2824" t="s">
        <v>133</v>
      </c>
      <c r="G5" s="2873"/>
    </row>
    <row r="6" spans="7:7">
      <c r="G6" s="2873"/>
    </row>
    <row r="7" ht="14.25" spans="1:7">
      <c r="A7" s="2327" t="s">
        <v>134</v>
      </c>
      <c r="B7" s="2824" t="s">
        <v>135</v>
      </c>
      <c r="G7" s="2873"/>
    </row>
    <row r="8" spans="7:7">
      <c r="G8" s="2873"/>
    </row>
    <row r="9" ht="14.25" spans="1:2">
      <c r="A9" s="2875" t="s">
        <v>136</v>
      </c>
      <c r="B9" s="2824" t="s">
        <v>137</v>
      </c>
    </row>
    <row r="11" ht="14.25" spans="1:2">
      <c r="A11" s="2876" t="s">
        <v>138</v>
      </c>
      <c r="B11" s="2877" t="s">
        <v>139</v>
      </c>
    </row>
    <row r="13" ht="14.25" spans="1:1">
      <c r="A13" s="2878" t="s">
        <v>140</v>
      </c>
    </row>
    <row r="15" ht="13.5" spans="1:3">
      <c r="A15" s="2879" t="s">
        <v>141</v>
      </c>
      <c r="B15" s="2880" t="s">
        <v>142</v>
      </c>
      <c r="C15" s="2881"/>
    </row>
    <row r="16" ht="13.5" spans="1:3">
      <c r="A16" s="2882"/>
      <c r="B16" s="2880" t="s">
        <v>143</v>
      </c>
      <c r="C16" s="2881"/>
    </row>
    <row r="17" ht="14.25" spans="1:3">
      <c r="A17" s="2882"/>
      <c r="B17" s="2880" t="s">
        <v>144</v>
      </c>
      <c r="C17" s="2881"/>
    </row>
    <row r="18" ht="13.5" spans="1:3">
      <c r="A18" s="2883"/>
      <c r="B18" s="2884" t="s">
        <v>145</v>
      </c>
      <c r="C18" s="2881"/>
    </row>
    <row r="19" ht="14.25" spans="1:3">
      <c r="A19" s="2885" t="s">
        <v>146</v>
      </c>
      <c r="B19" s="2886"/>
      <c r="C19" s="2887"/>
    </row>
    <row r="20" ht="13.5" spans="1:3">
      <c r="A20" s="2888" t="s">
        <v>147</v>
      </c>
      <c r="B20" s="2884" t="s">
        <v>148</v>
      </c>
      <c r="C20" s="2881"/>
    </row>
    <row r="21" ht="13.5" spans="1:3">
      <c r="A21" s="2888"/>
      <c r="B21" s="2884" t="s">
        <v>149</v>
      </c>
      <c r="C21" s="2881"/>
    </row>
    <row r="22" ht="13.5" spans="1:3">
      <c r="A22" s="2888"/>
      <c r="B22" s="2884" t="s">
        <v>150</v>
      </c>
      <c r="C22" s="2881"/>
    </row>
    <row r="23" ht="13.5" spans="1:3">
      <c r="A23" s="2888"/>
      <c r="B23" s="2889" t="s">
        <v>151</v>
      </c>
      <c r="C23" s="2889" t="s">
        <v>152</v>
      </c>
    </row>
    <row r="24" ht="13.5" spans="1:3">
      <c r="A24" s="2888"/>
      <c r="B24" s="2889"/>
      <c r="C24" s="2889" t="s">
        <v>153</v>
      </c>
    </row>
    <row r="25" ht="13.5" spans="1:3">
      <c r="A25" s="2888"/>
      <c r="B25" s="2889"/>
      <c r="C25" s="2889" t="s">
        <v>154</v>
      </c>
    </row>
    <row r="26" ht="13.5" spans="1:3">
      <c r="A26" s="2888"/>
      <c r="B26" s="2889"/>
      <c r="C26" s="2889" t="s">
        <v>155</v>
      </c>
    </row>
    <row r="27" ht="13.5" spans="1:3">
      <c r="A27" s="2888"/>
      <c r="B27" s="2889"/>
      <c r="C27" s="2889" t="s">
        <v>156</v>
      </c>
    </row>
    <row r="28" ht="13.5" spans="1:3">
      <c r="A28" s="2888"/>
      <c r="B28" s="2889"/>
      <c r="C28" s="2889" t="s">
        <v>157</v>
      </c>
    </row>
    <row r="29" ht="14.25" spans="1:3">
      <c r="A29" s="2888"/>
      <c r="B29" s="2889"/>
      <c r="C29" s="2889" t="s">
        <v>158</v>
      </c>
    </row>
    <row r="30" ht="14.25" spans="1:3">
      <c r="A30" s="2888"/>
      <c r="B30" s="2889"/>
      <c r="C30" s="2889" t="s">
        <v>159</v>
      </c>
    </row>
    <row r="31" ht="13.5" spans="1:3">
      <c r="A31" s="2888"/>
      <c r="B31" s="2889"/>
      <c r="C31" s="2889" t="s">
        <v>160</v>
      </c>
    </row>
    <row r="32" spans="1:1">
      <c r="A32" s="289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333333333333" defaultRowHeight="24" customHeight="1" outlineLevelCol="7"/>
  <cols>
    <col min="1" max="3" width="22.6333333333333" style="2841"/>
    <col min="4" max="4" width="41.3833333333333" style="2841" customWidth="1"/>
    <col min="5" max="6" width="22.6333333333333" style="2841"/>
    <col min="7" max="7" width="25.6333333333333" style="2841" customWidth="1"/>
    <col min="8" max="16384" width="22.6333333333333" style="2841"/>
  </cols>
  <sheetData>
    <row r="2" customHeight="1" spans="1:5">
      <c r="A2" s="2842" t="s">
        <v>162</v>
      </c>
      <c r="B2" s="2843">
        <f ca="1">TODAY()</f>
        <v>43509</v>
      </c>
      <c r="C2" s="2844" t="s">
        <v>163</v>
      </c>
      <c r="D2" s="2844"/>
      <c r="E2" s="2844"/>
    </row>
    <row r="3" customHeight="1" spans="1:8">
      <c r="A3" s="2845" t="s">
        <v>164</v>
      </c>
      <c r="B3" s="2846" t="s">
        <v>165</v>
      </c>
      <c r="C3" s="2846" t="s">
        <v>166</v>
      </c>
      <c r="D3" s="2847" t="s">
        <v>167</v>
      </c>
      <c r="E3" s="2848" t="s">
        <v>168</v>
      </c>
      <c r="F3" s="2849" t="s">
        <v>169</v>
      </c>
      <c r="G3" s="2846" t="s">
        <v>166</v>
      </c>
      <c r="H3" s="2847" t="s">
        <v>170</v>
      </c>
    </row>
    <row r="4" customHeight="1" spans="1:8">
      <c r="A4" s="2850" t="s">
        <v>171</v>
      </c>
      <c r="B4" s="2849">
        <f ca="1">IF(C4&lt;B2,"已过期",1119970066)</f>
        <v>1119970066</v>
      </c>
      <c r="C4" s="2851">
        <v>43849</v>
      </c>
      <c r="D4" s="2852" t="str">
        <f ca="1">A4&amp;"（注册号："&amp;B4&amp;"）"</f>
        <v>梁津（注册号：1119970066）</v>
      </c>
      <c r="E4" s="2850" t="s">
        <v>171</v>
      </c>
      <c r="F4" s="2849">
        <f ca="1">IF(G4&lt;B2,"已过期",96010014)</f>
        <v>96010014</v>
      </c>
      <c r="G4" s="2853">
        <v>47118</v>
      </c>
      <c r="H4" s="2854" t="str">
        <f ca="1">E4&amp;"（注册号："&amp;F4&amp;"）"</f>
        <v>梁津（注册号：96010014）</v>
      </c>
    </row>
    <row r="5" customHeight="1" spans="1:8">
      <c r="A5" s="2850" t="s">
        <v>172</v>
      </c>
      <c r="B5" s="2849">
        <f ca="1">IF(C5&lt;B2,"已过期",1119970074)</f>
        <v>1119970074</v>
      </c>
      <c r="C5" s="2851">
        <v>43849</v>
      </c>
      <c r="D5" s="2852" t="str">
        <f ca="1" t="shared" ref="D5:D24" si="0">A5&amp;"（注册号："&amp;B5&amp;"）"</f>
        <v>李立（注册号：1119970074）</v>
      </c>
      <c r="E5" s="2850" t="s">
        <v>172</v>
      </c>
      <c r="F5" s="2849">
        <f ca="1">IF(G5&lt;B2,"已过期",2002110027)</f>
        <v>2002110027</v>
      </c>
      <c r="G5" s="2853">
        <v>46752</v>
      </c>
      <c r="H5" s="2854" t="str">
        <f ca="1" t="shared" ref="H5:H24" si="1">E5&amp;"（注册号："&amp;F5&amp;"）"</f>
        <v>李立（注册号：2002110027）</v>
      </c>
    </row>
    <row r="6" customHeight="1" spans="1:8">
      <c r="A6" s="2850" t="s">
        <v>173</v>
      </c>
      <c r="B6" s="2849">
        <f ca="1">IF(C6&lt;B2,"已过期",1119970111)</f>
        <v>1119970111</v>
      </c>
      <c r="C6" s="2851">
        <v>43849</v>
      </c>
      <c r="D6" s="2852" t="str">
        <f ca="1" t="shared" si="0"/>
        <v>叶凌（注册号：1119970111）</v>
      </c>
      <c r="E6" s="2850" t="s">
        <v>173</v>
      </c>
      <c r="F6" s="2849">
        <f ca="1">IF(G6&lt;B2,"已过期",94010078)</f>
        <v>94010078</v>
      </c>
      <c r="G6" s="2853">
        <v>46387</v>
      </c>
      <c r="H6" s="2854" t="str">
        <f ca="1" t="shared" si="1"/>
        <v>叶凌（注册号：94010078）</v>
      </c>
    </row>
    <row r="7" customHeight="1" spans="1:8">
      <c r="A7" s="2850" t="s">
        <v>174</v>
      </c>
      <c r="B7" s="2849">
        <f ca="1">IF(C7&lt;B2,"已过期",1120050019)</f>
        <v>1120050019</v>
      </c>
      <c r="C7" s="2851">
        <v>44395</v>
      </c>
      <c r="D7" s="2852" t="str">
        <f ca="1" t="shared" si="0"/>
        <v>王鹏（注册号：1120050019）</v>
      </c>
      <c r="E7" s="2850" t="s">
        <v>174</v>
      </c>
      <c r="F7" s="2849">
        <f ca="1">IF(G7&lt;B2,"已过期",2002110030)</f>
        <v>2002110030</v>
      </c>
      <c r="G7" s="2853">
        <v>46387</v>
      </c>
      <c r="H7" s="2854" t="str">
        <f ca="1" t="shared" si="1"/>
        <v>王鹏（注册号：2002110030）</v>
      </c>
    </row>
    <row r="8" customHeight="1" spans="1:8">
      <c r="A8" s="2850" t="s">
        <v>175</v>
      </c>
      <c r="B8" s="2849">
        <f ca="1">IF(C8&lt;B2,"已过期",1120000080)</f>
        <v>1120000080</v>
      </c>
      <c r="C8" s="2851">
        <v>43849</v>
      </c>
      <c r="D8" s="2852" t="str">
        <f ca="1" t="shared" si="0"/>
        <v>欧红伟（注册号：1120000080）</v>
      </c>
      <c r="E8" s="2850" t="s">
        <v>175</v>
      </c>
      <c r="F8" s="2849">
        <f ca="1">IF(G8&lt;B2,"已过期",2000110082)</f>
        <v>2000110082</v>
      </c>
      <c r="G8" s="2853">
        <v>46387</v>
      </c>
      <c r="H8" s="2854" t="str">
        <f ca="1" t="shared" si="1"/>
        <v>欧红伟（注册号：2000110082）</v>
      </c>
    </row>
    <row r="9" customHeight="1" spans="1:8">
      <c r="A9" s="2850" t="s">
        <v>176</v>
      </c>
      <c r="B9" s="2849">
        <f ca="1">IF(C9&lt;B2,"已过期",1419970001)</f>
        <v>1419970001</v>
      </c>
      <c r="C9" s="2851">
        <v>43867</v>
      </c>
      <c r="D9" s="2852" t="str">
        <f ca="1" t="shared" si="0"/>
        <v>吴薇（注册号：1419970001）</v>
      </c>
      <c r="E9" s="2850" t="s">
        <v>176</v>
      </c>
      <c r="F9" s="2849">
        <f ca="1">IF(G9&lt;B2,"已过期",2002110125)</f>
        <v>2002110125</v>
      </c>
      <c r="G9" s="2853">
        <v>47118</v>
      </c>
      <c r="H9" s="2854" t="str">
        <f ca="1" t="shared" si="1"/>
        <v>吴薇（注册号：2002110125）</v>
      </c>
    </row>
    <row r="10" customHeight="1" spans="1:8">
      <c r="A10" s="2850" t="s">
        <v>177</v>
      </c>
      <c r="B10" s="2849" t="str">
        <f ca="1">IF(C10&lt;B2,"已过期",1120060040)</f>
        <v>已过期</v>
      </c>
      <c r="C10" s="2851">
        <v>43483</v>
      </c>
      <c r="D10" s="2852" t="str">
        <f ca="1" t="shared" si="0"/>
        <v>陈颖（注册号：已过期）</v>
      </c>
      <c r="E10" s="2850" t="s">
        <v>177</v>
      </c>
      <c r="F10" s="2849">
        <f ca="1">IF(G10&lt;B2,"已过期",2004110096)</f>
        <v>2004110096</v>
      </c>
      <c r="G10" s="2853">
        <v>47118</v>
      </c>
      <c r="H10" s="2854" t="str">
        <f ca="1" t="shared" si="1"/>
        <v>陈颖（注册号：2004110096）</v>
      </c>
    </row>
    <row r="11" customHeight="1" spans="1:8">
      <c r="A11" s="2850" t="s">
        <v>178</v>
      </c>
      <c r="B11" s="2849">
        <f ca="1">IF(C11&lt;B2,"已过期",1120100036)</f>
        <v>1120100036</v>
      </c>
      <c r="C11" s="2851">
        <v>43622</v>
      </c>
      <c r="D11" s="2852" t="str">
        <f ca="1" t="shared" si="0"/>
        <v>崔锴（注册号：1120100036）</v>
      </c>
      <c r="E11" s="2850" t="s">
        <v>178</v>
      </c>
      <c r="F11" s="2849">
        <f ca="1">IF(G11&lt;B2,"已过期",2010110070)</f>
        <v>2010110070</v>
      </c>
      <c r="G11" s="2853">
        <v>47907</v>
      </c>
      <c r="H11" s="2854" t="str">
        <f ca="1" t="shared" si="1"/>
        <v>崔锴（注册号：2010110070）</v>
      </c>
    </row>
    <row r="12" customHeight="1" spans="1:8">
      <c r="A12" s="2850"/>
      <c r="B12" s="2849"/>
      <c r="C12" s="2851"/>
      <c r="D12" s="2852"/>
      <c r="E12" s="2850"/>
      <c r="F12" s="2849"/>
      <c r="G12" s="2853"/>
      <c r="H12" s="2854"/>
    </row>
    <row r="13" customHeight="1" spans="1:8">
      <c r="A13" s="2850" t="s">
        <v>179</v>
      </c>
      <c r="B13" s="2849">
        <f ca="1">IF(C13&lt;B2,"已过期",1120070131)</f>
        <v>1120070131</v>
      </c>
      <c r="C13" s="2851">
        <v>43814</v>
      </c>
      <c r="D13" s="2852" t="str">
        <f ca="1" t="shared" si="0"/>
        <v>郑燚（注册号：1120070131）</v>
      </c>
      <c r="E13" s="2850" t="s">
        <v>179</v>
      </c>
      <c r="F13" s="2849">
        <f ca="1">IF(G13&lt;B2,"已过期",2014110011)</f>
        <v>2014110011</v>
      </c>
      <c r="G13" s="2853">
        <v>49302</v>
      </c>
      <c r="H13" s="2854" t="str">
        <f ca="1" t="shared" si="1"/>
        <v>郑燚（注册号：2014110011）</v>
      </c>
    </row>
    <row r="14" customHeight="1" spans="1:8">
      <c r="A14" s="2850" t="s">
        <v>180</v>
      </c>
      <c r="B14" s="2849">
        <f ca="1">IF(C14&lt;B2,"已过期",1120040230)</f>
        <v>1120040230</v>
      </c>
      <c r="C14" s="2855">
        <v>43835</v>
      </c>
      <c r="D14" s="2852" t="str">
        <f ca="1" t="shared" si="0"/>
        <v>苏海（注册号：1120040230）</v>
      </c>
      <c r="E14" s="2856" t="s">
        <v>180</v>
      </c>
      <c r="F14" s="2849">
        <f ca="1">IF(G14&lt;B2,"已过期",98030020)</f>
        <v>98030020</v>
      </c>
      <c r="G14" s="2853">
        <v>47118</v>
      </c>
      <c r="H14" s="2854" t="str">
        <f ca="1" t="shared" si="1"/>
        <v>苏海（注册号：98030020）</v>
      </c>
    </row>
    <row r="15" customHeight="1" spans="1:8">
      <c r="A15" s="2857" t="s">
        <v>181</v>
      </c>
      <c r="B15" s="2849">
        <f ca="1">IF(C15&lt;B2,"已过期",1120070085)</f>
        <v>1120070085</v>
      </c>
      <c r="C15" s="2855">
        <v>43814</v>
      </c>
      <c r="D15" s="2852" t="str">
        <f ca="1" t="shared" si="0"/>
        <v>杨红英（注册号：1120070085）</v>
      </c>
      <c r="E15" s="2857" t="s">
        <v>181</v>
      </c>
      <c r="F15" s="2849">
        <f ca="1">IF(G15&lt;B2,"已过期",2004110128)</f>
        <v>2004110128</v>
      </c>
      <c r="G15" s="2858">
        <v>47118</v>
      </c>
      <c r="H15" s="2854" t="str">
        <f ca="1" t="shared" si="1"/>
        <v>杨红英（注册号：2004110128）</v>
      </c>
    </row>
    <row r="16" customHeight="1" spans="1:8">
      <c r="A16" s="2850" t="s">
        <v>182</v>
      </c>
      <c r="B16" s="2849">
        <f ca="1">IF(C16&lt;B2,"已过期",1120140022)</f>
        <v>1120140022</v>
      </c>
      <c r="C16" s="2851">
        <v>44029</v>
      </c>
      <c r="D16" s="2852" t="str">
        <f ca="1" t="shared" si="0"/>
        <v>刘梅（注册号：1120140022）</v>
      </c>
      <c r="E16" s="2850" t="s">
        <v>182</v>
      </c>
      <c r="F16" s="2849">
        <f ca="1">IF(G16&lt;B2,"已过期",2008110059)</f>
        <v>2008110059</v>
      </c>
      <c r="G16" s="2853">
        <v>47177</v>
      </c>
      <c r="H16" s="2854" t="str">
        <f ca="1" t="shared" si="1"/>
        <v>刘梅（注册号：2008110059）</v>
      </c>
    </row>
    <row r="17" customHeight="1" spans="1:8">
      <c r="A17" s="2850"/>
      <c r="B17" s="2849"/>
      <c r="C17" s="2851"/>
      <c r="D17" s="2852"/>
      <c r="E17" s="2856" t="s">
        <v>183</v>
      </c>
      <c r="F17" s="2849">
        <f ca="1">IF(G17&lt;B2,"已过期",2014110076)</f>
        <v>2014110076</v>
      </c>
      <c r="G17" s="2853">
        <v>49302</v>
      </c>
      <c r="H17" s="2854"/>
    </row>
    <row r="18" customHeight="1" spans="1:8">
      <c r="A18" s="2850"/>
      <c r="B18" s="2849"/>
      <c r="C18" s="2851"/>
      <c r="D18" s="2852"/>
      <c r="E18" s="2850"/>
      <c r="F18" s="2849"/>
      <c r="G18" s="2853"/>
      <c r="H18" s="2854"/>
    </row>
    <row r="19" customHeight="1" spans="1:8">
      <c r="A19" s="2850"/>
      <c r="B19" s="2849"/>
      <c r="C19" s="2851"/>
      <c r="D19" s="2852"/>
      <c r="E19" s="2850"/>
      <c r="F19" s="2849"/>
      <c r="G19" s="2849"/>
      <c r="H19" s="2854"/>
    </row>
    <row r="20" customHeight="1" spans="1:8">
      <c r="A20" s="2850"/>
      <c r="B20" s="2849"/>
      <c r="C20" s="2851"/>
      <c r="D20" s="2852"/>
      <c r="E20" s="2850"/>
      <c r="F20" s="2849"/>
      <c r="G20" s="2849"/>
      <c r="H20" s="2854"/>
    </row>
    <row r="21" customHeight="1" spans="1:8">
      <c r="A21" s="2850"/>
      <c r="B21" s="2849"/>
      <c r="C21" s="2851"/>
      <c r="D21" s="2852" t="str">
        <f ca="1" t="shared" si="0"/>
        <v>（注册号：）</v>
      </c>
      <c r="E21" s="2850" t="s">
        <v>184</v>
      </c>
      <c r="F21" s="2849">
        <f ca="1">IF(G21&lt;B2,"已过期",2011110090)</f>
        <v>2011110090</v>
      </c>
      <c r="G21" s="2853">
        <v>48302</v>
      </c>
      <c r="H21" s="2854" t="str">
        <f ca="1" t="shared" si="1"/>
        <v>赵雯（注册号：2011110090）</v>
      </c>
    </row>
    <row r="22" customHeight="1" spans="1:8">
      <c r="A22" s="2850" t="s">
        <v>185</v>
      </c>
      <c r="B22" s="2849">
        <f ca="1">IF(C22&lt;B2,"已过期",1120020033)</f>
        <v>1120020033</v>
      </c>
      <c r="C22" s="2851">
        <v>44339</v>
      </c>
      <c r="D22" s="2852" t="str">
        <f ca="1" t="shared" si="0"/>
        <v>刘敬东（注册号：1120020033）</v>
      </c>
      <c r="E22" s="2850" t="s">
        <v>185</v>
      </c>
      <c r="F22" s="2849">
        <f ca="1">IF(G22&lt;B2,"已过期",2000110137)</f>
        <v>2000110137</v>
      </c>
      <c r="G22" s="2853">
        <v>46387</v>
      </c>
      <c r="H22" s="2854" t="str">
        <f ca="1" t="shared" si="1"/>
        <v>刘敬东（注册号：2000110137）</v>
      </c>
    </row>
    <row r="23" customHeight="1" spans="1:8">
      <c r="A23" s="2850"/>
      <c r="B23" s="2849"/>
      <c r="C23" s="2851"/>
      <c r="D23" s="2852" t="str">
        <f ca="1" t="shared" si="0"/>
        <v>（注册号：）</v>
      </c>
      <c r="E23" s="2850"/>
      <c r="F23" s="2849"/>
      <c r="G23" s="2849"/>
      <c r="H23" s="2854" t="str">
        <f ca="1" t="shared" si="1"/>
        <v>（注册号：）</v>
      </c>
    </row>
    <row r="24" s="2838" customFormat="1" customHeight="1" spans="1:8">
      <c r="A24" s="2849" t="s">
        <v>121</v>
      </c>
      <c r="B24" s="2849" t="s">
        <v>121</v>
      </c>
      <c r="C24" s="2849" t="s">
        <v>121</v>
      </c>
      <c r="D24" s="2852" t="str">
        <f ca="1" t="shared" si="0"/>
        <v>——（注册号：——）</v>
      </c>
      <c r="E24" s="2849" t="s">
        <v>121</v>
      </c>
      <c r="F24" s="2849" t="s">
        <v>121</v>
      </c>
      <c r="G24" s="2849" t="s">
        <v>121</v>
      </c>
      <c r="H24" s="2854" t="str">
        <f ca="1" t="shared" si="1"/>
        <v>——（注册号：——）</v>
      </c>
    </row>
    <row r="25" customHeight="1" spans="1:8">
      <c r="A25" s="2859" t="s">
        <v>186</v>
      </c>
      <c r="B25" s="2859"/>
      <c r="C25" s="2859"/>
      <c r="D25" s="2859"/>
      <c r="E25" s="2859"/>
      <c r="F25" s="2859"/>
      <c r="G25" s="2859"/>
      <c r="H25" s="2859"/>
    </row>
    <row r="26" s="2839" customFormat="1" customHeight="1" spans="1:8">
      <c r="A26" s="2860" t="s">
        <v>187</v>
      </c>
      <c r="B26" s="2860"/>
      <c r="C26" s="2860"/>
      <c r="D26" s="2860"/>
      <c r="E26" s="2860"/>
      <c r="F26" s="2860" t="s">
        <v>188</v>
      </c>
      <c r="G26" s="2860"/>
      <c r="H26" s="2860"/>
    </row>
    <row r="27" s="2840" customFormat="1" customHeight="1" spans="1:8">
      <c r="A27" s="2861" t="s">
        <v>189</v>
      </c>
      <c r="B27" s="2846" t="s">
        <v>190</v>
      </c>
      <c r="C27" s="2846" t="s">
        <v>166</v>
      </c>
      <c r="D27" s="2846"/>
      <c r="E27" s="2846"/>
      <c r="F27" s="2849" t="s">
        <v>189</v>
      </c>
      <c r="G27" s="2846" t="s">
        <v>190</v>
      </c>
      <c r="H27" s="2846" t="s">
        <v>166</v>
      </c>
    </row>
    <row r="28" s="2840" customFormat="1" customHeight="1" spans="1:8">
      <c r="A28" s="2862" t="s">
        <v>191</v>
      </c>
      <c r="B28" s="2863" t="s">
        <v>192</v>
      </c>
      <c r="C28" s="2853">
        <v>43725</v>
      </c>
      <c r="D28" s="2853"/>
      <c r="E28" s="2853"/>
      <c r="F28" s="2862" t="s">
        <v>193</v>
      </c>
      <c r="G28" s="2862" t="s">
        <v>194</v>
      </c>
      <c r="H28" s="2864">
        <v>44377</v>
      </c>
    </row>
    <row r="29" s="2840" customFormat="1" customHeight="1" spans="1:8">
      <c r="A29" s="2862"/>
      <c r="B29" s="2862"/>
      <c r="C29" s="2865"/>
      <c r="D29" s="2865"/>
      <c r="E29" s="2865"/>
      <c r="F29" s="2862" t="s">
        <v>195</v>
      </c>
      <c r="G29" s="2866" t="s">
        <v>196</v>
      </c>
      <c r="H29" s="2867">
        <v>43281</v>
      </c>
    </row>
    <row r="30" customHeight="1" spans="3:5">
      <c r="C30" s="2868"/>
      <c r="D30" s="2868"/>
      <c r="E30" s="2868"/>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699305555555556" right="0.699305555555556"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3" customWidth="1"/>
    <col min="2" max="2" width="22.5" style="2824" customWidth="1"/>
    <col min="3" max="3" width="13" style="559" hidden="1" customWidth="1"/>
    <col min="4" max="4" width="5.75" style="560" hidden="1" customWidth="1"/>
    <col min="5" max="5" width="7.13333333333333" style="560" hidden="1" customWidth="1"/>
    <col min="6" max="6" width="10.6333333333333" style="560" hidden="1" customWidth="1"/>
    <col min="7" max="7" width="7.5" style="560" hidden="1" customWidth="1"/>
    <col min="8" max="8" width="9" style="559" hidden="1" customWidth="1"/>
    <col min="9" max="9" width="11.6333333333333"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4" customWidth="1"/>
    <col min="27" max="16384" width="9" style="2824"/>
  </cols>
  <sheetData>
    <row r="1" s="2822" customFormat="1" ht="27" spans="1:25">
      <c r="A1" s="2825" t="s">
        <v>197</v>
      </c>
      <c r="B1" s="2826" t="s">
        <v>198</v>
      </c>
      <c r="C1" s="2827" t="s">
        <v>199</v>
      </c>
      <c r="D1" s="2828" t="s">
        <v>200</v>
      </c>
      <c r="E1" s="2828" t="s">
        <v>201</v>
      </c>
      <c r="F1" s="2828" t="s">
        <v>202</v>
      </c>
      <c r="G1" s="2828" t="s">
        <v>203</v>
      </c>
      <c r="H1" s="2828" t="s">
        <v>204</v>
      </c>
      <c r="I1" s="2828" t="s">
        <v>205</v>
      </c>
      <c r="J1" s="2828" t="s">
        <v>206</v>
      </c>
      <c r="K1" s="2828" t="s">
        <v>207</v>
      </c>
      <c r="L1" s="2828" t="s">
        <v>208</v>
      </c>
      <c r="M1" s="2828" t="s">
        <v>209</v>
      </c>
      <c r="N1" s="2828" t="s">
        <v>210</v>
      </c>
      <c r="O1" s="2828" t="s">
        <v>211</v>
      </c>
      <c r="P1" s="2836" t="s">
        <v>212</v>
      </c>
      <c r="Q1" s="2836" t="s">
        <v>213</v>
      </c>
      <c r="R1" s="2836" t="s">
        <v>214</v>
      </c>
      <c r="S1" s="2828" t="s">
        <v>215</v>
      </c>
      <c r="T1" s="2837" t="s">
        <v>216</v>
      </c>
      <c r="U1" s="2828" t="s">
        <v>217</v>
      </c>
      <c r="V1" s="2828" t="s">
        <v>218</v>
      </c>
      <c r="W1" s="2828" t="s">
        <v>219</v>
      </c>
      <c r="X1" s="2828" t="s">
        <v>220</v>
      </c>
      <c r="Y1" s="2828" t="s">
        <v>221</v>
      </c>
    </row>
    <row r="2" spans="1:25">
      <c r="A2" s="2829" t="s">
        <v>121</v>
      </c>
      <c r="B2" s="2829" t="s">
        <v>222</v>
      </c>
      <c r="C2" s="2830"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29" t="s">
        <v>234</v>
      </c>
      <c r="B3" s="2831"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29" t="s">
        <v>246</v>
      </c>
      <c r="B4" s="2831" t="s">
        <v>247</v>
      </c>
      <c r="C4" s="2830"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29" t="s">
        <v>256</v>
      </c>
      <c r="B5" s="2829" t="s">
        <v>257</v>
      </c>
      <c r="C5" s="2830"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4"/>
    </row>
    <row r="6" spans="1:24">
      <c r="A6" s="2829" t="s">
        <v>264</v>
      </c>
      <c r="B6" s="2829"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4"/>
    </row>
    <row r="7" spans="1:24">
      <c r="A7" s="2829" t="s">
        <v>270</v>
      </c>
      <c r="B7" s="2831" t="s">
        <v>271</v>
      </c>
      <c r="C7" s="2830" t="s">
        <v>272</v>
      </c>
      <c r="F7" s="560" t="s">
        <v>273</v>
      </c>
      <c r="H7" s="560" t="s">
        <v>155</v>
      </c>
      <c r="I7" s="560" t="s">
        <v>274</v>
      </c>
      <c r="X7" s="2834"/>
    </row>
    <row r="8" spans="1:24">
      <c r="A8" s="2829" t="s">
        <v>275</v>
      </c>
      <c r="B8" s="2831" t="s">
        <v>276</v>
      </c>
      <c r="C8" s="2830" t="s">
        <v>277</v>
      </c>
      <c r="F8" s="560" t="s">
        <v>278</v>
      </c>
      <c r="H8" s="560" t="s">
        <v>279</v>
      </c>
      <c r="I8" s="560" t="s">
        <v>280</v>
      </c>
      <c r="X8" s="2834"/>
    </row>
    <row r="9" spans="1:8">
      <c r="A9" s="2829" t="s">
        <v>281</v>
      </c>
      <c r="B9" s="2829" t="s">
        <v>282</v>
      </c>
      <c r="C9" s="2830" t="s">
        <v>283</v>
      </c>
      <c r="F9" s="560" t="s">
        <v>157</v>
      </c>
      <c r="H9" s="560" t="s">
        <v>284</v>
      </c>
    </row>
    <row r="10" spans="1:6">
      <c r="A10" s="2829" t="s">
        <v>285</v>
      </c>
      <c r="B10" s="2829" t="s">
        <v>286</v>
      </c>
      <c r="C10" s="2830" t="s">
        <v>287</v>
      </c>
      <c r="F10" s="560" t="s">
        <v>121</v>
      </c>
    </row>
    <row r="11" spans="1:3">
      <c r="A11" s="2829" t="s">
        <v>288</v>
      </c>
      <c r="B11" s="2829" t="s">
        <v>289</v>
      </c>
      <c r="C11" s="2830" t="s">
        <v>290</v>
      </c>
    </row>
    <row r="12" spans="1:3">
      <c r="A12" s="2829" t="s">
        <v>291</v>
      </c>
      <c r="B12" s="2829" t="s">
        <v>292</v>
      </c>
      <c r="C12" s="2830" t="s">
        <v>293</v>
      </c>
    </row>
    <row r="13" spans="1:3">
      <c r="A13" s="2829" t="s">
        <v>294</v>
      </c>
      <c r="B13" s="2829" t="s">
        <v>295</v>
      </c>
      <c r="C13" s="2830" t="s">
        <v>296</v>
      </c>
    </row>
    <row r="14" spans="1:3">
      <c r="A14" s="2829" t="s">
        <v>297</v>
      </c>
      <c r="B14" s="2829" t="s">
        <v>298</v>
      </c>
      <c r="C14" s="2830"/>
    </row>
    <row r="15" spans="1:3">
      <c r="A15" s="2829" t="s">
        <v>299</v>
      </c>
      <c r="B15" s="2829" t="s">
        <v>300</v>
      </c>
      <c r="C15" s="2830"/>
    </row>
    <row r="16" spans="1:3">
      <c r="A16" s="2829" t="s">
        <v>301</v>
      </c>
      <c r="B16" s="2829" t="s">
        <v>302</v>
      </c>
      <c r="C16" s="2830"/>
    </row>
    <row r="17" spans="1:3">
      <c r="A17" s="2829" t="s">
        <v>303</v>
      </c>
      <c r="B17" s="2829" t="s">
        <v>304</v>
      </c>
      <c r="C17" s="2830"/>
    </row>
    <row r="18" spans="1:3">
      <c r="A18" s="2829" t="s">
        <v>305</v>
      </c>
      <c r="B18" s="2829" t="s">
        <v>306</v>
      </c>
      <c r="C18" s="2830"/>
    </row>
    <row r="19" spans="1:3">
      <c r="A19" s="2829" t="s">
        <v>307</v>
      </c>
      <c r="B19" s="2829" t="s">
        <v>308</v>
      </c>
      <c r="C19" s="2830"/>
    </row>
    <row r="20" spans="1:3">
      <c r="A20" s="2829" t="s">
        <v>309</v>
      </c>
      <c r="B20" s="2829" t="s">
        <v>310</v>
      </c>
      <c r="C20" s="2830"/>
    </row>
    <row r="21" spans="1:3">
      <c r="A21" s="2829" t="s">
        <v>259</v>
      </c>
      <c r="B21" s="2829" t="s">
        <v>310</v>
      </c>
      <c r="C21" s="2830"/>
    </row>
    <row r="22" spans="1:3">
      <c r="A22" s="2829" t="s">
        <v>311</v>
      </c>
      <c r="B22" s="2829" t="s">
        <v>310</v>
      </c>
      <c r="C22" s="2830"/>
    </row>
    <row r="23" spans="1:3">
      <c r="A23" s="2829" t="s">
        <v>312</v>
      </c>
      <c r="B23" s="2829" t="s">
        <v>310</v>
      </c>
      <c r="C23" s="2830"/>
    </row>
    <row r="24" spans="1:3">
      <c r="A24" s="2829" t="s">
        <v>313</v>
      </c>
      <c r="B24" s="2829" t="s">
        <v>310</v>
      </c>
      <c r="C24" s="2830"/>
    </row>
    <row r="25" spans="1:3">
      <c r="A25" s="2829" t="s">
        <v>314</v>
      </c>
      <c r="B25" s="2829" t="s">
        <v>310</v>
      </c>
      <c r="C25" s="2830"/>
    </row>
    <row r="26" spans="1:3">
      <c r="A26" s="2829" t="s">
        <v>315</v>
      </c>
      <c r="B26" s="2829" t="s">
        <v>310</v>
      </c>
      <c r="C26" s="2830"/>
    </row>
    <row r="27" spans="1:3">
      <c r="A27" s="2829" t="s">
        <v>310</v>
      </c>
      <c r="B27" s="2829" t="s">
        <v>310</v>
      </c>
      <c r="C27" s="2830"/>
    </row>
    <row r="28" spans="1:3">
      <c r="A28" s="2829" t="s">
        <v>310</v>
      </c>
      <c r="B28" s="2829" t="s">
        <v>310</v>
      </c>
      <c r="C28" s="2830"/>
    </row>
    <row r="29" spans="1:3">
      <c r="A29" s="2829" t="s">
        <v>310</v>
      </c>
      <c r="B29" s="2829" t="s">
        <v>310</v>
      </c>
      <c r="C29" s="2830"/>
    </row>
    <row r="30" spans="1:3">
      <c r="A30" s="2829" t="s">
        <v>310</v>
      </c>
      <c r="B30" s="2829" t="s">
        <v>310</v>
      </c>
      <c r="C30" s="2830"/>
    </row>
    <row r="31" spans="1:3">
      <c r="A31" s="2829" t="s">
        <v>310</v>
      </c>
      <c r="B31" s="2829" t="s">
        <v>310</v>
      </c>
      <c r="C31" s="2830"/>
    </row>
    <row r="32" spans="1:3">
      <c r="A32" s="2829" t="s">
        <v>310</v>
      </c>
      <c r="B32" s="2829" t="s">
        <v>310</v>
      </c>
      <c r="C32" s="2830"/>
    </row>
    <row r="33" spans="1:3">
      <c r="A33" s="2829" t="s">
        <v>310</v>
      </c>
      <c r="B33" s="2829" t="s">
        <v>310</v>
      </c>
      <c r="C33" s="2830"/>
    </row>
    <row r="34" spans="1:3">
      <c r="A34" s="2829" t="s">
        <v>310</v>
      </c>
      <c r="B34" s="2829" t="s">
        <v>310</v>
      </c>
      <c r="C34" s="2830"/>
    </row>
    <row r="35" spans="1:3">
      <c r="A35" s="2829" t="s">
        <v>310</v>
      </c>
      <c r="B35" s="2829" t="s">
        <v>310</v>
      </c>
      <c r="C35" s="2830"/>
    </row>
    <row r="36" spans="1:3">
      <c r="A36" s="2829" t="s">
        <v>310</v>
      </c>
      <c r="B36" s="2829" t="s">
        <v>310</v>
      </c>
      <c r="C36" s="2830"/>
    </row>
    <row r="37" spans="1:3">
      <c r="A37" s="2829" t="s">
        <v>310</v>
      </c>
      <c r="B37" s="2829" t="s">
        <v>310</v>
      </c>
      <c r="C37" s="2830"/>
    </row>
    <row r="38" spans="1:3">
      <c r="A38" s="2829" t="s">
        <v>310</v>
      </c>
      <c r="B38" s="2829" t="s">
        <v>310</v>
      </c>
      <c r="C38" s="2830"/>
    </row>
    <row r="39" spans="1:3">
      <c r="A39" s="2829" t="s">
        <v>310</v>
      </c>
      <c r="B39" s="2829" t="s">
        <v>310</v>
      </c>
      <c r="C39" s="2830"/>
    </row>
    <row r="40" spans="1:3">
      <c r="A40" s="2829" t="s">
        <v>310</v>
      </c>
      <c r="B40" s="2829" t="s">
        <v>310</v>
      </c>
      <c r="C40" s="2830"/>
    </row>
    <row r="41" spans="1:3">
      <c r="A41" s="2829" t="s">
        <v>310</v>
      </c>
      <c r="B41" s="2829" t="s">
        <v>310</v>
      </c>
      <c r="C41" s="2830"/>
    </row>
    <row r="42" spans="1:3">
      <c r="A42" s="2829" t="s">
        <v>310</v>
      </c>
      <c r="B42" s="2829" t="s">
        <v>310</v>
      </c>
      <c r="C42" s="2830"/>
    </row>
    <row r="43" spans="1:3">
      <c r="A43" s="2829" t="s">
        <v>310</v>
      </c>
      <c r="B43" s="2829" t="s">
        <v>310</v>
      </c>
      <c r="C43" s="2830"/>
    </row>
    <row r="44" spans="1:3">
      <c r="A44" s="2829" t="s">
        <v>310</v>
      </c>
      <c r="B44" s="2829" t="s">
        <v>310</v>
      </c>
      <c r="C44" s="2830"/>
    </row>
    <row r="45" spans="1:3">
      <c r="A45" s="2829" t="s">
        <v>310</v>
      </c>
      <c r="B45" s="2829" t="s">
        <v>310</v>
      </c>
      <c r="C45" s="2830"/>
    </row>
    <row r="46" spans="1:3">
      <c r="A46" s="2829" t="s">
        <v>310</v>
      </c>
      <c r="B46" s="2829" t="s">
        <v>310</v>
      </c>
      <c r="C46" s="2830"/>
    </row>
    <row r="47" spans="1:3">
      <c r="A47" s="2829" t="s">
        <v>310</v>
      </c>
      <c r="B47" s="2829" t="s">
        <v>310</v>
      </c>
      <c r="C47" s="2830"/>
    </row>
    <row r="48" spans="1:3">
      <c r="A48" s="2829" t="s">
        <v>310</v>
      </c>
      <c r="B48" s="2829" t="s">
        <v>310</v>
      </c>
      <c r="C48" s="2830"/>
    </row>
    <row r="49" spans="1:3">
      <c r="A49" s="2829" t="s">
        <v>310</v>
      </c>
      <c r="B49" s="2829" t="s">
        <v>310</v>
      </c>
      <c r="C49" s="2830"/>
    </row>
    <row r="50" spans="1:3">
      <c r="A50" s="2829" t="s">
        <v>310</v>
      </c>
      <c r="B50" s="2829" t="s">
        <v>310</v>
      </c>
      <c r="C50" s="2830"/>
    </row>
    <row r="51" spans="1:4">
      <c r="A51" s="2832"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spans="1:4">
      <c r="A52" s="2832" t="s">
        <v>318</v>
      </c>
      <c r="B52" s="2832" t="s">
        <v>319</v>
      </c>
      <c r="C52" s="559" t="s">
        <v>320</v>
      </c>
      <c r="D52" s="559" t="s">
        <v>321</v>
      </c>
    </row>
    <row r="53" customHeight="1" spans="1:3">
      <c r="A53" s="2827"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3">
      <c r="A54" s="2827"/>
      <c r="B54" s="559" t="s">
        <v>324</v>
      </c>
      <c r="C54" s="559" t="s">
        <v>325</v>
      </c>
    </row>
    <row r="55" spans="1:3">
      <c r="A55" s="2827"/>
      <c r="B55" s="559" t="s">
        <v>326</v>
      </c>
      <c r="C55" s="559" t="s">
        <v>327</v>
      </c>
    </row>
    <row r="56" spans="1:3">
      <c r="A56" s="2827"/>
      <c r="B56" s="559" t="s">
        <v>328</v>
      </c>
      <c r="C56" s="559" t="s">
        <v>329</v>
      </c>
    </row>
    <row r="57" spans="1:3">
      <c r="A57" s="2827"/>
      <c r="B57" s="559" t="s">
        <v>330</v>
      </c>
      <c r="C57" s="559" t="s">
        <v>331</v>
      </c>
    </row>
    <row r="58" spans="1:2">
      <c r="A58" s="2833"/>
      <c r="B58" s="2834"/>
    </row>
    <row r="59" spans="1:2">
      <c r="A59" s="2833"/>
      <c r="B59" s="2834"/>
    </row>
    <row r="60" spans="1:2">
      <c r="A60" s="2835"/>
      <c r="B60" s="559"/>
    </row>
    <row r="61" spans="1:2">
      <c r="A61" s="2835"/>
      <c r="B61" s="559"/>
    </row>
    <row r="62" spans="1:2">
      <c r="A62" s="2835"/>
      <c r="B62" s="559"/>
    </row>
    <row r="63" spans="1:2">
      <c r="A63" s="2835"/>
      <c r="B63" s="559"/>
    </row>
    <row r="64" spans="1:2">
      <c r="A64" s="2835"/>
      <c r="B64" s="559"/>
    </row>
    <row r="65" spans="1:2">
      <c r="A65" s="2835"/>
      <c r="B65" s="559"/>
    </row>
    <row r="66" spans="1:2">
      <c r="A66" s="2835"/>
      <c r="B66" s="559"/>
    </row>
    <row r="67" spans="1:2">
      <c r="A67" s="2835"/>
      <c r="B67" s="559"/>
    </row>
    <row r="68" spans="1:2">
      <c r="A68" s="2835"/>
      <c r="B68" s="559"/>
    </row>
    <row r="69" spans="1:2">
      <c r="A69" s="2835"/>
      <c r="B69" s="559"/>
    </row>
    <row r="70" spans="1:2">
      <c r="A70" s="2835"/>
      <c r="B70" s="559"/>
    </row>
    <row r="71" spans="1:2">
      <c r="A71" s="2835"/>
      <c r="B71" s="559"/>
    </row>
    <row r="72" spans="1:2">
      <c r="A72" s="2835"/>
      <c r="B72" s="559"/>
    </row>
    <row r="73" spans="1:2">
      <c r="A73" s="2835"/>
      <c r="B73" s="559"/>
    </row>
    <row r="74" spans="1:2">
      <c r="A74" s="2835"/>
      <c r="B74" s="559"/>
    </row>
    <row r="75" spans="1:2">
      <c r="A75" s="2835"/>
      <c r="B75" s="559"/>
    </row>
    <row r="76" spans="1:2">
      <c r="A76" s="2835"/>
      <c r="B76" s="559"/>
    </row>
    <row r="77" spans="1:2">
      <c r="A77" s="2835"/>
      <c r="B77" s="559"/>
    </row>
    <row r="78" spans="1:2">
      <c r="A78" s="2835"/>
      <c r="B78" s="559"/>
    </row>
    <row r="79" spans="1:2">
      <c r="A79" s="2835"/>
      <c r="B79" s="559"/>
    </row>
    <row r="80" spans="1:2">
      <c r="A80" s="2835"/>
      <c r="B80" s="559"/>
    </row>
    <row r="81" spans="1:2">
      <c r="A81" s="2835"/>
      <c r="B81" s="559"/>
    </row>
    <row r="82" spans="1:2">
      <c r="A82" s="2835"/>
      <c r="B82" s="559"/>
    </row>
    <row r="83" spans="1:2">
      <c r="A83" s="2835"/>
      <c r="B83" s="559"/>
    </row>
    <row r="84" spans="1:2">
      <c r="A84" s="2835"/>
      <c r="B84" s="559"/>
    </row>
    <row r="85" spans="1:2">
      <c r="A85" s="2835"/>
      <c r="B85" s="559"/>
    </row>
    <row r="86" spans="1:2">
      <c r="A86" s="2835"/>
      <c r="B86" s="559"/>
    </row>
    <row r="87" spans="1:2">
      <c r="A87" s="2835"/>
      <c r="B87" s="559"/>
    </row>
    <row r="88" spans="1:2">
      <c r="A88" s="2835"/>
      <c r="B88" s="559"/>
    </row>
    <row r="89" spans="1:2">
      <c r="A89" s="2835"/>
      <c r="B89" s="559"/>
    </row>
    <row r="90" spans="1:2">
      <c r="A90" s="2835"/>
      <c r="B90" s="559"/>
    </row>
    <row r="91" spans="1:2">
      <c r="A91" s="2835"/>
      <c r="B91" s="559"/>
    </row>
    <row r="92" spans="1:2">
      <c r="A92" s="2835"/>
      <c r="B92" s="559"/>
    </row>
    <row r="93" spans="1:2">
      <c r="A93" s="2835"/>
      <c r="B93" s="559"/>
    </row>
    <row r="94" spans="1:2">
      <c r="A94" s="2835"/>
      <c r="B94" s="559"/>
    </row>
    <row r="95" spans="1:2">
      <c r="A95" s="2835"/>
      <c r="B95" s="559"/>
    </row>
    <row r="96" spans="1:2">
      <c r="A96" s="2835"/>
      <c r="B96" s="559"/>
    </row>
    <row r="97" spans="1:2">
      <c r="A97" s="2835"/>
      <c r="B97" s="559"/>
    </row>
    <row r="98" spans="1:2">
      <c r="A98" s="2835"/>
      <c r="B98" s="559"/>
    </row>
    <row r="99" spans="1:2">
      <c r="A99" s="2835"/>
      <c r="B99" s="559"/>
    </row>
    <row r="100" spans="1:2">
      <c r="A100" s="2835"/>
      <c r="B100" s="559"/>
    </row>
    <row r="101" spans="1:2">
      <c r="A101" s="2835"/>
      <c r="B101" s="559"/>
    </row>
    <row r="102" spans="1:2">
      <c r="A102" s="2835"/>
      <c r="B102" s="559"/>
    </row>
    <row r="103" spans="1:2">
      <c r="A103" s="2835"/>
      <c r="B103" s="559"/>
    </row>
    <row r="104" spans="1:2">
      <c r="A104" s="2835"/>
      <c r="B104" s="559"/>
    </row>
    <row r="105" spans="1:2">
      <c r="A105" s="2835"/>
      <c r="B105" s="559"/>
    </row>
    <row r="106" spans="1:2">
      <c r="A106" s="2835"/>
      <c r="B106" s="559"/>
    </row>
    <row r="107" spans="1:2">
      <c r="A107" s="2835"/>
      <c r="B107" s="559"/>
    </row>
    <row r="108" spans="1:2">
      <c r="A108" s="2835"/>
      <c r="B108" s="559"/>
    </row>
    <row r="109" spans="1:2">
      <c r="A109" s="2835"/>
      <c r="B109" s="559"/>
    </row>
    <row r="110" spans="1:2">
      <c r="A110" s="2835"/>
      <c r="B110" s="559"/>
    </row>
    <row r="111" spans="1:2">
      <c r="A111" s="2835"/>
      <c r="B111" s="559"/>
    </row>
    <row r="112" spans="1:2">
      <c r="A112" s="2835"/>
      <c r="B112" s="559"/>
    </row>
    <row r="113" spans="1:2">
      <c r="A113" s="2835"/>
      <c r="B113" s="559"/>
    </row>
    <row r="114" spans="1:2">
      <c r="A114" s="2835"/>
      <c r="B114" s="559"/>
    </row>
    <row r="115" spans="1:2">
      <c r="A115" s="2835"/>
      <c r="B115" s="559"/>
    </row>
    <row r="116" spans="1:2">
      <c r="A116" s="2835"/>
      <c r="B116" s="559"/>
    </row>
    <row r="117" spans="1:2">
      <c r="A117" s="2835"/>
      <c r="B117" s="559"/>
    </row>
    <row r="118" spans="1:2">
      <c r="A118" s="2835"/>
      <c r="B118" s="559"/>
    </row>
    <row r="119" spans="1:2">
      <c r="A119" s="2835"/>
      <c r="B119" s="559"/>
    </row>
    <row r="120" spans="1:2">
      <c r="A120" s="2835"/>
      <c r="B120" s="559"/>
    </row>
    <row r="121" spans="1:2">
      <c r="A121" s="2835"/>
      <c r="B121" s="559"/>
    </row>
    <row r="122" spans="1:2">
      <c r="A122" s="2835"/>
      <c r="B122" s="559"/>
    </row>
    <row r="123" spans="1:2">
      <c r="A123" s="2835"/>
      <c r="B123" s="559"/>
    </row>
    <row r="124" spans="1:2">
      <c r="A124" s="2835"/>
      <c r="B124" s="559"/>
    </row>
    <row r="125" spans="1:2">
      <c r="A125" s="2835"/>
      <c r="B125" s="559"/>
    </row>
    <row r="126" spans="1:2">
      <c r="A126" s="2835"/>
      <c r="B126" s="559"/>
    </row>
    <row r="127" spans="1:2">
      <c r="A127" s="2835"/>
      <c r="B127" s="559"/>
    </row>
    <row r="128" spans="1:2">
      <c r="A128" s="2835"/>
      <c r="B128" s="559"/>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2019-02-13T01:30:59Z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