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香河园商业-黄英20200515-105647\"/>
    </mc:Choice>
  </mc:AlternateContent>
  <bookViews>
    <workbookView xWindow="15" yWindow="255" windowWidth="12120" windowHeight="110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state="hidden" r:id="rId21"/>
    <sheet name="收益法-自用" sheetId="79" r:id="rId22"/>
    <sheet name="收益法-出租" sheetId="15" state="hidden" r:id="rId23"/>
    <sheet name="收益法 (元)" sheetId="67"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清单" sheetId="77" r:id="rId46"/>
    <sheet name="租金" sheetId="78" r:id="rId47"/>
    <sheet name="Sheet1" sheetId="80" r:id="rId48"/>
  </sheets>
  <externalReferences>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46" hidden="1">租金!$C$1:$C$31</definedName>
    <definedName name="_xlnm.Print_Area" localSheetId="8">估价师及机构信息!$A$1:$F$29</definedName>
    <definedName name="_xlnm.Print_Area" localSheetId="23">'收益法 (元)'!$A$1:$AK$69</definedName>
    <definedName name="_xlnm.Print_Area" localSheetId="22">'收益法-出租'!$A$1:$AK$69</definedName>
    <definedName name="_xlnm.Print_Area" localSheetId="21">'收益法-自用'!$A$1:$AK$69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I77" i="77" l="1"/>
  <c r="N6" i="1" l="1"/>
  <c r="I68" i="77" l="1"/>
  <c r="K77" i="77" l="1"/>
  <c r="K75" i="77"/>
  <c r="H33" i="77" l="1"/>
  <c r="D3" i="4" l="1"/>
  <c r="H68" i="77" l="1"/>
  <c r="H66" i="77"/>
  <c r="B24" i="31" s="1"/>
  <c r="H32" i="77"/>
  <c r="H34" i="77"/>
  <c r="C16" i="74"/>
  <c r="B16" i="74"/>
  <c r="C15" i="74"/>
  <c r="B15" i="74"/>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N11" i="71"/>
  <c r="O11" i="71"/>
  <c r="P11" i="71"/>
  <c r="Q11" i="71"/>
  <c r="AD11" i="71"/>
  <c r="AE11" i="71"/>
  <c r="AF11" i="71" s="1"/>
  <c r="AG11" i="71"/>
  <c r="AH11" i="71"/>
  <c r="N12" i="71"/>
  <c r="O12" i="71"/>
  <c r="P12" i="71"/>
  <c r="Q12" i="71"/>
  <c r="AD12" i="71"/>
  <c r="AE12" i="71"/>
  <c r="AF12" i="71" s="1"/>
  <c r="AG12" i="71"/>
  <c r="AH12" i="71"/>
  <c r="N13" i="71"/>
  <c r="O13" i="71"/>
  <c r="P13" i="71"/>
  <c r="Q13" i="71"/>
  <c r="AD13" i="71"/>
  <c r="AE13" i="71"/>
  <c r="AF13" i="71" s="1"/>
  <c r="AG13" i="71"/>
  <c r="AH13" i="71"/>
  <c r="N14" i="71"/>
  <c r="O14" i="71"/>
  <c r="P14" i="71"/>
  <c r="Q14" i="71"/>
  <c r="F14" i="71" s="1"/>
  <c r="F13" i="71" s="1"/>
  <c r="F12" i="71" s="1"/>
  <c r="F11" i="71" s="1"/>
  <c r="AD14" i="71"/>
  <c r="AE14" i="71"/>
  <c r="AF14" i="71" s="1"/>
  <c r="AG14" i="71"/>
  <c r="AH14" i="71"/>
  <c r="D15" i="71"/>
  <c r="N15" i="71"/>
  <c r="O15" i="71"/>
  <c r="P15" i="71"/>
  <c r="Q15" i="71"/>
  <c r="AD15" i="71"/>
  <c r="AE15" i="71"/>
  <c r="AF15" i="71" s="1"/>
  <c r="AG15" i="71"/>
  <c r="AH15" i="71"/>
  <c r="B25" i="31" l="1"/>
  <c r="I75" i="77"/>
  <c r="F10" i="71"/>
  <c r="F9" i="71" s="1"/>
  <c r="F8" i="71" s="1"/>
  <c r="F7" i="71" s="1"/>
  <c r="F6" i="71" s="1"/>
  <c r="F5" i="71" s="1"/>
  <c r="H70" i="77"/>
  <c r="C14" i="71"/>
  <c r="C13" i="71" s="1"/>
  <c r="D13" i="71" s="1"/>
  <c r="B14" i="71"/>
  <c r="E14" i="71"/>
  <c r="T14" i="71" l="1"/>
  <c r="C12" i="71"/>
  <c r="D12" i="71" s="1"/>
  <c r="D14" i="71"/>
  <c r="U14" i="71" s="1"/>
  <c r="B13" i="71"/>
  <c r="B12" i="71" s="1"/>
  <c r="B11" i="71" s="1"/>
  <c r="B10" i="71" s="1"/>
  <c r="S14" i="71"/>
  <c r="C11" i="71"/>
  <c r="C10" i="71" s="1"/>
  <c r="E13" i="71"/>
  <c r="E12" i="71" s="1"/>
  <c r="E11" i="71" s="1"/>
  <c r="E10" i="71" s="1"/>
  <c r="V14" i="71"/>
  <c r="D10" i="71" l="1"/>
  <c r="T10" i="71"/>
  <c r="C9" i="71"/>
  <c r="S10" i="71"/>
  <c r="B9" i="71"/>
  <c r="B8" i="71" s="1"/>
  <c r="B7" i="71" s="1"/>
  <c r="B6" i="71" s="1"/>
  <c r="V10" i="71"/>
  <c r="E9" i="71"/>
  <c r="E8" i="71" s="1"/>
  <c r="E7" i="71" s="1"/>
  <c r="E6" i="71" s="1"/>
  <c r="D11" i="71"/>
  <c r="U10" i="71" l="1"/>
  <c r="E5" i="71"/>
  <c r="V6" i="71"/>
  <c r="S6" i="71"/>
  <c r="B5" i="71"/>
  <c r="D9" i="71"/>
  <c r="C8" i="71"/>
  <c r="C7" i="71" l="1"/>
  <c r="D8" i="71"/>
  <c r="D7" i="71" l="1"/>
  <c r="C6" i="71"/>
  <c r="T6" i="71" l="1"/>
  <c r="C5" i="71"/>
  <c r="D5" i="71" s="1"/>
  <c r="D6" i="71"/>
  <c r="U6" i="71" s="1"/>
  <c r="F49" i="15" l="1"/>
  <c r="N8" i="78" l="1"/>
  <c r="N9" i="78"/>
  <c r="N10" i="78"/>
  <c r="N11" i="78"/>
  <c r="N12" i="78"/>
  <c r="N13" i="78"/>
  <c r="N14" i="78"/>
  <c r="N15" i="78"/>
  <c r="N16" i="78"/>
  <c r="N17" i="78"/>
  <c r="N18" i="78"/>
  <c r="N19" i="78"/>
  <c r="N20" i="78"/>
  <c r="N7" i="78"/>
  <c r="M7" i="78"/>
  <c r="AD6" i="1"/>
  <c r="I33" i="78"/>
  <c r="AF6" i="1" s="1"/>
  <c r="Z6" i="1" s="1"/>
  <c r="I32" i="78"/>
  <c r="N5" i="78" l="1"/>
  <c r="Q72" i="79"/>
  <c r="Q59" i="79"/>
  <c r="K59" i="79"/>
  <c r="P74" i="79" s="1"/>
  <c r="F59" i="79"/>
  <c r="Q58" i="79"/>
  <c r="Q51" i="79"/>
  <c r="J50" i="79"/>
  <c r="M47" i="79"/>
  <c r="D46" i="79"/>
  <c r="F33" i="79"/>
  <c r="F61" i="79" s="1"/>
  <c r="F31" i="79"/>
  <c r="F23" i="79"/>
  <c r="D23" i="79" s="1"/>
  <c r="F21" i="79"/>
  <c r="F20" i="79"/>
  <c r="M19" i="79"/>
  <c r="F18" i="79"/>
  <c r="M17" i="79"/>
  <c r="F17" i="79"/>
  <c r="F15" i="79"/>
  <c r="O5" i="78"/>
  <c r="D24" i="79" l="1"/>
  <c r="P61" i="79"/>
  <c r="D22" i="79"/>
  <c r="C33" i="33"/>
  <c r="Y6" i="1"/>
  <c r="Y7" i="1" s="1"/>
  <c r="M5" i="78"/>
  <c r="N7" i="1"/>
  <c r="C36" i="33" s="1"/>
  <c r="F28" i="78" l="1"/>
  <c r="M26" i="78"/>
  <c r="M25" i="78"/>
  <c r="M24" i="78"/>
  <c r="M23" i="78"/>
  <c r="L23" i="78"/>
  <c r="M22" i="78"/>
  <c r="L22" i="78"/>
  <c r="L27" i="78" s="1"/>
  <c r="F21" i="78"/>
  <c r="M20" i="78"/>
  <c r="M19" i="78"/>
  <c r="M18" i="78"/>
  <c r="M17" i="78"/>
  <c r="M16" i="78"/>
  <c r="M15" i="78"/>
  <c r="M14" i="78"/>
  <c r="M13" i="78"/>
  <c r="M12" i="78"/>
  <c r="M11" i="78"/>
  <c r="M10" i="78"/>
  <c r="M9" i="78"/>
  <c r="M8" i="78"/>
  <c r="M6" i="78"/>
  <c r="M4" i="78"/>
  <c r="H62" i="77"/>
  <c r="H63" i="77" s="1"/>
  <c r="F27" i="78" l="1"/>
  <c r="F33" i="78"/>
  <c r="N21" i="78"/>
  <c r="N33" i="78" s="1"/>
  <c r="U6" i="1" s="1"/>
  <c r="M21" i="78"/>
  <c r="I33" i="77"/>
  <c r="F31" i="78"/>
  <c r="L3" i="71" l="1"/>
  <c r="AH3" i="71" s="1"/>
  <c r="K3" i="71"/>
  <c r="AG3" i="71" s="1"/>
  <c r="J3" i="71"/>
  <c r="AE3" i="71" s="1"/>
  <c r="I3" i="71"/>
  <c r="A2" i="53"/>
  <c r="K59" i="67"/>
  <c r="P61" i="67"/>
  <c r="K59" i="15"/>
  <c r="P61" i="15" s="1"/>
  <c r="P74" i="15"/>
  <c r="P74" i="67"/>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6" i="71"/>
  <c r="P16" i="71"/>
  <c r="O16" i="71"/>
  <c r="N16" i="71"/>
  <c r="A15" i="51"/>
  <c r="C76" i="9"/>
  <c r="I107" i="40"/>
  <c r="K6" i="4"/>
  <c r="B22" i="31"/>
  <c r="K56" i="9"/>
  <c r="E17" i="74"/>
  <c r="F17" i="74"/>
  <c r="E18" i="74"/>
  <c r="F18" i="74"/>
  <c r="E19" i="74"/>
  <c r="F19" i="74"/>
  <c r="E20" i="74"/>
  <c r="F20" i="74"/>
  <c r="E21" i="74"/>
  <c r="F21" i="74"/>
  <c r="E22" i="74"/>
  <c r="F22" i="74"/>
  <c r="E23" i="74"/>
  <c r="F23" i="74"/>
  <c r="B3" i="74"/>
  <c r="C91" i="9"/>
  <c r="B8" i="72"/>
  <c r="O17" i="71"/>
  <c r="P17" i="71"/>
  <c r="Q17" i="71"/>
  <c r="N17"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J1" i="73"/>
  <c r="B74" i="72"/>
  <c r="Y12" i="43"/>
  <c r="Y10" i="43"/>
  <c r="AJ9" i="43"/>
  <c r="AJ12" i="43" s="1"/>
  <c r="AI9" i="43"/>
  <c r="AI12" i="43" s="1"/>
  <c r="AH9" i="43"/>
  <c r="AH12" i="43" s="1"/>
  <c r="AG9" i="43"/>
  <c r="AF9" i="43"/>
  <c r="AF12" i="43" s="1"/>
  <c r="AE9" i="43"/>
  <c r="AD9" i="43"/>
  <c r="AD12" i="43" s="1"/>
  <c r="AC9" i="43"/>
  <c r="AB9" i="43"/>
  <c r="AB12" i="43" s="1"/>
  <c r="AA9" i="43"/>
  <c r="AA12" i="43" s="1"/>
  <c r="Z9" i="43"/>
  <c r="Z12" i="43" s="1"/>
  <c r="AI10" i="43"/>
  <c r="Z10" i="43"/>
  <c r="AB10" i="43"/>
  <c r="AF10" i="43"/>
  <c r="AH10" i="43"/>
  <c r="AJ10" i="43"/>
  <c r="K49" i="9"/>
  <c r="E107" i="9"/>
  <c r="A122" i="9" s="1"/>
  <c r="A8" i="52" s="1"/>
  <c r="B54" i="72" s="1"/>
  <c r="E111" i="9"/>
  <c r="A126" i="9" s="1"/>
  <c r="E109" i="9"/>
  <c r="A124" i="9" s="1"/>
  <c r="B44" i="72"/>
  <c r="B42" i="72"/>
  <c r="B69" i="72"/>
  <c r="B68" i="72"/>
  <c r="B63" i="72"/>
  <c r="B62" i="72"/>
  <c r="B16" i="72"/>
  <c r="B65" i="72"/>
  <c r="B60" i="72"/>
  <c r="B66" i="72"/>
  <c r="B12" i="72"/>
  <c r="B10" i="72"/>
  <c r="C53" i="10"/>
  <c r="B51" i="10"/>
  <c r="B19" i="72"/>
  <c r="A18" i="51"/>
  <c r="B13" i="72" s="1"/>
  <c r="B49" i="48"/>
  <c r="B5" i="72" s="1"/>
  <c r="I19" i="43"/>
  <c r="D79" i="71"/>
  <c r="F78" i="71"/>
  <c r="F77" i="71" s="1"/>
  <c r="F76" i="71" s="1"/>
  <c r="E78" i="71"/>
  <c r="E77" i="71" s="1"/>
  <c r="E76" i="71" s="1"/>
  <c r="C78" i="71"/>
  <c r="D78" i="71" s="1"/>
  <c r="B78" i="71"/>
  <c r="B77" i="71" s="1"/>
  <c r="B76" i="71" s="1"/>
  <c r="D75" i="71"/>
  <c r="F74" i="71"/>
  <c r="F73" i="71" s="1"/>
  <c r="F72" i="71" s="1"/>
  <c r="E74" i="71"/>
  <c r="E73" i="71" s="1"/>
  <c r="E72" i="71" s="1"/>
  <c r="C74" i="71"/>
  <c r="B74" i="71"/>
  <c r="B73" i="71" s="1"/>
  <c r="B72" i="71" s="1"/>
  <c r="D71" i="71"/>
  <c r="Q70" i="71"/>
  <c r="P70" i="71"/>
  <c r="O70" i="71"/>
  <c r="N70" i="71"/>
  <c r="F70" i="71"/>
  <c r="V70" i="71" s="1"/>
  <c r="E70" i="71"/>
  <c r="U70" i="71" s="1"/>
  <c r="C70" i="71"/>
  <c r="B70" i="71"/>
  <c r="S70" i="71" s="1"/>
  <c r="Q69" i="71"/>
  <c r="P69" i="71"/>
  <c r="O69" i="71"/>
  <c r="N69" i="71"/>
  <c r="F69" i="71"/>
  <c r="F68" i="71" s="1"/>
  <c r="Q68" i="71"/>
  <c r="P68" i="71"/>
  <c r="O68" i="71"/>
  <c r="N68" i="71"/>
  <c r="Q67" i="71"/>
  <c r="P67" i="71"/>
  <c r="O67" i="71"/>
  <c r="N67" i="71"/>
  <c r="D67" i="71"/>
  <c r="Q66" i="71"/>
  <c r="P66" i="71"/>
  <c r="O66" i="71"/>
  <c r="N66" i="71"/>
  <c r="F66" i="71"/>
  <c r="V66" i="71" s="1"/>
  <c r="E66" i="71"/>
  <c r="U66" i="71" s="1"/>
  <c r="C66" i="71"/>
  <c r="T66" i="71" s="1"/>
  <c r="B66" i="71"/>
  <c r="Q65" i="71"/>
  <c r="P65" i="71"/>
  <c r="O65" i="71"/>
  <c r="N65" i="71"/>
  <c r="F65" i="71"/>
  <c r="F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V58" i="71" s="1"/>
  <c r="E58" i="71"/>
  <c r="C58" i="71"/>
  <c r="T58" i="71" s="1"/>
  <c r="B58" i="71"/>
  <c r="F57" i="71"/>
  <c r="F56" i="71" s="1"/>
  <c r="Q56" i="71" s="1"/>
  <c r="D55" i="71"/>
  <c r="Q54" i="71"/>
  <c r="P54" i="71"/>
  <c r="O54" i="71"/>
  <c r="N54" i="71"/>
  <c r="Q53" i="71"/>
  <c r="P53" i="71"/>
  <c r="O53" i="71"/>
  <c r="N53" i="71"/>
  <c r="Q52" i="71"/>
  <c r="P52" i="71"/>
  <c r="O52" i="71"/>
  <c r="N52" i="71"/>
  <c r="Q51" i="71"/>
  <c r="F52" i="71" s="1"/>
  <c r="F53" i="71" s="1"/>
  <c r="F54" i="71" s="1"/>
  <c r="V54" i="71" s="1"/>
  <c r="P51" i="71"/>
  <c r="E52" i="71" s="1"/>
  <c r="O51" i="71"/>
  <c r="C52" i="71" s="1"/>
  <c r="D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Q28" i="71"/>
  <c r="AB28" i="71" s="1"/>
  <c r="P28" i="71"/>
  <c r="O28" i="71"/>
  <c r="Y28" i="71" s="1"/>
  <c r="Z28" i="71" s="1"/>
  <c r="N28" i="71"/>
  <c r="Q27" i="71"/>
  <c r="P27" i="71"/>
  <c r="O27" i="71"/>
  <c r="N27" i="71"/>
  <c r="D27" i="71"/>
  <c r="Q26" i="71"/>
  <c r="P26" i="71"/>
  <c r="AA26" i="71" s="1"/>
  <c r="O26" i="71"/>
  <c r="Y26" i="71"/>
  <c r="Z26" i="71" s="1"/>
  <c r="N26" i="71"/>
  <c r="Q25" i="71"/>
  <c r="P25" i="71"/>
  <c r="O25" i="71"/>
  <c r="N25" i="71"/>
  <c r="Q24" i="71"/>
  <c r="P24" i="71"/>
  <c r="O24" i="71"/>
  <c r="N24" i="71"/>
  <c r="Q23" i="71"/>
  <c r="P23" i="71"/>
  <c r="O23" i="71"/>
  <c r="Y19" i="71" s="1"/>
  <c r="Z19" i="71" s="1"/>
  <c r="N23" i="71"/>
  <c r="B24" i="71" s="1"/>
  <c r="B25" i="71" s="1"/>
  <c r="D23" i="71"/>
  <c r="Q22" i="71"/>
  <c r="P22" i="71"/>
  <c r="O22" i="71"/>
  <c r="N22" i="71"/>
  <c r="Q21" i="71"/>
  <c r="P21" i="71"/>
  <c r="AA21" i="71" s="1"/>
  <c r="O21" i="71"/>
  <c r="N21" i="71"/>
  <c r="Q20" i="71"/>
  <c r="P20" i="71"/>
  <c r="O20" i="71"/>
  <c r="N20" i="71"/>
  <c r="Q19" i="71"/>
  <c r="P19" i="71"/>
  <c r="E20" i="71" s="1"/>
  <c r="E21" i="71" s="1"/>
  <c r="E22" i="71" s="1"/>
  <c r="U22" i="71" s="1"/>
  <c r="O19" i="71"/>
  <c r="N19" i="71"/>
  <c r="D19" i="71"/>
  <c r="O18" i="71"/>
  <c r="C18" i="71" s="1"/>
  <c r="N18" i="71"/>
  <c r="B20" i="71"/>
  <c r="B21" i="71" s="1"/>
  <c r="B22" i="71" s="1"/>
  <c r="S22" i="71" s="1"/>
  <c r="B28" i="71"/>
  <c r="B29" i="71" s="1"/>
  <c r="E28" i="71"/>
  <c r="E29" i="71" s="1"/>
  <c r="E30" i="71" s="1"/>
  <c r="U30" i="71" s="1"/>
  <c r="N58" i="71"/>
  <c r="E24" i="71"/>
  <c r="X24" i="71"/>
  <c r="X26" i="71"/>
  <c r="Y3" i="71"/>
  <c r="Z3" i="71" s="1"/>
  <c r="P18" i="71"/>
  <c r="E18" i="71" s="1"/>
  <c r="E50" i="71"/>
  <c r="U50" i="71" s="1"/>
  <c r="E53" i="71"/>
  <c r="E54" i="71" s="1"/>
  <c r="U54" i="71" s="1"/>
  <c r="Q55" i="71"/>
  <c r="E57" i="71"/>
  <c r="E56" i="71" s="1"/>
  <c r="P55" i="71" s="1"/>
  <c r="Q18" i="71"/>
  <c r="C45" i="71"/>
  <c r="D45" i="71" s="1"/>
  <c r="C49" i="71"/>
  <c r="D49" i="71" s="1"/>
  <c r="C53" i="71"/>
  <c r="C54" i="71" s="1"/>
  <c r="Q57" i="71"/>
  <c r="O58" i="71"/>
  <c r="D58" i="71"/>
  <c r="C57" i="71"/>
  <c r="O57" i="71" s="1"/>
  <c r="Q58" i="71"/>
  <c r="C61" i="71"/>
  <c r="D61" i="71" s="1"/>
  <c r="E61" i="71"/>
  <c r="E60" i="71" s="1"/>
  <c r="D62" i="71"/>
  <c r="C65" i="71"/>
  <c r="E65" i="71"/>
  <c r="E64" i="71" s="1"/>
  <c r="D66" i="71"/>
  <c r="E69" i="71"/>
  <c r="E68" i="71" s="1"/>
  <c r="C77" i="71"/>
  <c r="C76" i="71" s="1"/>
  <c r="D76" i="71" s="1"/>
  <c r="F18" i="71"/>
  <c r="D65" i="71"/>
  <c r="C64" i="71"/>
  <c r="D64" i="71" s="1"/>
  <c r="D77" i="71"/>
  <c r="T54" i="71"/>
  <c r="D5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F18" i="35"/>
  <c r="AA18" i="35" s="1"/>
  <c r="C18" i="35"/>
  <c r="Q21" i="37"/>
  <c r="Z21" i="37" s="1"/>
  <c r="D77" i="37"/>
  <c r="E77" i="37"/>
  <c r="F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B55" i="43"/>
  <c r="C25" i="40"/>
  <c r="S29" i="39"/>
  <c r="S18" i="36"/>
  <c r="U18" i="36"/>
  <c r="S21" i="34"/>
  <c r="H25" i="40"/>
  <c r="J25" i="40"/>
  <c r="W25" i="40" s="1"/>
  <c r="H29" i="39"/>
  <c r="J29" i="39"/>
  <c r="W29" i="39" s="1"/>
  <c r="J18" i="36"/>
  <c r="W18" i="36" s="1"/>
  <c r="H18" i="35"/>
  <c r="U18" i="35" s="1"/>
  <c r="G68" i="35"/>
  <c r="J18" i="35"/>
  <c r="H21" i="37"/>
  <c r="F21" i="37"/>
  <c r="S21" i="37" s="1"/>
  <c r="H21" i="34"/>
  <c r="U21" i="34" s="1"/>
  <c r="H21" i="33"/>
  <c r="AB21" i="33" s="1"/>
  <c r="F21" i="33"/>
  <c r="E83" i="21"/>
  <c r="S21" i="21"/>
  <c r="H1" i="69"/>
  <c r="AC25" i="40"/>
  <c r="AC29" i="39"/>
  <c r="AB21" i="37"/>
  <c r="U21" i="37"/>
  <c r="AA21" i="37"/>
  <c r="AB21" i="34"/>
  <c r="U21" i="33"/>
  <c r="AB18" i="35"/>
  <c r="AC18" i="35"/>
  <c r="W18" i="35"/>
  <c r="G77" i="37"/>
  <c r="J21" i="37"/>
  <c r="J21" i="34"/>
  <c r="J21" i="33"/>
  <c r="W21" i="33" s="1"/>
  <c r="F83" i="21"/>
  <c r="H21" i="21"/>
  <c r="AB21" i="21" s="1"/>
  <c r="F38" i="69"/>
  <c r="E37" i="69"/>
  <c r="F36" i="69"/>
  <c r="F35" i="69"/>
  <c r="F21" i="69"/>
  <c r="C21" i="69" s="1"/>
  <c r="F20" i="69"/>
  <c r="E10" i="69"/>
  <c r="E9" i="69"/>
  <c r="F7" i="69"/>
  <c r="C7" i="69" s="1"/>
  <c r="AC21" i="37"/>
  <c r="W21" i="37"/>
  <c r="AC21" i="34"/>
  <c r="W21" i="34"/>
  <c r="AC21" i="33"/>
  <c r="U21" i="21"/>
  <c r="G83" i="21"/>
  <c r="J21" i="21"/>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S2" i="4"/>
  <c r="C51" i="10" s="1"/>
  <c r="A13" i="51"/>
  <c r="B11" i="72" s="1"/>
  <c r="S1" i="4"/>
  <c r="B1" i="4"/>
  <c r="B37" i="48" s="1"/>
  <c r="B2" i="72" s="1"/>
  <c r="C31" i="66"/>
  <c r="C27" i="66"/>
  <c r="C32" i="66"/>
  <c r="I23" i="66"/>
  <c r="D20" i="66"/>
  <c r="I19" i="66"/>
  <c r="I18" i="66"/>
  <c r="I20" i="66" s="1"/>
  <c r="I17" i="66"/>
  <c r="E15" i="66"/>
  <c r="I14" i="66"/>
  <c r="I13" i="66"/>
  <c r="I12" i="66"/>
  <c r="I9" i="66"/>
  <c r="I8" i="66"/>
  <c r="I7" i="66"/>
  <c r="I6" i="66"/>
  <c r="I5" i="66"/>
  <c r="I4" i="66"/>
  <c r="I3" i="66"/>
  <c r="F113" i="43"/>
  <c r="N99" i="43"/>
  <c r="N108" i="43" s="1"/>
  <c r="D99" i="43"/>
  <c r="E99" i="43"/>
  <c r="F99" i="43"/>
  <c r="F108" i="43" s="1"/>
  <c r="G99" i="43"/>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s="1"/>
  <c r="M54" i="43"/>
  <c r="N54" i="43" s="1"/>
  <c r="K54" i="43"/>
  <c r="M53" i="43"/>
  <c r="N53" i="43" s="1"/>
  <c r="K53" i="43"/>
  <c r="J53" i="43" s="1"/>
  <c r="D53" i="43"/>
  <c r="M52" i="43"/>
  <c r="N52" i="43" s="1"/>
  <c r="K52" i="43"/>
  <c r="J52" i="43" s="1"/>
  <c r="D52" i="43" s="1"/>
  <c r="M51" i="43"/>
  <c r="N51" i="43" s="1"/>
  <c r="K51" i="43"/>
  <c r="J51" i="43" s="1"/>
  <c r="D51" i="43"/>
  <c r="M50" i="43"/>
  <c r="N50" i="43" s="1"/>
  <c r="K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c r="K12" i="31" s="1"/>
  <c r="L12" i="31"/>
  <c r="M12" i="31" s="1"/>
  <c r="N12" i="31" s="1"/>
  <c r="O12" i="31" s="1"/>
  <c r="P12" i="31" s="1"/>
  <c r="Q12" i="31" s="1"/>
  <c r="R12" i="31" s="1"/>
  <c r="S12" i="31" s="1"/>
  <c r="D10" i="31"/>
  <c r="E10" i="31" s="1"/>
  <c r="F10" i="31" s="1"/>
  <c r="G10" i="31" s="1"/>
  <c r="H10" i="31" s="1"/>
  <c r="I10" i="31" s="1"/>
  <c r="J10" i="31"/>
  <c r="K10" i="31" s="1"/>
  <c r="L10" i="31" s="1"/>
  <c r="M10" i="31" s="1"/>
  <c r="N10" i="31" s="1"/>
  <c r="O10" i="31" s="1"/>
  <c r="P10" i="31" s="1"/>
  <c r="Q10" i="31" s="1"/>
  <c r="R10" i="31" s="1"/>
  <c r="S10" i="31" s="1"/>
  <c r="D8" i="31"/>
  <c r="E8" i="31" s="1"/>
  <c r="F8" i="31" s="1"/>
  <c r="G8" i="31" s="1"/>
  <c r="H8" i="31" s="1"/>
  <c r="I8" i="31" s="1"/>
  <c r="J8" i="31"/>
  <c r="K8" i="31" s="1"/>
  <c r="L8" i="31"/>
  <c r="M8" i="31" s="1"/>
  <c r="N8" i="31" s="1"/>
  <c r="O8" i="31" s="1"/>
  <c r="P8" i="31" s="1"/>
  <c r="Q8" i="31" s="1"/>
  <c r="R8" i="31" s="1"/>
  <c r="S8" i="31" s="1"/>
  <c r="D6" i="31"/>
  <c r="E6" i="31" s="1"/>
  <c r="F6" i="31" s="1"/>
  <c r="G6" i="31" s="1"/>
  <c r="H6" i="31" s="1"/>
  <c r="I6" i="31" s="1"/>
  <c r="J6" i="31"/>
  <c r="K6" i="31" s="1"/>
  <c r="L6" i="31"/>
  <c r="M6" i="31" s="1"/>
  <c r="N6" i="31" s="1"/>
  <c r="O6" i="31" s="1"/>
  <c r="P6" i="31" s="1"/>
  <c r="Q6" i="31" s="1"/>
  <c r="R6" i="31" s="1"/>
  <c r="S6" i="31" s="1"/>
  <c r="B2" i="1"/>
  <c r="J51" i="79" s="1"/>
  <c r="F15" i="4"/>
  <c r="F8" i="1"/>
  <c r="F9" i="1"/>
  <c r="F10" i="1"/>
  <c r="F11" i="1"/>
  <c r="F12" i="1"/>
  <c r="F13" i="1"/>
  <c r="D6" i="1"/>
  <c r="D9" i="1"/>
  <c r="D10" i="1"/>
  <c r="D11" i="1"/>
  <c r="D12" i="1"/>
  <c r="D13" i="1"/>
  <c r="D7" i="1"/>
  <c r="D8" i="1"/>
  <c r="A7" i="1"/>
  <c r="A8" i="1"/>
  <c r="B8" i="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L96" i="3" s="1"/>
  <c r="AZ96" i="3" s="1"/>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AZ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L129" i="3" s="1"/>
  <c r="AZ129" i="3" s="1"/>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AZ126" i="3" s="1"/>
  <c r="BN126" i="3"/>
  <c r="BM126" i="3"/>
  <c r="BK126" i="3"/>
  <c r="BJ126" i="3"/>
  <c r="BI126" i="3"/>
  <c r="BH126" i="3"/>
  <c r="BG126" i="3"/>
  <c r="BF126" i="3"/>
  <c r="BE126" i="3"/>
  <c r="BD126" i="3"/>
  <c r="BC126" i="3"/>
  <c r="BA126" i="3" s="1"/>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L268" i="3" s="1"/>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BB258" i="3"/>
  <c r="AZ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AZ246" i="3" s="1"/>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H60" i="40"/>
  <c r="I60" i="40"/>
  <c r="C60" i="40"/>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R43" i="31"/>
  <c r="S43" i="31" s="1"/>
  <c r="R44" i="31"/>
  <c r="R45" i="31"/>
  <c r="S45" i="31" s="1"/>
  <c r="R46" i="31"/>
  <c r="S46" i="31" s="1"/>
  <c r="R47" i="31"/>
  <c r="S47" i="31" s="1"/>
  <c r="R48" i="31"/>
  <c r="R49" i="31"/>
  <c r="S49" i="31" s="1"/>
  <c r="R50" i="3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R163" i="31"/>
  <c r="S163" i="31" s="1"/>
  <c r="R164" i="31"/>
  <c r="R165" i="31"/>
  <c r="S165" i="31" s="1"/>
  <c r="R166" i="31"/>
  <c r="S166" i="31" s="1"/>
  <c r="R167" i="31"/>
  <c r="S167" i="31" s="1"/>
  <c r="R168" i="31"/>
  <c r="R169" i="31"/>
  <c r="S169" i="31" s="1"/>
  <c r="R170" i="3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R195" i="31"/>
  <c r="S195" i="31" s="1"/>
  <c r="R196" i="31"/>
  <c r="R197" i="31"/>
  <c r="S197" i="31" s="1"/>
  <c r="R198" i="31"/>
  <c r="S198" i="31" s="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7" i="1" s="1"/>
  <c r="G7" i="1" s="1"/>
  <c r="D15" i="4"/>
  <c r="L21" i="4"/>
  <c r="F19" i="4"/>
  <c r="F2" i="52"/>
  <c r="B50" i="72" s="1"/>
  <c r="D2" i="52"/>
  <c r="B46" i="72"/>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19"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0" i="31"/>
  <c r="S298" i="31"/>
  <c r="S280" i="31"/>
  <c r="S276" i="31"/>
  <c r="S272" i="31"/>
  <c r="S268" i="31"/>
  <c r="S266" i="31"/>
  <c r="S264" i="31"/>
  <c r="S260" i="31"/>
  <c r="S258" i="31"/>
  <c r="S256" i="31"/>
  <c r="S252" i="31"/>
  <c r="S248" i="31"/>
  <c r="S244" i="31"/>
  <c r="S240" i="31"/>
  <c r="S236" i="31"/>
  <c r="S232" i="31"/>
  <c r="S228" i="31"/>
  <c r="S224" i="31"/>
  <c r="S220" i="31"/>
  <c r="S216" i="31"/>
  <c r="S212" i="31"/>
  <c r="S208" i="31"/>
  <c r="S204" i="31"/>
  <c r="S202" i="31"/>
  <c r="S200" i="31"/>
  <c r="S196" i="31"/>
  <c r="S194" i="31"/>
  <c r="S192" i="31"/>
  <c r="S188" i="31"/>
  <c r="S184" i="31"/>
  <c r="S180" i="31"/>
  <c r="S176" i="31"/>
  <c r="S172" i="31"/>
  <c r="S170" i="31"/>
  <c r="S168" i="31"/>
  <c r="S164" i="31"/>
  <c r="S162" i="31"/>
  <c r="S160" i="31"/>
  <c r="S156" i="31"/>
  <c r="S152" i="31"/>
  <c r="S148" i="31"/>
  <c r="S144" i="31"/>
  <c r="S140" i="31"/>
  <c r="S138" i="31"/>
  <c r="S136" i="31"/>
  <c r="S132" i="31"/>
  <c r="S130" i="31"/>
  <c r="S128" i="31"/>
  <c r="S124" i="31"/>
  <c r="S496" i="31"/>
  <c r="S494" i="31"/>
  <c r="S492" i="31"/>
  <c r="S488" i="31"/>
  <c r="S484" i="31"/>
  <c r="S480" i="31"/>
  <c r="S476" i="31"/>
  <c r="S472" i="31"/>
  <c r="S470" i="31"/>
  <c r="S468" i="31"/>
  <c r="S121" i="31"/>
  <c r="S120" i="31"/>
  <c r="S117" i="31"/>
  <c r="S116" i="31"/>
  <c r="S113" i="31"/>
  <c r="S112" i="31"/>
  <c r="S504" i="31"/>
  <c r="S500" i="31"/>
  <c r="S52" i="31"/>
  <c r="S50" i="31"/>
  <c r="S48" i="31"/>
  <c r="S44" i="31"/>
  <c r="S42" i="31"/>
  <c r="S40" i="31"/>
  <c r="S36" i="31"/>
  <c r="S32" i="31"/>
  <c r="S76" i="31"/>
  <c r="S72" i="31"/>
  <c r="S68" i="31"/>
  <c r="S64" i="31"/>
  <c r="S60" i="31"/>
  <c r="S56" i="31"/>
  <c r="S96" i="31"/>
  <c r="S92" i="31"/>
  <c r="S88" i="31"/>
  <c r="S84" i="31"/>
  <c r="S80" i="31"/>
  <c r="S98" i="31"/>
  <c r="S100" i="31"/>
  <c r="S104" i="31"/>
  <c r="S108" i="31"/>
  <c r="S448" i="31"/>
  <c r="S513" i="31"/>
  <c r="I48" i="37"/>
  <c r="J48" i="37" s="1"/>
  <c r="G48" i="37"/>
  <c r="H48" i="37"/>
  <c r="E48" i="37"/>
  <c r="F48" i="37" s="1"/>
  <c r="I55" i="34"/>
  <c r="J55" i="34" s="1"/>
  <c r="G55" i="34"/>
  <c r="H55" i="34" s="1"/>
  <c r="E55" i="34"/>
  <c r="F55" i="34"/>
  <c r="I48" i="40"/>
  <c r="J48" i="40" s="1"/>
  <c r="G48" i="40"/>
  <c r="H48" i="40"/>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N5" i="3" s="1"/>
  <c r="G29" i="6"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J5" i="3" s="1"/>
  <c r="BK496" i="3"/>
  <c r="BM496" i="3"/>
  <c r="BN496" i="3"/>
  <c r="BO496" i="3"/>
  <c r="BL496" i="3" s="1"/>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G5" i="3" s="1"/>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AZ502" i="3" s="1"/>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AZ507" i="3" s="1"/>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AZ511" i="3" s="1"/>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AZ514" i="3" s="1"/>
  <c r="BN514" i="3"/>
  <c r="BO514" i="3"/>
  <c r="BP514" i="3"/>
  <c r="BQ514" i="3"/>
  <c r="BR514" i="3"/>
  <c r="BS514" i="3"/>
  <c r="BT514" i="3"/>
  <c r="H515" i="3"/>
  <c r="G515" i="3" s="1"/>
  <c r="AC515" i="3"/>
  <c r="BB515" i="3"/>
  <c r="BC515" i="3"/>
  <c r="BD515" i="3"/>
  <c r="BA515" i="3" s="1"/>
  <c r="AZ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L519" i="3" s="1"/>
  <c r="AZ519" i="3" s="1"/>
  <c r="BP519" i="3"/>
  <c r="BR519" i="3"/>
  <c r="BS519" i="3"/>
  <c r="BT519" i="3"/>
  <c r="H520" i="3"/>
  <c r="AC520" i="3"/>
  <c r="BB520" i="3"/>
  <c r="BC520" i="3"/>
  <c r="BD520" i="3"/>
  <c r="BE520" i="3"/>
  <c r="BF520" i="3"/>
  <c r="BG520" i="3"/>
  <c r="BH520" i="3"/>
  <c r="BI520" i="3"/>
  <c r="BJ520" i="3"/>
  <c r="BK520" i="3"/>
  <c r="BM520" i="3"/>
  <c r="BN520" i="3"/>
  <c r="BO520" i="3"/>
  <c r="BP520" i="3"/>
  <c r="BL520" i="3" s="1"/>
  <c r="AZ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Q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L547" i="3" s="1"/>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c r="J31" i="35"/>
  <c r="H31" i="35"/>
  <c r="AB31" i="35" s="1"/>
  <c r="F31" i="35"/>
  <c r="D87" i="35"/>
  <c r="E87" i="35" s="1"/>
  <c r="F87" i="35"/>
  <c r="G87" i="35"/>
  <c r="H87" i="35" s="1"/>
  <c r="I87" i="35" s="1"/>
  <c r="J87" i="35" s="1"/>
  <c r="K87" i="35" s="1"/>
  <c r="L87" i="35"/>
  <c r="M87" i="35" s="1"/>
  <c r="H34" i="37"/>
  <c r="D101" i="37"/>
  <c r="E101" i="37" s="1"/>
  <c r="F101" i="37" s="1"/>
  <c r="F34" i="37"/>
  <c r="D99" i="37"/>
  <c r="E99" i="37"/>
  <c r="F99" i="37"/>
  <c r="G99" i="37" s="1"/>
  <c r="H99" i="37" s="1"/>
  <c r="I99" i="37"/>
  <c r="J99" i="37" s="1"/>
  <c r="K99" i="37"/>
  <c r="L99" i="37" s="1"/>
  <c r="M99" i="37" s="1"/>
  <c r="H42" i="34"/>
  <c r="AB42" i="34" s="1"/>
  <c r="J42" i="34"/>
  <c r="W42" i="34" s="1"/>
  <c r="F42" i="34"/>
  <c r="J38" i="34"/>
  <c r="W38" i="34" s="1"/>
  <c r="D114" i="34"/>
  <c r="F38" i="34"/>
  <c r="S38" i="34" s="1"/>
  <c r="D112" i="34"/>
  <c r="E112" i="34" s="1"/>
  <c r="F112" i="34" s="1"/>
  <c r="G112" i="34"/>
  <c r="H112" i="34" s="1"/>
  <c r="I112" i="34" s="1"/>
  <c r="J112" i="34" s="1"/>
  <c r="K112" i="34" s="1"/>
  <c r="L112" i="34" s="1"/>
  <c r="M112" i="34" s="1"/>
  <c r="F40" i="33"/>
  <c r="AA40" i="33" s="1"/>
  <c r="J41" i="33"/>
  <c r="W41" i="33" s="1"/>
  <c r="D113" i="33"/>
  <c r="F37" i="33" s="1"/>
  <c r="D111" i="33"/>
  <c r="E111" i="33" s="1"/>
  <c r="F111" i="33" s="1"/>
  <c r="S516" i="31"/>
  <c r="S520" i="31"/>
  <c r="S524" i="31"/>
  <c r="F41" i="21"/>
  <c r="J41" i="21"/>
  <c r="AC41" i="21"/>
  <c r="H41" i="21"/>
  <c r="D81" i="39"/>
  <c r="E81" i="39"/>
  <c r="F81" i="39"/>
  <c r="G81" i="39" s="1"/>
  <c r="H81" i="39"/>
  <c r="I81" i="39" s="1"/>
  <c r="J81" i="39" s="1"/>
  <c r="K81" i="39" s="1"/>
  <c r="L81" i="39" s="1"/>
  <c r="M81" i="39"/>
  <c r="D76" i="40"/>
  <c r="E76" i="40" s="1"/>
  <c r="F76" i="40"/>
  <c r="G76" i="40" s="1"/>
  <c r="H76" i="40"/>
  <c r="I76" i="40" s="1"/>
  <c r="J76" i="40" s="1"/>
  <c r="K76" i="40"/>
  <c r="L76" i="40" s="1"/>
  <c r="M76" i="40" s="1"/>
  <c r="B120" i="40"/>
  <c r="B118" i="40"/>
  <c r="J39" i="40"/>
  <c r="B116" i="40"/>
  <c r="F38" i="40"/>
  <c r="AA38" i="40" s="1"/>
  <c r="D115" i="40"/>
  <c r="E115" i="40" s="1"/>
  <c r="F115" i="40"/>
  <c r="G115" i="40" s="1"/>
  <c r="H115" i="40" s="1"/>
  <c r="I115" i="40" s="1"/>
  <c r="J115" i="40" s="1"/>
  <c r="K115" i="40"/>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c r="J100" i="40" s="1"/>
  <c r="K100" i="40" s="1"/>
  <c r="L100" i="40" s="1"/>
  <c r="M100" i="40" s="1"/>
  <c r="D98" i="40"/>
  <c r="J28" i="40"/>
  <c r="AC28" i="40" s="1"/>
  <c r="D96" i="40"/>
  <c r="E96" i="40"/>
  <c r="F96" i="40" s="1"/>
  <c r="G96" i="40" s="1"/>
  <c r="H96" i="40"/>
  <c r="I96" i="40" s="1"/>
  <c r="J96" i="40"/>
  <c r="K96" i="40" s="1"/>
  <c r="L96" i="40" s="1"/>
  <c r="M96" i="40" s="1"/>
  <c r="B95" i="40"/>
  <c r="D92" i="40"/>
  <c r="E92" i="40"/>
  <c r="F92" i="40" s="1"/>
  <c r="G92" i="40" s="1"/>
  <c r="D90" i="40"/>
  <c r="E90" i="40"/>
  <c r="F90" i="40" s="1"/>
  <c r="G90" i="40" s="1"/>
  <c r="D88" i="40"/>
  <c r="E88" i="40"/>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AA40" i="40" s="1"/>
  <c r="Q39" i="40"/>
  <c r="Z39" i="40" s="1"/>
  <c r="H39" i="40"/>
  <c r="Q38" i="40"/>
  <c r="Z38" i="40" s="1"/>
  <c r="J38" i="40"/>
  <c r="AC38" i="40"/>
  <c r="H38" i="40"/>
  <c r="Q37" i="40"/>
  <c r="Z37" i="40" s="1"/>
  <c r="Q36" i="40"/>
  <c r="Z36" i="40" s="1"/>
  <c r="Q35" i="40"/>
  <c r="Z35" i="40" s="1"/>
  <c r="Q34" i="40"/>
  <c r="Z34" i="40" s="1"/>
  <c r="J34" i="40"/>
  <c r="AC34" i="40"/>
  <c r="H34" i="40"/>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F8" i="40"/>
  <c r="AA8" i="40" s="1"/>
  <c r="J38" i="39"/>
  <c r="W38" i="39"/>
  <c r="H38" i="39"/>
  <c r="AB38" i="39" s="1"/>
  <c r="F38" i="39"/>
  <c r="AA38" i="39" s="1"/>
  <c r="D124" i="39"/>
  <c r="E124" i="39"/>
  <c r="F124" i="39" s="1"/>
  <c r="G124" i="39" s="1"/>
  <c r="H124" i="39" s="1"/>
  <c r="I124" i="39" s="1"/>
  <c r="J124" i="39" s="1"/>
  <c r="K124" i="39" s="1"/>
  <c r="L124" i="39"/>
  <c r="M124" i="39" s="1"/>
  <c r="D120" i="39"/>
  <c r="E120" i="39" s="1"/>
  <c r="F120" i="39"/>
  <c r="G120" i="39"/>
  <c r="H120" i="39" s="1"/>
  <c r="I120" i="39" s="1"/>
  <c r="J120" i="39" s="1"/>
  <c r="K120" i="39"/>
  <c r="L120" i="39" s="1"/>
  <c r="M120" i="39" s="1"/>
  <c r="B114" i="39"/>
  <c r="J37" i="39" s="1"/>
  <c r="AC37" i="39" s="1"/>
  <c r="D109" i="39"/>
  <c r="F34" i="39"/>
  <c r="AA34" i="39"/>
  <c r="D107" i="39"/>
  <c r="E107" i="39"/>
  <c r="D105" i="39"/>
  <c r="E105" i="39"/>
  <c r="F105" i="39" s="1"/>
  <c r="G105" i="39" s="1"/>
  <c r="H105" i="39" s="1"/>
  <c r="I105" i="39" s="1"/>
  <c r="J105" i="39" s="1"/>
  <c r="K105" i="39" s="1"/>
  <c r="L105" i="39" s="1"/>
  <c r="M105" i="39"/>
  <c r="D101" i="39"/>
  <c r="E101" i="39" s="1"/>
  <c r="F101" i="39" s="1"/>
  <c r="G101" i="39" s="1"/>
  <c r="D99" i="39"/>
  <c r="E99" i="39" s="1"/>
  <c r="F99" i="39" s="1"/>
  <c r="G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c r="F126" i="39" s="1"/>
  <c r="G126" i="39" s="1"/>
  <c r="H126" i="39" s="1"/>
  <c r="I126" i="39"/>
  <c r="J126" i="39" s="1"/>
  <c r="K126" i="39" s="1"/>
  <c r="L126" i="39" s="1"/>
  <c r="M126" i="39" s="1"/>
  <c r="D122" i="39"/>
  <c r="E122" i="39" s="1"/>
  <c r="F122" i="39"/>
  <c r="G122" i="39" s="1"/>
  <c r="H122" i="39" s="1"/>
  <c r="I122" i="39" s="1"/>
  <c r="J122" i="39" s="1"/>
  <c r="K122" i="39" s="1"/>
  <c r="L122" i="39" s="1"/>
  <c r="M122" i="39" s="1"/>
  <c r="B104" i="39"/>
  <c r="H31" i="39" s="1"/>
  <c r="AB31" i="39" s="1"/>
  <c r="D97" i="39"/>
  <c r="J23" i="39"/>
  <c r="AC23" i="39"/>
  <c r="D95" i="39"/>
  <c r="E95" i="39" s="1"/>
  <c r="F95" i="39" s="1"/>
  <c r="D93" i="39"/>
  <c r="E93" i="39"/>
  <c r="F93" i="39" s="1"/>
  <c r="G93" i="39"/>
  <c r="D91" i="39"/>
  <c r="E91" i="39" s="1"/>
  <c r="F91" i="39" s="1"/>
  <c r="G91" i="39"/>
  <c r="D89" i="39"/>
  <c r="E89" i="39" s="1"/>
  <c r="F89" i="39" s="1"/>
  <c r="G89" i="39" s="1"/>
  <c r="B86" i="39"/>
  <c r="F14" i="39" s="1"/>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c r="Q12" i="39"/>
  <c r="Z12" i="39" s="1"/>
  <c r="Q11" i="39"/>
  <c r="Z11" i="39" s="1"/>
  <c r="Q10" i="39"/>
  <c r="Z10" i="39" s="1"/>
  <c r="Q9" i="39"/>
  <c r="Z9" i="39" s="1"/>
  <c r="J9" i="39"/>
  <c r="AC9" i="39" s="1"/>
  <c r="H9" i="39"/>
  <c r="F9" i="39"/>
  <c r="AA9" i="39" s="1"/>
  <c r="J8" i="39"/>
  <c r="AC8" i="39"/>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D94" i="37"/>
  <c r="E94" i="37" s="1"/>
  <c r="M90" i="37"/>
  <c r="L90" i="37"/>
  <c r="K90" i="37"/>
  <c r="J90" i="37"/>
  <c r="I90" i="37"/>
  <c r="H90" i="37"/>
  <c r="G90" i="37"/>
  <c r="F90" i="37"/>
  <c r="E90" i="37"/>
  <c r="D90" i="37"/>
  <c r="C90" i="37"/>
  <c r="D89" i="37"/>
  <c r="B86" i="37"/>
  <c r="B84" i="37"/>
  <c r="H27" i="37"/>
  <c r="B82" i="37"/>
  <c r="D79" i="37"/>
  <c r="E79" i="37"/>
  <c r="F79" i="37" s="1"/>
  <c r="G79" i="37" s="1"/>
  <c r="D75" i="37"/>
  <c r="E75" i="37" s="1"/>
  <c r="D73" i="37"/>
  <c r="E73" i="37"/>
  <c r="F73" i="37" s="1"/>
  <c r="D71" i="37"/>
  <c r="H15" i="37"/>
  <c r="AB15" i="37"/>
  <c r="B68" i="37"/>
  <c r="H14" i="37" s="1"/>
  <c r="B66" i="37"/>
  <c r="B64" i="37"/>
  <c r="F12" i="37" s="1"/>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c r="Q33" i="37"/>
  <c r="Z33" i="37" s="1"/>
  <c r="Q32" i="37"/>
  <c r="Z32" i="37"/>
  <c r="Q31" i="37"/>
  <c r="Z31" i="37" s="1"/>
  <c r="J31" i="37"/>
  <c r="W31" i="37" s="1"/>
  <c r="Q30" i="37"/>
  <c r="Z30" i="37" s="1"/>
  <c r="J30" i="37"/>
  <c r="AC30" i="37" s="1"/>
  <c r="H30" i="37"/>
  <c r="AB30" i="37" s="1"/>
  <c r="F30" i="37"/>
  <c r="Q29" i="37"/>
  <c r="Z29" i="37" s="1"/>
  <c r="H29" i="37"/>
  <c r="AB29" i="37"/>
  <c r="Q28" i="37"/>
  <c r="Z28" i="37" s="1"/>
  <c r="Q27" i="37"/>
  <c r="Z27" i="37" s="1"/>
  <c r="Q26" i="37"/>
  <c r="Z26" i="37" s="1"/>
  <c r="J26" i="37"/>
  <c r="H26" i="37"/>
  <c r="AB26" i="37" s="1"/>
  <c r="F26" i="37"/>
  <c r="S26" i="37" s="1"/>
  <c r="AA26" i="37"/>
  <c r="Q25" i="37"/>
  <c r="Z25" i="37" s="1"/>
  <c r="F25" i="37"/>
  <c r="AA25" i="37" s="1"/>
  <c r="Q23" i="37"/>
  <c r="Z23" i="37" s="1"/>
  <c r="Q19" i="37"/>
  <c r="Z19" i="37" s="1"/>
  <c r="Q17" i="37"/>
  <c r="Z17" i="37" s="1"/>
  <c r="Q15" i="37"/>
  <c r="Z15" i="37" s="1"/>
  <c r="Q14" i="37"/>
  <c r="Z14" i="37"/>
  <c r="Q13" i="37"/>
  <c r="Z13" i="37" s="1"/>
  <c r="Q12" i="37"/>
  <c r="Z12" i="37"/>
  <c r="Q11" i="37"/>
  <c r="Z11" i="37" s="1"/>
  <c r="Q10" i="37"/>
  <c r="Z10" i="37" s="1"/>
  <c r="F10" i="37"/>
  <c r="AA10" i="37" s="1"/>
  <c r="Q9" i="37"/>
  <c r="Z9" i="37" s="1"/>
  <c r="J8" i="37"/>
  <c r="W8" i="37" s="1"/>
  <c r="H8" i="37"/>
  <c r="F8" i="37"/>
  <c r="S8" i="37" s="1"/>
  <c r="J31" i="36"/>
  <c r="H31" i="36"/>
  <c r="F31" i="36"/>
  <c r="S31" i="36"/>
  <c r="M86" i="36"/>
  <c r="L86" i="36"/>
  <c r="K86" i="36"/>
  <c r="J86" i="36"/>
  <c r="I86" i="36"/>
  <c r="H86" i="36"/>
  <c r="G86" i="36"/>
  <c r="F86" i="36"/>
  <c r="E86" i="36"/>
  <c r="D86" i="36"/>
  <c r="C86" i="36"/>
  <c r="D85" i="36"/>
  <c r="H29" i="36"/>
  <c r="D81" i="36"/>
  <c r="E81" i="36" s="1"/>
  <c r="F81" i="36" s="1"/>
  <c r="G81" i="36" s="1"/>
  <c r="H81" i="36"/>
  <c r="I81" i="36" s="1"/>
  <c r="J81" i="36"/>
  <c r="K81" i="36" s="1"/>
  <c r="L81" i="36" s="1"/>
  <c r="M81" i="36" s="1"/>
  <c r="F79" i="36"/>
  <c r="E79" i="36"/>
  <c r="D79" i="36"/>
  <c r="C79" i="36"/>
  <c r="B93" i="36"/>
  <c r="B91" i="36"/>
  <c r="F32" i="36" s="1"/>
  <c r="AA32" i="36" s="1"/>
  <c r="B95" i="36"/>
  <c r="J34" i="36" s="1"/>
  <c r="AC34" i="36" s="1"/>
  <c r="H34" i="36"/>
  <c r="D83" i="36"/>
  <c r="E83" i="36" s="1"/>
  <c r="F83" i="36" s="1"/>
  <c r="G83" i="36" s="1"/>
  <c r="H83" i="36"/>
  <c r="I83" i="36" s="1"/>
  <c r="J83" i="36"/>
  <c r="K83" i="36" s="1"/>
  <c r="L83" i="36" s="1"/>
  <c r="M83" i="36" s="1"/>
  <c r="D78" i="36"/>
  <c r="E78" i="36" s="1"/>
  <c r="F78" i="36" s="1"/>
  <c r="G78" i="36" s="1"/>
  <c r="H78" i="36" s="1"/>
  <c r="I78" i="36" s="1"/>
  <c r="J78" i="36"/>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F13" i="36" s="1"/>
  <c r="B57" i="36"/>
  <c r="F12" i="36" s="1"/>
  <c r="J12" i="36"/>
  <c r="B55" i="36"/>
  <c r="F54" i="36"/>
  <c r="G54" i="36" s="1"/>
  <c r="H54" i="36"/>
  <c r="I54" i="36" s="1"/>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c r="H12" i="36"/>
  <c r="U12" i="36" s="1"/>
  <c r="Q11" i="36"/>
  <c r="Z11" i="36" s="1"/>
  <c r="Q10" i="36"/>
  <c r="Z10" i="36" s="1"/>
  <c r="F10" i="36"/>
  <c r="Q9" i="36"/>
  <c r="Z9" i="36" s="1"/>
  <c r="J9" i="36"/>
  <c r="AC9" i="36"/>
  <c r="J8" i="36"/>
  <c r="AC8" i="36" s="1"/>
  <c r="H8" i="36"/>
  <c r="U8" i="36" s="1"/>
  <c r="F8" i="36"/>
  <c r="D89" i="35"/>
  <c r="E89" i="35" s="1"/>
  <c r="F89" i="35" s="1"/>
  <c r="G89" i="35" s="1"/>
  <c r="M90" i="35"/>
  <c r="L90" i="35"/>
  <c r="K90" i="35"/>
  <c r="J90" i="35"/>
  <c r="I90" i="35"/>
  <c r="H90" i="35"/>
  <c r="G90" i="35"/>
  <c r="F90" i="35"/>
  <c r="E90" i="35"/>
  <c r="D90" i="35"/>
  <c r="C90" i="35"/>
  <c r="F85" i="35"/>
  <c r="E85" i="35"/>
  <c r="D85" i="35"/>
  <c r="C85" i="35"/>
  <c r="J27" i="35"/>
  <c r="H27" i="35"/>
  <c r="U27" i="35" s="1"/>
  <c r="F27" i="35"/>
  <c r="AA27" i="35"/>
  <c r="J22" i="35"/>
  <c r="AC22" i="35" s="1"/>
  <c r="B101" i="35"/>
  <c r="H36" i="35"/>
  <c r="U36" i="35" s="1"/>
  <c r="AB36" i="35"/>
  <c r="B99" i="35"/>
  <c r="B97" i="35"/>
  <c r="B77" i="35"/>
  <c r="B75" i="35"/>
  <c r="B73" i="35"/>
  <c r="J23" i="35" s="1"/>
  <c r="H23" i="35"/>
  <c r="U23" i="35" s="1"/>
  <c r="B57" i="35"/>
  <c r="B61" i="35"/>
  <c r="B59" i="35"/>
  <c r="H12" i="35" s="1"/>
  <c r="B131" i="34"/>
  <c r="B129" i="34"/>
  <c r="J46" i="34" s="1"/>
  <c r="B127" i="34"/>
  <c r="B99" i="34"/>
  <c r="B97" i="34"/>
  <c r="B95" i="34"/>
  <c r="H30" i="34" s="1"/>
  <c r="B93" i="34"/>
  <c r="B75" i="34"/>
  <c r="B73" i="34"/>
  <c r="B71" i="34"/>
  <c r="B130" i="33"/>
  <c r="F46" i="33" s="1"/>
  <c r="B128" i="33"/>
  <c r="B126" i="33"/>
  <c r="B98" i="33"/>
  <c r="F31" i="33" s="1"/>
  <c r="B96" i="33"/>
  <c r="J30" i="33" s="1"/>
  <c r="AC30" i="33" s="1"/>
  <c r="B94" i="33"/>
  <c r="B74" i="33"/>
  <c r="B72" i="33"/>
  <c r="F13" i="33" s="1"/>
  <c r="B70" i="33"/>
  <c r="J12" i="33" s="1"/>
  <c r="AC12" i="33" s="1"/>
  <c r="D96" i="35"/>
  <c r="E96" i="35" s="1"/>
  <c r="F96" i="35"/>
  <c r="G96" i="35"/>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c r="G70" i="35" s="1"/>
  <c r="D66" i="35"/>
  <c r="E66" i="35" s="1"/>
  <c r="F66" i="35"/>
  <c r="G66" i="35" s="1"/>
  <c r="D64" i="35"/>
  <c r="E64" i="35" s="1"/>
  <c r="F64" i="35" s="1"/>
  <c r="G64" i="35" s="1"/>
  <c r="J14" i="35"/>
  <c r="W14" i="35"/>
  <c r="F56" i="35"/>
  <c r="G56" i="35" s="1"/>
  <c r="H56" i="35" s="1"/>
  <c r="I56" i="35" s="1"/>
  <c r="C53" i="35"/>
  <c r="P39" i="35"/>
  <c r="P38" i="35"/>
  <c r="V37" i="35"/>
  <c r="T37" i="35"/>
  <c r="R37" i="35"/>
  <c r="P37" i="35"/>
  <c r="Q36" i="35"/>
  <c r="Z36" i="35" s="1"/>
  <c r="J36" i="35"/>
  <c r="AC36" i="35" s="1"/>
  <c r="Q35" i="35"/>
  <c r="Z35" i="35" s="1"/>
  <c r="Q34" i="35"/>
  <c r="Z34" i="35" s="1"/>
  <c r="J34" i="35"/>
  <c r="AC34" i="35" s="1"/>
  <c r="H34" i="35"/>
  <c r="AB34" i="35"/>
  <c r="F34" i="35"/>
  <c r="Q33" i="35"/>
  <c r="Z33" i="35" s="1"/>
  <c r="Q32" i="35"/>
  <c r="Z32" i="35" s="1"/>
  <c r="H32" i="35"/>
  <c r="AB32" i="35" s="1"/>
  <c r="F32" i="35"/>
  <c r="AA32" i="35" s="1"/>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U12" i="35"/>
  <c r="F12" i="35"/>
  <c r="S12" i="35" s="1"/>
  <c r="Q11" i="35"/>
  <c r="Z11" i="35"/>
  <c r="Q10" i="35"/>
  <c r="Z10" i="35" s="1"/>
  <c r="Q9" i="35"/>
  <c r="Z9" i="35"/>
  <c r="J8" i="35"/>
  <c r="W8" i="35" s="1"/>
  <c r="H8" i="35"/>
  <c r="AB8" i="35"/>
  <c r="F8" i="35"/>
  <c r="AA8" i="35" s="1"/>
  <c r="D120" i="34"/>
  <c r="E120" i="34"/>
  <c r="F120" i="34" s="1"/>
  <c r="G120" i="34" s="1"/>
  <c r="H120" i="34" s="1"/>
  <c r="I120" i="34"/>
  <c r="J120" i="34"/>
  <c r="K120" i="34" s="1"/>
  <c r="L120" i="34" s="1"/>
  <c r="M120" i="34" s="1"/>
  <c r="D90" i="34"/>
  <c r="E90" i="34"/>
  <c r="F90" i="34" s="1"/>
  <c r="G90" i="34" s="1"/>
  <c r="H90" i="34" s="1"/>
  <c r="I90" i="34"/>
  <c r="J90" i="34" s="1"/>
  <c r="K90" i="34"/>
  <c r="L90" i="34" s="1"/>
  <c r="M90" i="34" s="1"/>
  <c r="C15" i="34"/>
  <c r="F67" i="34"/>
  <c r="G67" i="34" s="1"/>
  <c r="D126" i="34"/>
  <c r="E126" i="34" s="1"/>
  <c r="F126" i="34"/>
  <c r="G126" i="34" s="1"/>
  <c r="D124" i="34"/>
  <c r="E124" i="34" s="1"/>
  <c r="F124" i="34" s="1"/>
  <c r="G124" i="34"/>
  <c r="H124" i="34" s="1"/>
  <c r="I124" i="34" s="1"/>
  <c r="J124" i="34" s="1"/>
  <c r="K124" i="34" s="1"/>
  <c r="L124" i="34" s="1"/>
  <c r="M124" i="34" s="1"/>
  <c r="H43" i="34"/>
  <c r="D118" i="34"/>
  <c r="E118" i="34" s="1"/>
  <c r="F118" i="34"/>
  <c r="G118" i="34" s="1"/>
  <c r="D116" i="34"/>
  <c r="E116" i="34" s="1"/>
  <c r="F116" i="34" s="1"/>
  <c r="G116" i="34"/>
  <c r="H116" i="34"/>
  <c r="I116" i="34" s="1"/>
  <c r="J116" i="34" s="1"/>
  <c r="K116" i="34" s="1"/>
  <c r="L116" i="34" s="1"/>
  <c r="M116" i="34" s="1"/>
  <c r="F110" i="34"/>
  <c r="E110" i="34"/>
  <c r="D110" i="34"/>
  <c r="C110" i="34"/>
  <c r="D109" i="34"/>
  <c r="E109" i="34" s="1"/>
  <c r="F109" i="34" s="1"/>
  <c r="G109" i="34" s="1"/>
  <c r="H109" i="34"/>
  <c r="I109" i="34"/>
  <c r="J109" i="34" s="1"/>
  <c r="K109" i="34" s="1"/>
  <c r="L109" i="34" s="1"/>
  <c r="M109" i="34" s="1"/>
  <c r="D107" i="34"/>
  <c r="E107" i="34" s="1"/>
  <c r="F107" i="34" s="1"/>
  <c r="G107" i="34" s="1"/>
  <c r="H107" i="34"/>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c r="F92" i="34" s="1"/>
  <c r="G92" i="34"/>
  <c r="H92" i="34" s="1"/>
  <c r="I92" i="34" s="1"/>
  <c r="J92" i="34" s="1"/>
  <c r="K92" i="34" s="1"/>
  <c r="L92" i="34" s="1"/>
  <c r="M92" i="34" s="1"/>
  <c r="B91" i="34"/>
  <c r="B89" i="34"/>
  <c r="J27" i="34" s="1"/>
  <c r="D88" i="34"/>
  <c r="E88" i="34"/>
  <c r="F88" i="34"/>
  <c r="G88" i="34" s="1"/>
  <c r="H88" i="34" s="1"/>
  <c r="I88" i="34" s="1"/>
  <c r="J88" i="34"/>
  <c r="K88" i="34" s="1"/>
  <c r="L88" i="34" s="1"/>
  <c r="M88" i="34" s="1"/>
  <c r="D86" i="34"/>
  <c r="E86" i="34" s="1"/>
  <c r="F86" i="34"/>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s="1"/>
  <c r="F10" i="34"/>
  <c r="AA10" i="34"/>
  <c r="Q9" i="34"/>
  <c r="Z9" i="34" s="1"/>
  <c r="J9" i="34"/>
  <c r="W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F26" i="33" s="1"/>
  <c r="AA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D81" i="33"/>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c r="Q35" i="33"/>
  <c r="Z35" i="33" s="1"/>
  <c r="H35" i="33"/>
  <c r="AB35" i="33" s="1"/>
  <c r="Q34" i="33"/>
  <c r="Z34" i="33"/>
  <c r="Q33" i="33"/>
  <c r="Z33" i="33"/>
  <c r="J33" i="33"/>
  <c r="AC33" i="33" s="1"/>
  <c r="H33" i="33"/>
  <c r="F33" i="33"/>
  <c r="AA33" i="33" s="1"/>
  <c r="Q32" i="33"/>
  <c r="Z32" i="33" s="1"/>
  <c r="Q31" i="33"/>
  <c r="Z31" i="33" s="1"/>
  <c r="Q30" i="33"/>
  <c r="Z30" i="33"/>
  <c r="Q29" i="33"/>
  <c r="Z29" i="33" s="1"/>
  <c r="Q28" i="33"/>
  <c r="Z28" i="33" s="1"/>
  <c r="Q27" i="33"/>
  <c r="Z27" i="33" s="1"/>
  <c r="Q26" i="33"/>
  <c r="Z26" i="33" s="1"/>
  <c r="Q25" i="33"/>
  <c r="Z25" i="33"/>
  <c r="Q23" i="33"/>
  <c r="Z23" i="33" s="1"/>
  <c r="Q19" i="33"/>
  <c r="Z19" i="33"/>
  <c r="Q17" i="33"/>
  <c r="Z17" i="33" s="1"/>
  <c r="Q15" i="33"/>
  <c r="Z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0" i="20"/>
  <c r="B77" i="43"/>
  <c r="C18" i="20"/>
  <c r="C17" i="20"/>
  <c r="C16" i="20"/>
  <c r="C17" i="39" s="1"/>
  <c r="C15" i="20"/>
  <c r="B70" i="43" s="1"/>
  <c r="E54" i="21"/>
  <c r="F54" i="21"/>
  <c r="I54" i="21"/>
  <c r="J54" i="21" s="1"/>
  <c r="G54" i="21"/>
  <c r="H54" i="21"/>
  <c r="D125" i="21"/>
  <c r="E125" i="21" s="1"/>
  <c r="F125" i="21" s="1"/>
  <c r="G125" i="21"/>
  <c r="D123" i="21"/>
  <c r="E123" i="21" s="1"/>
  <c r="F123" i="21" s="1"/>
  <c r="G123" i="21" s="1"/>
  <c r="H123" i="21" s="1"/>
  <c r="F42" i="21"/>
  <c r="AA42" i="21"/>
  <c r="D119" i="21"/>
  <c r="E119" i="21" s="1"/>
  <c r="F119" i="21" s="1"/>
  <c r="G119" i="21" s="1"/>
  <c r="F40" i="21"/>
  <c r="AA40" i="21"/>
  <c r="D117" i="21"/>
  <c r="E117" i="21"/>
  <c r="F117" i="21" s="1"/>
  <c r="G117" i="21" s="1"/>
  <c r="D115" i="21"/>
  <c r="E115" i="21"/>
  <c r="F115" i="21" s="1"/>
  <c r="G115" i="21"/>
  <c r="H115" i="21" s="1"/>
  <c r="I115" i="21" s="1"/>
  <c r="J115" i="21" s="1"/>
  <c r="K115" i="21"/>
  <c r="L115" i="21"/>
  <c r="M115" i="21" s="1"/>
  <c r="D113" i="21"/>
  <c r="E113" i="21"/>
  <c r="F113" i="21"/>
  <c r="G113" i="21" s="1"/>
  <c r="H113" i="21" s="1"/>
  <c r="D110" i="21"/>
  <c r="E110" i="21"/>
  <c r="F110" i="21"/>
  <c r="G110" i="21" s="1"/>
  <c r="H110" i="21" s="1"/>
  <c r="I110" i="21" s="1"/>
  <c r="J110" i="21"/>
  <c r="K110" i="21" s="1"/>
  <c r="L110" i="21"/>
  <c r="M110" i="21" s="1"/>
  <c r="J36" i="21"/>
  <c r="AC36" i="21" s="1"/>
  <c r="D108" i="21"/>
  <c r="E108" i="21"/>
  <c r="F108" i="21" s="1"/>
  <c r="G108" i="21" s="1"/>
  <c r="H108" i="21" s="1"/>
  <c r="I108" i="2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66" i="21"/>
  <c r="E66" i="21" s="1"/>
  <c r="F66" i="21" s="1"/>
  <c r="G66" i="21" s="1"/>
  <c r="H66" i="21"/>
  <c r="I66" i="21"/>
  <c r="D111" i="21"/>
  <c r="E111" i="21"/>
  <c r="F111" i="21"/>
  <c r="C111" i="21"/>
  <c r="D79" i="21"/>
  <c r="E79" i="21" s="1"/>
  <c r="F79" i="21" s="1"/>
  <c r="G79" i="21" s="1"/>
  <c r="D85" i="21"/>
  <c r="F19" i="21"/>
  <c r="AA19" i="21"/>
  <c r="E81" i="21"/>
  <c r="F81" i="21"/>
  <c r="G81" i="21" s="1"/>
  <c r="D77" i="21"/>
  <c r="E77" i="21" s="1"/>
  <c r="B130" i="21"/>
  <c r="J46" i="21" s="1"/>
  <c r="W46" i="21" s="1"/>
  <c r="B128" i="21"/>
  <c r="J45" i="21"/>
  <c r="W45" i="21" s="1"/>
  <c r="B126" i="21"/>
  <c r="H44" i="21" s="1"/>
  <c r="U44" i="21" s="1"/>
  <c r="B98" i="21"/>
  <c r="H31" i="21"/>
  <c r="U31" i="21" s="1"/>
  <c r="B96" i="21"/>
  <c r="B94" i="21"/>
  <c r="B92" i="21"/>
  <c r="B90" i="21"/>
  <c r="J27" i="21" s="1"/>
  <c r="W27" i="21"/>
  <c r="B74" i="21"/>
  <c r="B72" i="21"/>
  <c r="H13" i="21" s="1"/>
  <c r="B70" i="21"/>
  <c r="F12" i="21"/>
  <c r="S12"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Q38" i="21"/>
  <c r="Z38" i="21" s="1"/>
  <c r="J39" i="21"/>
  <c r="Q39" i="21"/>
  <c r="Z39" i="21" s="1"/>
  <c r="H40" i="21"/>
  <c r="AB40" i="21" s="1"/>
  <c r="Q40" i="21"/>
  <c r="Z40" i="21"/>
  <c r="Q41" i="21"/>
  <c r="Z41" i="21" s="1"/>
  <c r="Q42" i="21"/>
  <c r="Z42" i="2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U34" i="21" s="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c r="H12" i="21"/>
  <c r="AB12" i="21" s="1"/>
  <c r="J26" i="21"/>
  <c r="AC26" i="21" s="1"/>
  <c r="W26" i="21"/>
  <c r="F26" i="21"/>
  <c r="S26" i="21" s="1"/>
  <c r="S41" i="21"/>
  <c r="AA41" i="21"/>
  <c r="F36" i="39"/>
  <c r="S36" i="39" s="1"/>
  <c r="H36" i="39"/>
  <c r="AB36" i="39"/>
  <c r="J35" i="39"/>
  <c r="AC35" i="39" s="1"/>
  <c r="J36" i="39"/>
  <c r="W36" i="39" s="1"/>
  <c r="AC36" i="39"/>
  <c r="U30" i="37"/>
  <c r="E103" i="37"/>
  <c r="F103" i="37" s="1"/>
  <c r="G103" i="37"/>
  <c r="H103" i="37" s="1"/>
  <c r="I103" i="37"/>
  <c r="J103" i="37" s="1"/>
  <c r="K103" i="37" s="1"/>
  <c r="L103" i="37" s="1"/>
  <c r="M103" i="37" s="1"/>
  <c r="F39" i="37"/>
  <c r="AA39" i="37" s="1"/>
  <c r="S39" i="37"/>
  <c r="F29" i="36"/>
  <c r="AA29" i="36"/>
  <c r="W8" i="36"/>
  <c r="F16" i="36"/>
  <c r="AA16" i="36"/>
  <c r="W28" i="36"/>
  <c r="AA31" i="36"/>
  <c r="AC31" i="36"/>
  <c r="W31" i="36"/>
  <c r="J33" i="36"/>
  <c r="W33" i="36" s="1"/>
  <c r="H22" i="35"/>
  <c r="AB22" i="35" s="1"/>
  <c r="W28" i="35"/>
  <c r="U31" i="35"/>
  <c r="W22" i="35"/>
  <c r="S31" i="35"/>
  <c r="U34" i="35"/>
  <c r="F36" i="34"/>
  <c r="J35" i="34"/>
  <c r="W35" i="34" s="1"/>
  <c r="S34" i="34"/>
  <c r="H39" i="33"/>
  <c r="S40" i="33"/>
  <c r="H39" i="37"/>
  <c r="AB39" i="37" s="1"/>
  <c r="S27" i="35"/>
  <c r="F11" i="40"/>
  <c r="AA11" i="40"/>
  <c r="H11" i="40"/>
  <c r="AB11" i="40"/>
  <c r="W8" i="40"/>
  <c r="AC9" i="40"/>
  <c r="U9" i="40"/>
  <c r="S34" i="40"/>
  <c r="S40" i="40"/>
  <c r="W31" i="40"/>
  <c r="S38" i="40"/>
  <c r="F42" i="39"/>
  <c r="AA42" i="39" s="1"/>
  <c r="F41" i="39"/>
  <c r="S41" i="39"/>
  <c r="H40" i="39"/>
  <c r="AB40" i="39" s="1"/>
  <c r="H39" i="39"/>
  <c r="AB39" i="39" s="1"/>
  <c r="U39" i="39"/>
  <c r="S38" i="39"/>
  <c r="S34" i="39"/>
  <c r="H34" i="39"/>
  <c r="U34" i="39"/>
  <c r="E109" i="39"/>
  <c r="F109" i="39" s="1"/>
  <c r="G109" i="39" s="1"/>
  <c r="H109" i="39" s="1"/>
  <c r="F31" i="39"/>
  <c r="H19" i="39"/>
  <c r="AB19" i="39" s="1"/>
  <c r="F19" i="39"/>
  <c r="AA19" i="39" s="1"/>
  <c r="H17" i="39"/>
  <c r="F17" i="39"/>
  <c r="AA17" i="39" s="1"/>
  <c r="J23" i="40"/>
  <c r="F21" i="40"/>
  <c r="J21" i="40"/>
  <c r="W21" i="40"/>
  <c r="H42" i="39"/>
  <c r="J34" i="39"/>
  <c r="AC34" i="39" s="1"/>
  <c r="I109" i="39"/>
  <c r="J109" i="39" s="1"/>
  <c r="K109" i="39" s="1"/>
  <c r="L109" i="39" s="1"/>
  <c r="M109" i="39" s="1"/>
  <c r="J31" i="39"/>
  <c r="W31" i="39" s="1"/>
  <c r="H27" i="39"/>
  <c r="U27" i="39"/>
  <c r="J19" i="39"/>
  <c r="AC19" i="39" s="1"/>
  <c r="J17" i="39"/>
  <c r="AC17" i="39" s="1"/>
  <c r="J27" i="39"/>
  <c r="AC27" i="39"/>
  <c r="F27" i="39"/>
  <c r="F11" i="21"/>
  <c r="S11" i="21" s="1"/>
  <c r="S40" i="21"/>
  <c r="S34" i="21"/>
  <c r="C25" i="39"/>
  <c r="H11" i="39"/>
  <c r="U11" i="39" s="1"/>
  <c r="S40" i="39"/>
  <c r="C15" i="39"/>
  <c r="H32" i="33"/>
  <c r="AB32" i="33" s="1"/>
  <c r="H11" i="21"/>
  <c r="U11" i="21"/>
  <c r="J11" i="21"/>
  <c r="H37" i="40"/>
  <c r="U37" i="40"/>
  <c r="H36" i="40"/>
  <c r="F35" i="40"/>
  <c r="H23" i="40"/>
  <c r="AB23" i="40" s="1"/>
  <c r="H17" i="40"/>
  <c r="AB17" i="40" s="1"/>
  <c r="U17" i="40"/>
  <c r="J15" i="40"/>
  <c r="W15" i="40" s="1"/>
  <c r="J11" i="40"/>
  <c r="AC11" i="40" s="1"/>
  <c r="W11" i="40"/>
  <c r="AB8" i="39"/>
  <c r="AB12" i="35"/>
  <c r="AB12" i="36"/>
  <c r="S44" i="39"/>
  <c r="W34" i="36"/>
  <c r="U30" i="36"/>
  <c r="J30" i="35"/>
  <c r="W30" i="35" s="1"/>
  <c r="H30" i="35"/>
  <c r="AB30" i="35" s="1"/>
  <c r="F22" i="35"/>
  <c r="H10" i="35"/>
  <c r="U10" i="35"/>
  <c r="AC16" i="36"/>
  <c r="W30" i="36"/>
  <c r="H16" i="36"/>
  <c r="E85" i="36"/>
  <c r="F85" i="36"/>
  <c r="G85" i="36" s="1"/>
  <c r="H85" i="36" s="1"/>
  <c r="I85" i="36"/>
  <c r="J85" i="36"/>
  <c r="K85" i="36" s="1"/>
  <c r="L85" i="36" s="1"/>
  <c r="M85" i="36" s="1"/>
  <c r="J29" i="36"/>
  <c r="W29" i="36" s="1"/>
  <c r="AC29" i="36"/>
  <c r="F24" i="36"/>
  <c r="AA24" i="36" s="1"/>
  <c r="F34" i="36"/>
  <c r="AB8" i="36"/>
  <c r="U8" i="35"/>
  <c r="F14" i="35"/>
  <c r="AA14" i="35"/>
  <c r="F23" i="35"/>
  <c r="AA23" i="35" s="1"/>
  <c r="J32" i="35"/>
  <c r="AC32" i="35" s="1"/>
  <c r="J16" i="35"/>
  <c r="AC16" i="35" s="1"/>
  <c r="H16" i="35"/>
  <c r="U16" i="35"/>
  <c r="F16" i="35"/>
  <c r="S16" i="35" s="1"/>
  <c r="H14" i="35"/>
  <c r="AB14" i="35" s="1"/>
  <c r="J29" i="35"/>
  <c r="H33" i="35"/>
  <c r="AB33" i="35"/>
  <c r="J20" i="35"/>
  <c r="W20" i="35" s="1"/>
  <c r="F35" i="37"/>
  <c r="S35" i="37" s="1"/>
  <c r="G101" i="37"/>
  <c r="H101" i="37"/>
  <c r="I101" i="37"/>
  <c r="J101" i="37" s="1"/>
  <c r="K101" i="37" s="1"/>
  <c r="L101" i="37" s="1"/>
  <c r="M101" i="37" s="1"/>
  <c r="J34" i="37"/>
  <c r="W34" i="37"/>
  <c r="S10" i="37"/>
  <c r="AB34" i="37"/>
  <c r="J33" i="37"/>
  <c r="W33" i="37" s="1"/>
  <c r="AC33" i="37"/>
  <c r="U42" i="34"/>
  <c r="H40" i="34"/>
  <c r="U40" i="34"/>
  <c r="E114" i="34"/>
  <c r="F114" i="34" s="1"/>
  <c r="G114" i="34" s="1"/>
  <c r="H114" i="34" s="1"/>
  <c r="I114" i="34" s="1"/>
  <c r="H36" i="34"/>
  <c r="F37" i="34"/>
  <c r="S35" i="34"/>
  <c r="F27" i="34"/>
  <c r="AA27" i="34" s="1"/>
  <c r="F25" i="34"/>
  <c r="S25" i="34"/>
  <c r="H23" i="34"/>
  <c r="J23" i="34"/>
  <c r="F19" i="34"/>
  <c r="AA19" i="34" s="1"/>
  <c r="H17" i="34"/>
  <c r="U17" i="34" s="1"/>
  <c r="F15" i="34"/>
  <c r="J15" i="34"/>
  <c r="AC15" i="34" s="1"/>
  <c r="H15" i="34"/>
  <c r="S9" i="34"/>
  <c r="W8" i="34"/>
  <c r="F41" i="33"/>
  <c r="AA41" i="33" s="1"/>
  <c r="S38" i="33"/>
  <c r="E113" i="33"/>
  <c r="F113" i="33" s="1"/>
  <c r="G113" i="33" s="1"/>
  <c r="H113" i="33" s="1"/>
  <c r="I113" i="33" s="1"/>
  <c r="J113" i="33" s="1"/>
  <c r="K113" i="33" s="1"/>
  <c r="L113" i="33" s="1"/>
  <c r="M113" i="33" s="1"/>
  <c r="F32" i="33"/>
  <c r="AA32" i="33" s="1"/>
  <c r="F11" i="33"/>
  <c r="AA11" i="33" s="1"/>
  <c r="U40" i="33"/>
  <c r="U8" i="33"/>
  <c r="F37" i="40"/>
  <c r="AA37" i="40"/>
  <c r="F36" i="40"/>
  <c r="S36" i="40" s="1"/>
  <c r="AA36" i="40"/>
  <c r="H28" i="40"/>
  <c r="U28" i="40"/>
  <c r="F23" i="40"/>
  <c r="S23" i="40" s="1"/>
  <c r="AA23" i="40"/>
  <c r="F17" i="40"/>
  <c r="AA17" i="40"/>
  <c r="J17" i="40"/>
  <c r="W17" i="40"/>
  <c r="F15" i="40"/>
  <c r="S15" i="40"/>
  <c r="H15" i="40"/>
  <c r="AB15" i="40"/>
  <c r="S12" i="36"/>
  <c r="AA12" i="36"/>
  <c r="AB30" i="36"/>
  <c r="U30" i="35"/>
  <c r="U33" i="35"/>
  <c r="F29" i="35"/>
  <c r="S29" i="35" s="1"/>
  <c r="H29" i="35"/>
  <c r="AB29" i="35"/>
  <c r="H33" i="37"/>
  <c r="AB33" i="37" s="1"/>
  <c r="F33" i="37"/>
  <c r="S33" i="37" s="1"/>
  <c r="AA33" i="37"/>
  <c r="U34" i="37"/>
  <c r="S34" i="37"/>
  <c r="AA34" i="37"/>
  <c r="J43" i="34"/>
  <c r="W43" i="34" s="1"/>
  <c r="J40" i="34"/>
  <c r="J114" i="34"/>
  <c r="K114" i="34" s="1"/>
  <c r="L114" i="34" s="1"/>
  <c r="M114" i="34"/>
  <c r="H38" i="34"/>
  <c r="AB38" i="34"/>
  <c r="J36" i="34"/>
  <c r="W36" i="34"/>
  <c r="H37" i="34"/>
  <c r="U37" i="34"/>
  <c r="H25" i="34"/>
  <c r="AB25" i="34"/>
  <c r="J25" i="34"/>
  <c r="W25" i="34" s="1"/>
  <c r="AC25" i="34"/>
  <c r="F23" i="34"/>
  <c r="AA23" i="34"/>
  <c r="J19" i="34"/>
  <c r="F17" i="34"/>
  <c r="J17" i="34"/>
  <c r="AB17" i="34"/>
  <c r="AA15" i="34"/>
  <c r="S15" i="34"/>
  <c r="H37" i="33"/>
  <c r="AB37" i="33" s="1"/>
  <c r="H11" i="33"/>
  <c r="AB11" i="33" s="1"/>
  <c r="F28" i="40"/>
  <c r="AA28" i="40"/>
  <c r="AA29" i="35"/>
  <c r="AA38" i="34"/>
  <c r="J37" i="34"/>
  <c r="J11" i="33"/>
  <c r="W11" i="33" s="1"/>
  <c r="I123" i="21"/>
  <c r="J123" i="21" s="1"/>
  <c r="K123" i="21" s="1"/>
  <c r="L123" i="21" s="1"/>
  <c r="M123" i="21" s="1"/>
  <c r="J42" i="21"/>
  <c r="H42" i="21"/>
  <c r="AB42" i="21" s="1"/>
  <c r="U42" i="21"/>
  <c r="J44" i="34"/>
  <c r="F44" i="34"/>
  <c r="AA44" i="34"/>
  <c r="J10" i="35"/>
  <c r="F14" i="21"/>
  <c r="S14" i="21" s="1"/>
  <c r="H28" i="21"/>
  <c r="AB28" i="21" s="1"/>
  <c r="F28" i="21"/>
  <c r="AA28" i="21" s="1"/>
  <c r="J28" i="21"/>
  <c r="W28" i="21" s="1"/>
  <c r="H30" i="21"/>
  <c r="U30" i="21" s="1"/>
  <c r="F30" i="21"/>
  <c r="S30" i="21" s="1"/>
  <c r="J30" i="21"/>
  <c r="W30" i="21" s="1"/>
  <c r="AC30" i="21"/>
  <c r="J44" i="21"/>
  <c r="F44" i="21"/>
  <c r="H46" i="21"/>
  <c r="U46" i="21" s="1"/>
  <c r="F46" i="21"/>
  <c r="AA46" i="21" s="1"/>
  <c r="H119" i="21"/>
  <c r="I119" i="21" s="1"/>
  <c r="J119" i="21" s="1"/>
  <c r="K119" i="21" s="1"/>
  <c r="L119" i="21" s="1"/>
  <c r="M119" i="21" s="1"/>
  <c r="H28" i="33"/>
  <c r="U28" i="33" s="1"/>
  <c r="F28" i="33"/>
  <c r="AA28" i="33" s="1"/>
  <c r="J28" i="33"/>
  <c r="F33" i="35"/>
  <c r="S33" i="35"/>
  <c r="J33" i="35"/>
  <c r="AC33" i="35"/>
  <c r="F30" i="35"/>
  <c r="S30" i="35"/>
  <c r="H89" i="35"/>
  <c r="I89" i="35" s="1"/>
  <c r="J89" i="35" s="1"/>
  <c r="K89" i="35" s="1"/>
  <c r="L89" i="35" s="1"/>
  <c r="M89" i="35" s="1"/>
  <c r="H10" i="36"/>
  <c r="AB10" i="36" s="1"/>
  <c r="J14" i="36"/>
  <c r="W14" i="36" s="1"/>
  <c r="AC14" i="36"/>
  <c r="H14" i="36"/>
  <c r="U14" i="36" s="1"/>
  <c r="F28" i="36"/>
  <c r="AA28" i="36" s="1"/>
  <c r="J13" i="21"/>
  <c r="AC13" i="21" s="1"/>
  <c r="H27" i="21"/>
  <c r="AB27" i="21"/>
  <c r="F27" i="21"/>
  <c r="J31" i="21"/>
  <c r="AC31" i="21" s="1"/>
  <c r="F31" i="21"/>
  <c r="S31" i="21"/>
  <c r="F45" i="21"/>
  <c r="J13" i="33"/>
  <c r="H13" i="33"/>
  <c r="U13" i="33" s="1"/>
  <c r="AB13" i="33"/>
  <c r="S13" i="33"/>
  <c r="J29" i="33"/>
  <c r="AC29" i="33" s="1"/>
  <c r="H29" i="33"/>
  <c r="U29" i="33" s="1"/>
  <c r="F29" i="33"/>
  <c r="S29" i="33" s="1"/>
  <c r="J31" i="33"/>
  <c r="H31" i="33"/>
  <c r="H45" i="33"/>
  <c r="U45" i="33"/>
  <c r="J45" i="33"/>
  <c r="F45" i="33"/>
  <c r="S45" i="33" s="1"/>
  <c r="AA45" i="33"/>
  <c r="J14" i="34"/>
  <c r="W14" i="34" s="1"/>
  <c r="F14" i="34"/>
  <c r="S14" i="34" s="1"/>
  <c r="H14" i="34"/>
  <c r="U14" i="34" s="1"/>
  <c r="F30" i="34"/>
  <c r="AA30" i="34" s="1"/>
  <c r="S30" i="34"/>
  <c r="J30" i="34"/>
  <c r="W30" i="34" s="1"/>
  <c r="H32" i="34"/>
  <c r="F32" i="34"/>
  <c r="S32" i="34" s="1"/>
  <c r="J32" i="34"/>
  <c r="H46" i="34"/>
  <c r="U46" i="34"/>
  <c r="F46" i="34"/>
  <c r="S46" i="34" s="1"/>
  <c r="H11" i="35"/>
  <c r="J11" i="35"/>
  <c r="F11" i="35"/>
  <c r="AA11" i="35" s="1"/>
  <c r="J26" i="36"/>
  <c r="W26" i="36" s="1"/>
  <c r="H28" i="36"/>
  <c r="U28" i="36"/>
  <c r="H32" i="36"/>
  <c r="AB32" i="36" s="1"/>
  <c r="J32" i="36"/>
  <c r="W32" i="36"/>
  <c r="J11" i="36"/>
  <c r="AC11" i="36" s="1"/>
  <c r="H11" i="36"/>
  <c r="U11" i="36" s="1"/>
  <c r="F11" i="36"/>
  <c r="AA11" i="36" s="1"/>
  <c r="H13" i="36"/>
  <c r="AB13" i="36"/>
  <c r="J13" i="36"/>
  <c r="AC13" i="36" s="1"/>
  <c r="E89" i="37"/>
  <c r="F89" i="37" s="1"/>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C12" i="40"/>
  <c r="W12" i="40"/>
  <c r="H14" i="33"/>
  <c r="U14" i="33" s="1"/>
  <c r="F14" i="33"/>
  <c r="S14" i="33" s="1"/>
  <c r="J14" i="33"/>
  <c r="W14" i="33" s="1"/>
  <c r="H30" i="33"/>
  <c r="AB30" i="33" s="1"/>
  <c r="F30" i="33"/>
  <c r="S30" i="33" s="1"/>
  <c r="H44" i="33"/>
  <c r="J44" i="33"/>
  <c r="AC44" i="33" s="1"/>
  <c r="F44" i="33"/>
  <c r="S44" i="33"/>
  <c r="J46" i="33"/>
  <c r="H46" i="33"/>
  <c r="U46" i="33" s="1"/>
  <c r="AB46" i="33"/>
  <c r="H13" i="34"/>
  <c r="U13" i="34"/>
  <c r="J13" i="34"/>
  <c r="AC13" i="34" s="1"/>
  <c r="W13" i="34"/>
  <c r="F13" i="34"/>
  <c r="AA13" i="34"/>
  <c r="J29" i="34"/>
  <c r="AC29" i="34" s="1"/>
  <c r="F29" i="34"/>
  <c r="H29" i="34"/>
  <c r="AB29" i="34"/>
  <c r="J31" i="34"/>
  <c r="H31" i="34"/>
  <c r="AB31" i="34" s="1"/>
  <c r="F31" i="34"/>
  <c r="S31" i="34" s="1"/>
  <c r="H45" i="34"/>
  <c r="U45" i="34" s="1"/>
  <c r="J45" i="34"/>
  <c r="W45" i="34" s="1"/>
  <c r="F45" i="34"/>
  <c r="AA45" i="34" s="1"/>
  <c r="S45" i="34"/>
  <c r="H47" i="34"/>
  <c r="U47" i="34" s="1"/>
  <c r="F47" i="34"/>
  <c r="AA47" i="34" s="1"/>
  <c r="S47" i="34"/>
  <c r="J47" i="34"/>
  <c r="F13" i="35"/>
  <c r="S13" i="35" s="1"/>
  <c r="J13" i="35"/>
  <c r="AC13" i="35" s="1"/>
  <c r="H13" i="35"/>
  <c r="AB13" i="35" s="1"/>
  <c r="U13" i="35"/>
  <c r="J25" i="35"/>
  <c r="W25" i="35" s="1"/>
  <c r="F25" i="35"/>
  <c r="S25" i="35"/>
  <c r="H25" i="35"/>
  <c r="AB25" i="35" s="1"/>
  <c r="J35" i="35"/>
  <c r="AC35" i="35"/>
  <c r="F35" i="35"/>
  <c r="H35" i="35"/>
  <c r="F13" i="37"/>
  <c r="F28" i="37"/>
  <c r="AA28" i="37" s="1"/>
  <c r="J28" i="37"/>
  <c r="AC28" i="37" s="1"/>
  <c r="H28" i="37"/>
  <c r="H38" i="37"/>
  <c r="AB38" i="37" s="1"/>
  <c r="J38" i="37"/>
  <c r="AC38" i="37" s="1"/>
  <c r="F38" i="37"/>
  <c r="AA38" i="37" s="1"/>
  <c r="S38" i="37"/>
  <c r="F43" i="39"/>
  <c r="H43" i="39"/>
  <c r="U43" i="39" s="1"/>
  <c r="J14" i="39"/>
  <c r="AC14" i="39"/>
  <c r="H14" i="39"/>
  <c r="AB14" i="39" s="1"/>
  <c r="F12" i="40"/>
  <c r="S12" i="40" s="1"/>
  <c r="H12" i="40"/>
  <c r="AB12" i="40"/>
  <c r="H30" i="40"/>
  <c r="AB30" i="40" s="1"/>
  <c r="F33" i="40"/>
  <c r="AA33" i="40"/>
  <c r="H33" i="40"/>
  <c r="J35" i="40"/>
  <c r="W35" i="40" s="1"/>
  <c r="AC35" i="40"/>
  <c r="J37" i="40"/>
  <c r="AC37" i="40" s="1"/>
  <c r="H13" i="40"/>
  <c r="J13" i="40"/>
  <c r="F13" i="40"/>
  <c r="S13" i="40" s="1"/>
  <c r="F14" i="37"/>
  <c r="S14" i="37" s="1"/>
  <c r="F27" i="37"/>
  <c r="AA27" i="37"/>
  <c r="F13" i="39"/>
  <c r="AA13" i="39" s="1"/>
  <c r="H14" i="40"/>
  <c r="J14" i="40"/>
  <c r="W14" i="40" s="1"/>
  <c r="F14" i="40"/>
  <c r="AA14" i="40" s="1"/>
  <c r="J14" i="37"/>
  <c r="AC14" i="37"/>
  <c r="J27" i="37"/>
  <c r="AC27" i="37" s="1"/>
  <c r="AA44" i="33"/>
  <c r="U31" i="34"/>
  <c r="AA14" i="33"/>
  <c r="J36" i="37"/>
  <c r="W36" i="37" s="1"/>
  <c r="AC36" i="37"/>
  <c r="AB11" i="36"/>
  <c r="J10" i="36"/>
  <c r="AB30" i="21"/>
  <c r="AA14" i="37"/>
  <c r="W13" i="36"/>
  <c r="S11" i="36"/>
  <c r="W11" i="36"/>
  <c r="AB46" i="34"/>
  <c r="AC30" i="34"/>
  <c r="AA14" i="34"/>
  <c r="AB45" i="33"/>
  <c r="AB31" i="33"/>
  <c r="U31" i="33"/>
  <c r="AC28" i="21"/>
  <c r="S44" i="34"/>
  <c r="BA586" i="3"/>
  <c r="F17" i="21"/>
  <c r="AA17" i="21"/>
  <c r="H17" i="21"/>
  <c r="AB17" i="21" s="1"/>
  <c r="F15" i="21"/>
  <c r="S15" i="21"/>
  <c r="AB11" i="21"/>
  <c r="J41" i="39"/>
  <c r="W41" i="39"/>
  <c r="W35" i="39"/>
  <c r="U36" i="39"/>
  <c r="G544" i="3"/>
  <c r="G540" i="3"/>
  <c r="G536" i="3"/>
  <c r="G535" i="3"/>
  <c r="G531" i="3"/>
  <c r="G528" i="3"/>
  <c r="G527" i="3"/>
  <c r="G518" i="3"/>
  <c r="G514" i="3"/>
  <c r="G510" i="3"/>
  <c r="G504" i="3"/>
  <c r="G500" i="3"/>
  <c r="G496" i="3"/>
  <c r="G580" i="3"/>
  <c r="G576" i="3"/>
  <c r="G564" i="3"/>
  <c r="G560" i="3"/>
  <c r="BL580" i="3"/>
  <c r="BL576" i="3"/>
  <c r="BL564" i="3"/>
  <c r="BL560" i="3"/>
  <c r="BL546" i="3"/>
  <c r="BL530" i="3"/>
  <c r="BL526" i="3"/>
  <c r="BL522" i="3"/>
  <c r="BL512" i="3"/>
  <c r="BL506" i="3"/>
  <c r="BL502" i="3"/>
  <c r="BL494" i="3"/>
  <c r="BL578" i="3"/>
  <c r="BL570" i="3"/>
  <c r="BL562" i="3"/>
  <c r="BL552" i="3"/>
  <c r="BL544" i="3"/>
  <c r="BL532" i="3"/>
  <c r="G529" i="3"/>
  <c r="G525" i="3"/>
  <c r="BL524" i="3"/>
  <c r="BL518" i="3"/>
  <c r="BL510" i="3"/>
  <c r="BL504" i="3"/>
  <c r="BL500" i="3"/>
  <c r="G493" i="3"/>
  <c r="BA584" i="3"/>
  <c r="BA578" i="3"/>
  <c r="AZ578" i="3" s="1"/>
  <c r="BA574" i="3"/>
  <c r="BA572" i="3"/>
  <c r="BA568" i="3"/>
  <c r="BA564" i="3"/>
  <c r="AZ564" i="3"/>
  <c r="BA562" i="3"/>
  <c r="AZ562" i="3" s="1"/>
  <c r="BA548" i="3"/>
  <c r="AZ548" i="3" s="1"/>
  <c r="BA542" i="3"/>
  <c r="BA530" i="3"/>
  <c r="AZ530" i="3" s="1"/>
  <c r="BA524" i="3"/>
  <c r="AZ524" i="3" s="1"/>
  <c r="BA522" i="3"/>
  <c r="BA520" i="3"/>
  <c r="BA518" i="3"/>
  <c r="AZ518" i="3" s="1"/>
  <c r="BA516" i="3"/>
  <c r="BA514" i="3"/>
  <c r="BA510" i="3"/>
  <c r="AZ510" i="3" s="1"/>
  <c r="BA506" i="3"/>
  <c r="BA504" i="3"/>
  <c r="AZ504" i="3" s="1"/>
  <c r="BA500" i="3"/>
  <c r="BA498" i="3"/>
  <c r="AZ498" i="3"/>
  <c r="BA494" i="3"/>
  <c r="AZ494" i="3" s="1"/>
  <c r="BA587" i="3"/>
  <c r="BA581" i="3"/>
  <c r="AZ581" i="3"/>
  <c r="BA573" i="3"/>
  <c r="BA571" i="3"/>
  <c r="BA565" i="3"/>
  <c r="BA563" i="3"/>
  <c r="AZ563" i="3" s="1"/>
  <c r="BA559" i="3"/>
  <c r="BA547" i="3"/>
  <c r="BA545" i="3"/>
  <c r="BA537" i="3"/>
  <c r="AZ537" i="3" s="1"/>
  <c r="BA535" i="3"/>
  <c r="BA527" i="3"/>
  <c r="BA523" i="3"/>
  <c r="BA519" i="3"/>
  <c r="BA517" i="3"/>
  <c r="BA513" i="3"/>
  <c r="AZ513" i="3" s="1"/>
  <c r="BA511" i="3"/>
  <c r="BA507" i="3"/>
  <c r="BA503" i="3"/>
  <c r="BA501" i="3"/>
  <c r="AZ501" i="3" s="1"/>
  <c r="BA499" i="3"/>
  <c r="BA495" i="3"/>
  <c r="BA493" i="3"/>
  <c r="G581" i="3"/>
  <c r="G579" i="3"/>
  <c r="G577" i="3"/>
  <c r="G573" i="3"/>
  <c r="G571" i="3"/>
  <c r="G569" i="3"/>
  <c r="G567" i="3"/>
  <c r="G565" i="3"/>
  <c r="G563" i="3"/>
  <c r="G561" i="3"/>
  <c r="AC557" i="3"/>
  <c r="G557" i="3" s="1"/>
  <c r="BQ557" i="3"/>
  <c r="BQ583" i="3"/>
  <c r="BQ581" i="3"/>
  <c r="BQ579" i="3"/>
  <c r="BL579" i="3"/>
  <c r="BQ577" i="3"/>
  <c r="BQ575" i="3"/>
  <c r="BQ573" i="3"/>
  <c r="BL573" i="3"/>
  <c r="AZ573" i="3"/>
  <c r="BQ571" i="3"/>
  <c r="BQ569" i="3"/>
  <c r="BQ567" i="3"/>
  <c r="BL567" i="3"/>
  <c r="BQ565" i="3"/>
  <c r="BL565" i="3" s="1"/>
  <c r="AZ565" i="3" s="1"/>
  <c r="BQ563" i="3"/>
  <c r="BL563" i="3"/>
  <c r="BQ561" i="3"/>
  <c r="BQ559" i="3"/>
  <c r="BL559" i="3" s="1"/>
  <c r="G553" i="3"/>
  <c r="G549" i="3"/>
  <c r="G545" i="3"/>
  <c r="G541" i="3"/>
  <c r="G537" i="3"/>
  <c r="BQ555" i="3"/>
  <c r="BQ553" i="3"/>
  <c r="BL553" i="3" s="1"/>
  <c r="BQ551" i="3"/>
  <c r="BL551" i="3"/>
  <c r="BQ549" i="3"/>
  <c r="BL549" i="3" s="1"/>
  <c r="BQ547" i="3"/>
  <c r="BQ545" i="3"/>
  <c r="BL545" i="3" s="1"/>
  <c r="BQ543" i="3"/>
  <c r="BQ541" i="3"/>
  <c r="BQ539" i="3"/>
  <c r="BQ537" i="3"/>
  <c r="BQ535" i="3"/>
  <c r="BL535" i="3" s="1"/>
  <c r="BQ533" i="3"/>
  <c r="BL533" i="3"/>
  <c r="BQ531" i="3"/>
  <c r="BQ529" i="3"/>
  <c r="BL529" i="3" s="1"/>
  <c r="BQ527" i="3"/>
  <c r="BQ525" i="3"/>
  <c r="BL525" i="3"/>
  <c r="BQ523" i="3"/>
  <c r="BA521" i="3"/>
  <c r="AC521" i="3"/>
  <c r="G521" i="3"/>
  <c r="BQ521" i="3"/>
  <c r="BL521" i="3"/>
  <c r="AZ521" i="3" s="1"/>
  <c r="G519" i="3"/>
  <c r="G517" i="3"/>
  <c r="G513" i="3"/>
  <c r="G511" i="3"/>
  <c r="BQ519" i="3"/>
  <c r="BQ517" i="3"/>
  <c r="BL517" i="3"/>
  <c r="BQ515" i="3"/>
  <c r="BL515" i="3" s="1"/>
  <c r="BQ513" i="3"/>
  <c r="BL513" i="3"/>
  <c r="BQ511" i="3"/>
  <c r="BA509" i="3"/>
  <c r="AZ509" i="3" s="1"/>
  <c r="AC509" i="3"/>
  <c r="BQ509" i="3"/>
  <c r="BL509" i="3"/>
  <c r="BL508" i="3"/>
  <c r="G507" i="3"/>
  <c r="G505" i="3"/>
  <c r="G503" i="3"/>
  <c r="G501" i="3"/>
  <c r="G499" i="3"/>
  <c r="G497" i="3"/>
  <c r="G495" i="3"/>
  <c r="BQ507" i="3"/>
  <c r="BQ505" i="3"/>
  <c r="BL505" i="3"/>
  <c r="BQ503" i="3"/>
  <c r="BL503" i="3"/>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A12" i="21"/>
  <c r="H25" i="21"/>
  <c r="F25" i="21"/>
  <c r="S25" i="21"/>
  <c r="J25" i="21"/>
  <c r="E125" i="33"/>
  <c r="F125" i="33" s="1"/>
  <c r="G125" i="33" s="1"/>
  <c r="H43" i="33"/>
  <c r="AB43" i="33" s="1"/>
  <c r="H17" i="37"/>
  <c r="U17" i="37" s="1"/>
  <c r="U32" i="33"/>
  <c r="AA36" i="39"/>
  <c r="F39" i="33"/>
  <c r="AA39" i="33" s="1"/>
  <c r="F42" i="33"/>
  <c r="AA42" i="33" s="1"/>
  <c r="F14" i="36"/>
  <c r="AA14" i="36"/>
  <c r="F22" i="36"/>
  <c r="S22" i="36"/>
  <c r="F26" i="36"/>
  <c r="S26" i="36"/>
  <c r="H27" i="34"/>
  <c r="AB27" i="34"/>
  <c r="H35" i="34"/>
  <c r="U35" i="34"/>
  <c r="F41" i="34"/>
  <c r="AA41" i="34" s="1"/>
  <c r="S41" i="34"/>
  <c r="H41" i="34"/>
  <c r="U41" i="34"/>
  <c r="J41" i="34"/>
  <c r="AC41" i="34"/>
  <c r="F10" i="35"/>
  <c r="S10" i="35"/>
  <c r="H23" i="37"/>
  <c r="AB23" i="37"/>
  <c r="J32" i="37"/>
  <c r="AC32" i="37"/>
  <c r="F36" i="37"/>
  <c r="AA36" i="37"/>
  <c r="F37" i="37"/>
  <c r="AA37" i="37"/>
  <c r="F31" i="40"/>
  <c r="S31" i="40" s="1"/>
  <c r="AA31" i="40"/>
  <c r="H31" i="40"/>
  <c r="U31" i="40"/>
  <c r="J36" i="40"/>
  <c r="W36" i="40" s="1"/>
  <c r="H19" i="37"/>
  <c r="AB19" i="37"/>
  <c r="F123" i="33"/>
  <c r="G123" i="33" s="1"/>
  <c r="H123" i="33" s="1"/>
  <c r="I123" i="33" s="1"/>
  <c r="J123" i="33" s="1"/>
  <c r="K123" i="33" s="1"/>
  <c r="L123" i="33" s="1"/>
  <c r="M123" i="33" s="1"/>
  <c r="H42" i="33"/>
  <c r="AB42" i="33" s="1"/>
  <c r="J43" i="33"/>
  <c r="AC43" i="33" s="1"/>
  <c r="S28" i="31"/>
  <c r="AC32" i="36"/>
  <c r="AC33" i="36"/>
  <c r="AA12" i="35"/>
  <c r="W23" i="35"/>
  <c r="W14" i="37"/>
  <c r="U33" i="37"/>
  <c r="U39" i="37"/>
  <c r="AC8" i="37"/>
  <c r="U26" i="37"/>
  <c r="AB13" i="34"/>
  <c r="AB37" i="34"/>
  <c r="AC36" i="34"/>
  <c r="AA13" i="33"/>
  <c r="W44" i="33"/>
  <c r="U11" i="33"/>
  <c r="U19" i="21"/>
  <c r="U26" i="21"/>
  <c r="AC46" i="21"/>
  <c r="U12" i="21"/>
  <c r="AB38" i="21"/>
  <c r="F43" i="33"/>
  <c r="W15" i="34"/>
  <c r="W16" i="35"/>
  <c r="W40" i="37"/>
  <c r="G107" i="37"/>
  <c r="H107" i="37" s="1"/>
  <c r="I107" i="37" s="1"/>
  <c r="J107" i="37" s="1"/>
  <c r="K107" i="37" s="1"/>
  <c r="L107" i="37" s="1"/>
  <c r="M107" i="37" s="1"/>
  <c r="H37" i="21"/>
  <c r="U37" i="21" s="1"/>
  <c r="S42" i="21"/>
  <c r="H19" i="34"/>
  <c r="AB19" i="34"/>
  <c r="F36" i="35"/>
  <c r="S36" i="35" s="1"/>
  <c r="J12" i="37"/>
  <c r="W12" i="37" s="1"/>
  <c r="H12" i="37"/>
  <c r="E71" i="37"/>
  <c r="F71" i="37" s="1"/>
  <c r="G71" i="37" s="1"/>
  <c r="F15" i="37"/>
  <c r="F31" i="37"/>
  <c r="AA31" i="37" s="1"/>
  <c r="S31" i="37"/>
  <c r="F12" i="39"/>
  <c r="J42" i="39"/>
  <c r="W42" i="39" s="1"/>
  <c r="AC42" i="39"/>
  <c r="H21" i="40"/>
  <c r="AC12" i="37"/>
  <c r="F94" i="37"/>
  <c r="G94" i="37"/>
  <c r="H94" i="37" s="1"/>
  <c r="I94" i="37"/>
  <c r="J94" i="37"/>
  <c r="K94" i="37" s="1"/>
  <c r="L94" i="37" s="1"/>
  <c r="M94" i="37" s="1"/>
  <c r="H31" i="37"/>
  <c r="AB31" i="37" s="1"/>
  <c r="U31" i="37"/>
  <c r="J15" i="37"/>
  <c r="W15" i="37"/>
  <c r="AT6" i="3"/>
  <c r="AA25" i="21"/>
  <c r="C12" i="43"/>
  <c r="H19" i="40"/>
  <c r="U19" i="40" s="1"/>
  <c r="F88" i="40"/>
  <c r="G88" i="40" s="1"/>
  <c r="F19" i="40"/>
  <c r="S19" i="40" s="1"/>
  <c r="W23" i="39"/>
  <c r="AC43" i="39"/>
  <c r="W43" i="39"/>
  <c r="H37" i="39"/>
  <c r="AB37" i="39"/>
  <c r="W37" i="39"/>
  <c r="H25" i="39"/>
  <c r="AB25" i="39"/>
  <c r="J25" i="39"/>
  <c r="F25" i="39"/>
  <c r="F15" i="39"/>
  <c r="AA15" i="39" s="1"/>
  <c r="H15" i="39"/>
  <c r="U15" i="39"/>
  <c r="J15" i="39"/>
  <c r="H41" i="39"/>
  <c r="W27" i="39"/>
  <c r="AB34" i="39"/>
  <c r="U40" i="39"/>
  <c r="S42" i="39"/>
  <c r="W14" i="39"/>
  <c r="AA41" i="39"/>
  <c r="W9" i="39"/>
  <c r="W8" i="39"/>
  <c r="J19" i="40"/>
  <c r="AC19" i="40"/>
  <c r="J50" i="40"/>
  <c r="H103" i="9"/>
  <c r="D8" i="53"/>
  <c r="B16" i="53"/>
  <c r="B33" i="72" s="1"/>
  <c r="C7" i="37"/>
  <c r="C7" i="34"/>
  <c r="C7" i="36"/>
  <c r="A118" i="9"/>
  <c r="A4" i="52"/>
  <c r="B41" i="72"/>
  <c r="J11" i="39"/>
  <c r="W11" i="39"/>
  <c r="F11" i="39"/>
  <c r="AA11" i="39"/>
  <c r="A12" i="52"/>
  <c r="B56" i="72" s="1"/>
  <c r="S11" i="39"/>
  <c r="G4" i="4"/>
  <c r="I4" i="4"/>
  <c r="K5" i="4"/>
  <c r="B47" i="48"/>
  <c r="A2" i="9"/>
  <c r="N2" i="43"/>
  <c r="F48" i="43" s="1"/>
  <c r="F59" i="43"/>
  <c r="AZ20" i="3"/>
  <c r="AZ24" i="3"/>
  <c r="AZ28" i="3"/>
  <c r="AZ32" i="3"/>
  <c r="AZ522" i="3"/>
  <c r="G546" i="3"/>
  <c r="G524" i="3"/>
  <c r="G303" i="3"/>
  <c r="BL304" i="3"/>
  <c r="G305" i="3"/>
  <c r="BL306" i="3"/>
  <c r="AZ306" i="3" s="1"/>
  <c r="BA308" i="3"/>
  <c r="AZ308" i="3" s="1"/>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BL378" i="3"/>
  <c r="AZ378" i="3" s="1"/>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G125" i="3"/>
  <c r="BA127" i="3"/>
  <c r="AZ127" i="3"/>
  <c r="BL128" i="3"/>
  <c r="G129" i="3"/>
  <c r="BA131" i="3"/>
  <c r="AZ131" i="3"/>
  <c r="BL132" i="3"/>
  <c r="G133" i="3"/>
  <c r="BA135" i="3"/>
  <c r="AZ135" i="3"/>
  <c r="BL136" i="3"/>
  <c r="AZ136" i="3" s="1"/>
  <c r="G137" i="3"/>
  <c r="BA139" i="3"/>
  <c r="AZ139" i="3"/>
  <c r="BL140" i="3"/>
  <c r="AZ140" i="3" s="1"/>
  <c r="G141" i="3"/>
  <c r="BA143" i="3"/>
  <c r="BL144" i="3"/>
  <c r="G145" i="3"/>
  <c r="BA147" i="3"/>
  <c r="AZ147" i="3"/>
  <c r="BL148" i="3"/>
  <c r="AZ148" i="3"/>
  <c r="G149" i="3"/>
  <c r="BA151" i="3"/>
  <c r="AZ151" i="3" s="1"/>
  <c r="BL152" i="3"/>
  <c r="AZ152" i="3" s="1"/>
  <c r="G153" i="3"/>
  <c r="BA155" i="3"/>
  <c r="AZ155" i="3" s="1"/>
  <c r="BL156" i="3"/>
  <c r="AZ156" i="3"/>
  <c r="G157" i="3"/>
  <c r="BA159" i="3"/>
  <c r="AZ159" i="3"/>
  <c r="BL160" i="3"/>
  <c r="AZ160" i="3" s="1"/>
  <c r="G161" i="3"/>
  <c r="BA163" i="3"/>
  <c r="BL164" i="3"/>
  <c r="AZ164" i="3"/>
  <c r="G165" i="3"/>
  <c r="BA167" i="3"/>
  <c r="AZ167" i="3"/>
  <c r="BL168" i="3"/>
  <c r="AZ168" i="3" s="1"/>
  <c r="G169" i="3"/>
  <c r="BA171" i="3"/>
  <c r="AZ171" i="3"/>
  <c r="BL172" i="3"/>
  <c r="AZ172" i="3" s="1"/>
  <c r="G173" i="3"/>
  <c r="BA175" i="3"/>
  <c r="AZ175" i="3"/>
  <c r="BL176" i="3"/>
  <c r="G177" i="3"/>
  <c r="BA179" i="3"/>
  <c r="AZ179" i="3"/>
  <c r="BL180" i="3"/>
  <c r="G181" i="3"/>
  <c r="BA183" i="3"/>
  <c r="AZ183" i="3" s="1"/>
  <c r="BL184" i="3"/>
  <c r="AZ184" i="3" s="1"/>
  <c r="G185" i="3"/>
  <c r="BA187" i="3"/>
  <c r="BL188" i="3"/>
  <c r="AZ188" i="3" s="1"/>
  <c r="G189" i="3"/>
  <c r="BA191" i="3"/>
  <c r="AZ191" i="3"/>
  <c r="BL192" i="3"/>
  <c r="AZ192" i="3" s="1"/>
  <c r="G193" i="3"/>
  <c r="BA195" i="3"/>
  <c r="AZ195" i="3"/>
  <c r="BL196" i="3"/>
  <c r="AZ196" i="3" s="1"/>
  <c r="G197" i="3"/>
  <c r="BA199" i="3"/>
  <c r="AZ199" i="3"/>
  <c r="BL200" i="3"/>
  <c r="G201" i="3"/>
  <c r="BA203" i="3"/>
  <c r="AZ203" i="3"/>
  <c r="BL204" i="3"/>
  <c r="AZ204" i="3" s="1"/>
  <c r="AZ51" i="3"/>
  <c r="AZ59" i="3"/>
  <c r="AZ63" i="3"/>
  <c r="AZ67" i="3"/>
  <c r="AZ71" i="3"/>
  <c r="AZ75" i="3"/>
  <c r="AZ79" i="3"/>
  <c r="AZ83" i="3"/>
  <c r="AZ144" i="3"/>
  <c r="AZ176" i="3"/>
  <c r="AZ93" i="3"/>
  <c r="AZ97" i="3"/>
  <c r="AZ105" i="3"/>
  <c r="AZ120" i="3"/>
  <c r="AZ128" i="3"/>
  <c r="G534"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BL321" i="3"/>
  <c r="G322" i="3"/>
  <c r="G325" i="3"/>
  <c r="BL326" i="3"/>
  <c r="BA328" i="3"/>
  <c r="AZ328" i="3" s="1"/>
  <c r="BA329" i="3"/>
  <c r="BL329" i="3"/>
  <c r="AZ329" i="3"/>
  <c r="G330" i="3"/>
  <c r="G333" i="3"/>
  <c r="BL334" i="3"/>
  <c r="BA336" i="3"/>
  <c r="AZ336" i="3" s="1"/>
  <c r="BA337" i="3"/>
  <c r="BL337" i="3"/>
  <c r="G338" i="3"/>
  <c r="G341" i="3"/>
  <c r="BA342" i="3"/>
  <c r="BL342" i="3"/>
  <c r="AZ342" i="3"/>
  <c r="BA344" i="3"/>
  <c r="BL344" i="3"/>
  <c r="AZ344" i="3"/>
  <c r="BA346" i="3"/>
  <c r="AZ346" i="3" s="1"/>
  <c r="BA347" i="3"/>
  <c r="AZ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AZ371" i="3" s="1"/>
  <c r="BA372" i="3"/>
  <c r="AZ372" i="3"/>
  <c r="BL372" i="3"/>
  <c r="G373" i="3"/>
  <c r="G376" i="3"/>
  <c r="BL377" i="3"/>
  <c r="BL379" i="3"/>
  <c r="AZ379" i="3" s="1"/>
  <c r="BA381" i="3"/>
  <c r="AZ381" i="3"/>
  <c r="BA382" i="3"/>
  <c r="BL382" i="3"/>
  <c r="G383" i="3"/>
  <c r="G386" i="3"/>
  <c r="BL387" i="3"/>
  <c r="AZ387" i="3" s="1"/>
  <c r="BA389" i="3"/>
  <c r="BA390" i="3"/>
  <c r="BL390" i="3"/>
  <c r="G391" i="3"/>
  <c r="G394" i="3"/>
  <c r="AZ138" i="3"/>
  <c r="AZ142" i="3"/>
  <c r="AZ150" i="3"/>
  <c r="AZ158" i="3"/>
  <c r="AZ162" i="3"/>
  <c r="AZ166" i="3"/>
  <c r="AZ170" i="3"/>
  <c r="AZ174" i="3"/>
  <c r="AZ178" i="3"/>
  <c r="AZ182" i="3"/>
  <c r="AZ186" i="3"/>
  <c r="AZ202" i="3"/>
  <c r="AZ206" i="3"/>
  <c r="AZ500" i="3"/>
  <c r="BA16" i="3"/>
  <c r="AZ16" i="3"/>
  <c r="BL303" i="3"/>
  <c r="G304" i="3"/>
  <c r="BA306" i="3"/>
  <c r="BL307" i="3"/>
  <c r="AZ307" i="3"/>
  <c r="G308" i="3"/>
  <c r="BA310" i="3"/>
  <c r="AZ310" i="3" s="1"/>
  <c r="BL311" i="3"/>
  <c r="AZ311" i="3" s="1"/>
  <c r="G312" i="3"/>
  <c r="BA314" i="3"/>
  <c r="AZ314" i="3" s="1"/>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BL370" i="3"/>
  <c r="G371" i="3"/>
  <c r="BA373" i="3"/>
  <c r="AZ373" i="3" s="1"/>
  <c r="BL374" i="3"/>
  <c r="AZ374" i="3" s="1"/>
  <c r="G375" i="3"/>
  <c r="BA377" i="3"/>
  <c r="AZ229" i="3"/>
  <c r="AZ241" i="3"/>
  <c r="AZ249" i="3"/>
  <c r="AZ253" i="3"/>
  <c r="AZ261" i="3"/>
  <c r="AZ269" i="3"/>
  <c r="BA379" i="3"/>
  <c r="BL380" i="3"/>
  <c r="AZ380" i="3" s="1"/>
  <c r="G381" i="3"/>
  <c r="BA383" i="3"/>
  <c r="AZ383" i="3"/>
  <c r="BL384" i="3"/>
  <c r="G385" i="3"/>
  <c r="BA387" i="3"/>
  <c r="BL388" i="3"/>
  <c r="AZ388" i="3" s="1"/>
  <c r="G389" i="3"/>
  <c r="BA391" i="3"/>
  <c r="AZ391" i="3"/>
  <c r="BL392" i="3"/>
  <c r="AZ392" i="3" s="1"/>
  <c r="G393" i="3"/>
  <c r="AZ275" i="3"/>
  <c r="AZ279" i="3"/>
  <c r="AZ283" i="3"/>
  <c r="AZ287" i="3"/>
  <c r="AZ291" i="3"/>
  <c r="AZ299" i="3"/>
  <c r="BH5" i="3"/>
  <c r="AZ325" i="3"/>
  <c r="G538" i="3"/>
  <c r="G520" i="3"/>
  <c r="G502" i="3"/>
  <c r="BP5" i="3"/>
  <c r="AZ343" i="3"/>
  <c r="BE5" i="3"/>
  <c r="BC5" i="3"/>
  <c r="G17" i="3"/>
  <c r="BA17" i="3"/>
  <c r="BT5" i="3"/>
  <c r="AZ350" i="3"/>
  <c r="AZ352" i="3"/>
  <c r="AZ360" i="3"/>
  <c r="AZ364" i="3"/>
  <c r="AZ368" i="3"/>
  <c r="BA15" i="3"/>
  <c r="AZ15" i="3"/>
  <c r="BB5" i="3"/>
  <c r="BR5" i="3"/>
  <c r="AZ394" i="3"/>
  <c r="G509" i="3"/>
  <c r="AZ390" i="3"/>
  <c r="AZ382" i="3"/>
  <c r="N4" i="43"/>
  <c r="F36" i="43"/>
  <c r="F81" i="43"/>
  <c r="H113" i="43"/>
  <c r="N7" i="43"/>
  <c r="F70" i="43"/>
  <c r="M6" i="43"/>
  <c r="M11" i="43"/>
  <c r="E17" i="43"/>
  <c r="F39" i="43"/>
  <c r="I17" i="43"/>
  <c r="F35" i="43"/>
  <c r="J17" i="43"/>
  <c r="F6" i="1"/>
  <c r="I20" i="43" s="1"/>
  <c r="S14" i="35"/>
  <c r="U43" i="21"/>
  <c r="U35" i="21"/>
  <c r="AC35" i="21"/>
  <c r="U10" i="21"/>
  <c r="G8" i="1"/>
  <c r="G9" i="1"/>
  <c r="G10" i="1"/>
  <c r="F48" i="9"/>
  <c r="O52" i="9" s="1"/>
  <c r="AC11" i="39"/>
  <c r="W37" i="37"/>
  <c r="W44" i="34"/>
  <c r="AC44" i="34"/>
  <c r="U12" i="40"/>
  <c r="AA12" i="40"/>
  <c r="J37" i="33"/>
  <c r="W37" i="33" s="1"/>
  <c r="J34" i="33"/>
  <c r="F33" i="34"/>
  <c r="W12" i="36"/>
  <c r="AC12" i="36"/>
  <c r="H20" i="36"/>
  <c r="J20" i="36"/>
  <c r="W20" i="36" s="1"/>
  <c r="W24" i="36"/>
  <c r="J27" i="36"/>
  <c r="W27" i="36"/>
  <c r="AB25" i="37"/>
  <c r="AC33" i="40"/>
  <c r="F111" i="40"/>
  <c r="G111" i="40"/>
  <c r="H111" i="40" s="1"/>
  <c r="I111" i="40" s="1"/>
  <c r="J111" i="40" s="1"/>
  <c r="K111" i="40" s="1"/>
  <c r="L111" i="40"/>
  <c r="M111" i="40" s="1"/>
  <c r="H35" i="40"/>
  <c r="AB35" i="40"/>
  <c r="H35" i="37"/>
  <c r="U35" i="37"/>
  <c r="AC14" i="35"/>
  <c r="H20" i="35"/>
  <c r="U20" i="35" s="1"/>
  <c r="F20" i="35"/>
  <c r="AA20" i="35"/>
  <c r="AB23" i="35"/>
  <c r="H32" i="37"/>
  <c r="AB32" i="37"/>
  <c r="H27" i="40"/>
  <c r="U27" i="40" s="1"/>
  <c r="J27" i="40"/>
  <c r="F27" i="40"/>
  <c r="S27" i="40"/>
  <c r="J30" i="40"/>
  <c r="AC30" i="40" s="1"/>
  <c r="F30" i="40"/>
  <c r="S30" i="40" s="1"/>
  <c r="AA30" i="40"/>
  <c r="AC21" i="40"/>
  <c r="S11" i="40"/>
  <c r="E98" i="40"/>
  <c r="F98" i="40"/>
  <c r="G98" i="40" s="1"/>
  <c r="H98" i="40"/>
  <c r="I98" i="40" s="1"/>
  <c r="J98" i="40" s="1"/>
  <c r="K98" i="40" s="1"/>
  <c r="L98" i="40" s="1"/>
  <c r="M98" i="40"/>
  <c r="F10" i="33"/>
  <c r="S10" i="33" s="1"/>
  <c r="F34" i="33"/>
  <c r="S34" i="33" s="1"/>
  <c r="H34" i="33"/>
  <c r="U34" i="33" s="1"/>
  <c r="F35" i="33"/>
  <c r="S35" i="33" s="1"/>
  <c r="F39" i="34"/>
  <c r="S39" i="34" s="1"/>
  <c r="J39" i="34"/>
  <c r="W39" i="34"/>
  <c r="F40" i="34"/>
  <c r="S40" i="34" s="1"/>
  <c r="F43" i="34"/>
  <c r="AA43" i="34"/>
  <c r="H44" i="34"/>
  <c r="AB44" i="34" s="1"/>
  <c r="AC38" i="39"/>
  <c r="F39" i="39"/>
  <c r="S39" i="39"/>
  <c r="J39" i="39"/>
  <c r="AC39" i="39"/>
  <c r="E97" i="39"/>
  <c r="F97" i="39"/>
  <c r="G97" i="39" s="1"/>
  <c r="AZ353" i="3"/>
  <c r="AZ354" i="3"/>
  <c r="AZ386" i="3"/>
  <c r="C40" i="11"/>
  <c r="AZ215" i="3"/>
  <c r="AZ223" i="3"/>
  <c r="AZ227" i="3"/>
  <c r="AZ232" i="3"/>
  <c r="AZ251" i="3"/>
  <c r="AZ256" i="3"/>
  <c r="AZ259" i="3"/>
  <c r="AZ268" i="3"/>
  <c r="AZ271" i="3"/>
  <c r="AZ288" i="3"/>
  <c r="AZ296" i="3"/>
  <c r="AZ114" i="3"/>
  <c r="AZ117" i="3"/>
  <c r="AZ130" i="3"/>
  <c r="AZ133" i="3"/>
  <c r="AZ21" i="3"/>
  <c r="AZ29" i="3"/>
  <c r="AZ33" i="3"/>
  <c r="AZ42" i="3"/>
  <c r="AZ45" i="3"/>
  <c r="AZ53" i="3"/>
  <c r="AZ61" i="3"/>
  <c r="AZ66" i="3"/>
  <c r="AZ69" i="3"/>
  <c r="AZ74" i="3"/>
  <c r="AZ77" i="3"/>
  <c r="AZ86" i="3"/>
  <c r="AZ102" i="3"/>
  <c r="H74" i="43"/>
  <c r="F23" i="39"/>
  <c r="AA23" i="39" s="1"/>
  <c r="H27" i="36"/>
  <c r="U27" i="36"/>
  <c r="F27" i="36"/>
  <c r="AA27" i="36" s="1"/>
  <c r="H33" i="34"/>
  <c r="U33" i="34"/>
  <c r="F32" i="37"/>
  <c r="H96" i="37"/>
  <c r="I96" i="37"/>
  <c r="J96" i="37" s="1"/>
  <c r="K96" i="37" s="1"/>
  <c r="L96" i="37" s="1"/>
  <c r="M96" i="37"/>
  <c r="F20" i="36"/>
  <c r="AA20" i="36"/>
  <c r="J33" i="34"/>
  <c r="AC33" i="34"/>
  <c r="H23" i="39"/>
  <c r="U23" i="39"/>
  <c r="D48" i="9"/>
  <c r="M52" i="9"/>
  <c r="H87" i="43"/>
  <c r="K9" i="1"/>
  <c r="M9" i="1" s="1"/>
  <c r="AE9" i="1"/>
  <c r="D93" i="9"/>
  <c r="K6" i="1"/>
  <c r="M6" i="1" s="1"/>
  <c r="O6" i="1" s="1"/>
  <c r="W27" i="34"/>
  <c r="AC27" i="34"/>
  <c r="AC12" i="39"/>
  <c r="W12" i="39"/>
  <c r="AC39" i="40"/>
  <c r="W39" i="40"/>
  <c r="AZ401" i="3"/>
  <c r="AZ412" i="3"/>
  <c r="AZ417" i="3"/>
  <c r="AZ428" i="3"/>
  <c r="AZ433" i="3"/>
  <c r="AZ465" i="3"/>
  <c r="AZ586" i="3"/>
  <c r="W12" i="33"/>
  <c r="S32" i="36"/>
  <c r="AZ550" i="3"/>
  <c r="AZ408" i="3"/>
  <c r="AZ437" i="3"/>
  <c r="AZ441" i="3"/>
  <c r="AZ457" i="3"/>
  <c r="AZ490" i="3"/>
  <c r="AA39" i="34"/>
  <c r="BL14" i="3"/>
  <c r="AZ266" i="3"/>
  <c r="U30" i="33"/>
  <c r="S19" i="39"/>
  <c r="H12" i="39"/>
  <c r="F39" i="40"/>
  <c r="BA14" i="3"/>
  <c r="AZ14" i="3"/>
  <c r="AZ367" i="3"/>
  <c r="AZ213" i="3"/>
  <c r="AZ234" i="3"/>
  <c r="AZ238" i="3"/>
  <c r="AZ254" i="3"/>
  <c r="AZ286" i="3"/>
  <c r="AZ297" i="3"/>
  <c r="AZ165" i="3"/>
  <c r="AZ181" i="3"/>
  <c r="AZ189" i="3"/>
  <c r="AZ197" i="3"/>
  <c r="AZ26" i="3"/>
  <c r="AZ35" i="3"/>
  <c r="AZ41" i="3"/>
  <c r="S12" i="1"/>
  <c r="AQ12" i="1" s="1"/>
  <c r="R12" i="1"/>
  <c r="B12" i="1"/>
  <c r="E12" i="1" s="1"/>
  <c r="S10" i="1"/>
  <c r="R10" i="1"/>
  <c r="B10" i="1"/>
  <c r="E10" i="1" s="1"/>
  <c r="AZ84" i="3"/>
  <c r="AZ88" i="3"/>
  <c r="AZ107" i="3"/>
  <c r="K12" i="1"/>
  <c r="M12" i="1" s="1"/>
  <c r="S13" i="1"/>
  <c r="R13" i="1"/>
  <c r="S11" i="1"/>
  <c r="AQ11" i="1" s="1"/>
  <c r="R11" i="1"/>
  <c r="S9" i="1"/>
  <c r="R9" i="1"/>
  <c r="J51" i="67"/>
  <c r="C42" i="1"/>
  <c r="C24" i="12" s="1"/>
  <c r="H100" i="43"/>
  <c r="C30" i="66"/>
  <c r="E26" i="66" s="1"/>
  <c r="B41" i="1"/>
  <c r="F53" i="9" s="1"/>
  <c r="J100" i="43"/>
  <c r="AB37" i="40"/>
  <c r="U35" i="40"/>
  <c r="AC36" i="40"/>
  <c r="W38" i="40"/>
  <c r="S17" i="40"/>
  <c r="AC17" i="40"/>
  <c r="AC15" i="40"/>
  <c r="AB27" i="40"/>
  <c r="S28" i="40"/>
  <c r="AA27" i="40"/>
  <c r="AB19" i="40"/>
  <c r="U37" i="39"/>
  <c r="W39" i="39"/>
  <c r="F32" i="39"/>
  <c r="F107" i="39"/>
  <c r="G107" i="39" s="1"/>
  <c r="H107" i="39" s="1"/>
  <c r="U25" i="39"/>
  <c r="AB27" i="39"/>
  <c r="U31" i="39"/>
  <c r="J21" i="39"/>
  <c r="F21" i="39"/>
  <c r="S21" i="39" s="1"/>
  <c r="G95" i="39"/>
  <c r="H21" i="39"/>
  <c r="W19" i="39"/>
  <c r="U19" i="39"/>
  <c r="S17" i="39"/>
  <c r="S15" i="39"/>
  <c r="AB15" i="39"/>
  <c r="S9" i="39"/>
  <c r="U14" i="39"/>
  <c r="U13" i="36"/>
  <c r="AC27" i="36"/>
  <c r="AB27" i="36"/>
  <c r="S27" i="36"/>
  <c r="AA26" i="36"/>
  <c r="S29" i="36"/>
  <c r="AC26" i="36"/>
  <c r="AA22" i="36"/>
  <c r="U22" i="36"/>
  <c r="S16" i="36"/>
  <c r="S24" i="36"/>
  <c r="U24" i="36"/>
  <c r="S14" i="36"/>
  <c r="U10" i="36"/>
  <c r="AA25" i="35"/>
  <c r="S23" i="35"/>
  <c r="U29" i="35"/>
  <c r="U28" i="35"/>
  <c r="AB27" i="35"/>
  <c r="U32" i="35"/>
  <c r="AA33" i="35"/>
  <c r="AC30" i="35"/>
  <c r="S32" i="35"/>
  <c r="AA36" i="35"/>
  <c r="W32" i="35"/>
  <c r="S28" i="35"/>
  <c r="AB16" i="35"/>
  <c r="U22" i="35"/>
  <c r="S20" i="35"/>
  <c r="AC20" i="35"/>
  <c r="U14" i="35"/>
  <c r="AA10" i="35"/>
  <c r="AB10" i="35"/>
  <c r="S8" i="35"/>
  <c r="AC12" i="35"/>
  <c r="W13" i="35"/>
  <c r="F9" i="35"/>
  <c r="S9" i="35" s="1"/>
  <c r="F26" i="35"/>
  <c r="S26" i="35" s="1"/>
  <c r="AA26" i="35"/>
  <c r="J26" i="35"/>
  <c r="AC26" i="35" s="1"/>
  <c r="H26" i="35"/>
  <c r="AB40" i="37"/>
  <c r="S25" i="37"/>
  <c r="W27" i="37"/>
  <c r="AC29" i="37"/>
  <c r="U29" i="37"/>
  <c r="W30" i="37"/>
  <c r="S36" i="37"/>
  <c r="U32" i="37"/>
  <c r="W38" i="37"/>
  <c r="AC35" i="37"/>
  <c r="W39" i="37"/>
  <c r="S37" i="37"/>
  <c r="AC15" i="37"/>
  <c r="J17" i="37"/>
  <c r="W17" i="37"/>
  <c r="G73" i="37"/>
  <c r="F17" i="37"/>
  <c r="AB17" i="37"/>
  <c r="F75" i="37"/>
  <c r="F19" i="37"/>
  <c r="S19" i="37" s="1"/>
  <c r="F23" i="37"/>
  <c r="AA23" i="37" s="1"/>
  <c r="S23" i="37"/>
  <c r="U23" i="37"/>
  <c r="U15" i="37"/>
  <c r="H10" i="37"/>
  <c r="U10" i="37" s="1"/>
  <c r="H60" i="37"/>
  <c r="F63" i="37"/>
  <c r="F11" i="37"/>
  <c r="S11" i="37"/>
  <c r="S27" i="34"/>
  <c r="AB8" i="34"/>
  <c r="U44" i="34"/>
  <c r="AC39" i="34"/>
  <c r="W41" i="34"/>
  <c r="AC42" i="34"/>
  <c r="AB35" i="34"/>
  <c r="U39" i="34"/>
  <c r="S43" i="34"/>
  <c r="AB41" i="34"/>
  <c r="W34" i="34"/>
  <c r="AA25" i="34"/>
  <c r="U27" i="34"/>
  <c r="S23" i="34"/>
  <c r="S10" i="34"/>
  <c r="S13" i="34"/>
  <c r="H67" i="34"/>
  <c r="I67" i="34" s="1"/>
  <c r="H10" i="34"/>
  <c r="F11" i="34"/>
  <c r="F70" i="34"/>
  <c r="G70" i="34" s="1"/>
  <c r="W42" i="33"/>
  <c r="AB29" i="33"/>
  <c r="W38" i="33"/>
  <c r="H41" i="33"/>
  <c r="U42" i="33"/>
  <c r="S42" i="33"/>
  <c r="J35" i="33"/>
  <c r="W35" i="33" s="1"/>
  <c r="S37" i="33"/>
  <c r="AA37" i="33"/>
  <c r="S39" i="33"/>
  <c r="J32" i="33"/>
  <c r="AC32" i="33" s="1"/>
  <c r="H25" i="33"/>
  <c r="U25" i="33" s="1"/>
  <c r="F25" i="33"/>
  <c r="AA25" i="33" s="1"/>
  <c r="J23" i="33"/>
  <c r="AC23" i="33" s="1"/>
  <c r="H23" i="33"/>
  <c r="F19" i="33"/>
  <c r="I66" i="33"/>
  <c r="J10" i="33"/>
  <c r="W10" i="33" s="1"/>
  <c r="H10" i="33"/>
  <c r="AA10" i="33"/>
  <c r="AC11" i="33"/>
  <c r="AB14" i="33"/>
  <c r="W36" i="21"/>
  <c r="W41" i="21"/>
  <c r="AB39" i="21"/>
  <c r="AA43" i="21"/>
  <c r="S39" i="21"/>
  <c r="AA38" i="21"/>
  <c r="AA36" i="21"/>
  <c r="AC40" i="21"/>
  <c r="J15" i="21"/>
  <c r="F77" i="21"/>
  <c r="G77" i="21" s="1"/>
  <c r="F23" i="21"/>
  <c r="E85" i="21"/>
  <c r="AA14" i="21"/>
  <c r="AB8" i="21"/>
  <c r="S8" i="21"/>
  <c r="M3" i="43"/>
  <c r="N10" i="43"/>
  <c r="M1" i="43"/>
  <c r="M8" i="43"/>
  <c r="N8" i="43"/>
  <c r="N9" i="43"/>
  <c r="D120" i="9"/>
  <c r="D121" i="9" s="1"/>
  <c r="D7" i="52" s="1"/>
  <c r="C18" i="9"/>
  <c r="D18" i="9" s="1"/>
  <c r="F34" i="67"/>
  <c r="F62" i="67"/>
  <c r="M20" i="67"/>
  <c r="F34" i="15"/>
  <c r="F62" i="15" s="1"/>
  <c r="G13" i="3"/>
  <c r="BA13" i="3"/>
  <c r="BL17" i="3"/>
  <c r="AZ17" i="3"/>
  <c r="BL13" i="3"/>
  <c r="J56" i="9"/>
  <c r="J57" i="9"/>
  <c r="J59" i="9" s="1"/>
  <c r="J61" i="9" s="1"/>
  <c r="A24" i="51"/>
  <c r="B18" i="72" s="1"/>
  <c r="U29" i="34"/>
  <c r="E5" i="6"/>
  <c r="D9" i="68" s="1"/>
  <c r="C9" i="68" s="1"/>
  <c r="P10" i="1"/>
  <c r="E32" i="6"/>
  <c r="L19" i="6"/>
  <c r="G1" i="68"/>
  <c r="K1" i="12"/>
  <c r="AR12" i="1"/>
  <c r="T12" i="1"/>
  <c r="E19" i="69"/>
  <c r="E19" i="68"/>
  <c r="E19" i="11"/>
  <c r="E1" i="73"/>
  <c r="G41" i="69"/>
  <c r="G22" i="69"/>
  <c r="G41" i="68"/>
  <c r="G22" i="68"/>
  <c r="G27" i="12"/>
  <c r="G26" i="12"/>
  <c r="G41" i="11"/>
  <c r="G22" i="11"/>
  <c r="G25" i="12"/>
  <c r="C100" i="43"/>
  <c r="C7" i="43"/>
  <c r="E81" i="43"/>
  <c r="B79" i="43" s="1"/>
  <c r="E70" i="43"/>
  <c r="B68" i="43" s="1"/>
  <c r="F100" i="43"/>
  <c r="H17" i="43"/>
  <c r="D9" i="53"/>
  <c r="B25" i="72" s="1"/>
  <c r="B24" i="72"/>
  <c r="H88" i="43"/>
  <c r="H70" i="43"/>
  <c r="C17" i="43"/>
  <c r="F33" i="43"/>
  <c r="G17" i="43"/>
  <c r="F34" i="43"/>
  <c r="M7" i="43"/>
  <c r="N6" i="43"/>
  <c r="M2" i="43"/>
  <c r="C6" i="43" s="1"/>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46" i="36"/>
  <c r="D46" i="36" s="1"/>
  <c r="C59" i="34"/>
  <c r="D59" i="34" s="1"/>
  <c r="E59" i="34" s="1"/>
  <c r="C52" i="37"/>
  <c r="D52" i="37" s="1"/>
  <c r="E52" i="37" s="1"/>
  <c r="A4" i="51"/>
  <c r="B6" i="72" s="1"/>
  <c r="C4" i="12"/>
  <c r="H62" i="43"/>
  <c r="H66" i="43"/>
  <c r="H61" i="43"/>
  <c r="H65" i="43"/>
  <c r="H60" i="43"/>
  <c r="H64" i="43"/>
  <c r="H59" i="43"/>
  <c r="H63" i="43"/>
  <c r="H67" i="43"/>
  <c r="H55" i="43"/>
  <c r="H76" i="43"/>
  <c r="H72" i="43"/>
  <c r="L20" i="6"/>
  <c r="B6" i="1"/>
  <c r="E6" i="1"/>
  <c r="S8" i="1"/>
  <c r="AQ8" i="1" s="1"/>
  <c r="K11" i="1"/>
  <c r="M11" i="1" s="1"/>
  <c r="O11" i="1" s="1"/>
  <c r="AP6" i="1"/>
  <c r="C36" i="69" s="1"/>
  <c r="B9" i="1"/>
  <c r="E9" i="1" s="1"/>
  <c r="G1" i="15"/>
  <c r="G1" i="69"/>
  <c r="G1" i="67"/>
  <c r="AB31" i="40"/>
  <c r="S37" i="40"/>
  <c r="AB28" i="40"/>
  <c r="W28" i="40"/>
  <c r="W34" i="40"/>
  <c r="W19" i="40"/>
  <c r="W37" i="40"/>
  <c r="AC14" i="40"/>
  <c r="S33" i="40"/>
  <c r="AA15" i="40"/>
  <c r="U11" i="40"/>
  <c r="U15" i="40"/>
  <c r="S8" i="40"/>
  <c r="AA39" i="39"/>
  <c r="AC41" i="39"/>
  <c r="AB23" i="39"/>
  <c r="U41" i="39"/>
  <c r="AB41" i="39"/>
  <c r="W25" i="39"/>
  <c r="AC25" i="39"/>
  <c r="S13" i="39"/>
  <c r="S14" i="39"/>
  <c r="AA14" i="39"/>
  <c r="AB43" i="39"/>
  <c r="AB11" i="39"/>
  <c r="AA27" i="39"/>
  <c r="S27" i="39"/>
  <c r="W17" i="39"/>
  <c r="AC31" i="39"/>
  <c r="S23" i="39"/>
  <c r="W34" i="39"/>
  <c r="U38" i="39"/>
  <c r="S8" i="39"/>
  <c r="S20" i="36"/>
  <c r="S28" i="36"/>
  <c r="U32" i="36"/>
  <c r="AC20" i="36"/>
  <c r="AB28" i="36"/>
  <c r="W9" i="36"/>
  <c r="W22" i="36"/>
  <c r="AB20" i="35"/>
  <c r="AC25" i="35"/>
  <c r="U25" i="35"/>
  <c r="W33" i="35"/>
  <c r="AA30" i="35"/>
  <c r="W35" i="35"/>
  <c r="AA16" i="35"/>
  <c r="AA35" i="37"/>
  <c r="S27" i="37"/>
  <c r="S28" i="37"/>
  <c r="W32" i="37"/>
  <c r="U36" i="37"/>
  <c r="AB37" i="37"/>
  <c r="AC34" i="37"/>
  <c r="AB35" i="37"/>
  <c r="AA11" i="37"/>
  <c r="U19" i="37"/>
  <c r="AA29" i="37"/>
  <c r="AA8" i="37"/>
  <c r="AA40" i="34"/>
  <c r="AB40" i="34"/>
  <c r="U19" i="34"/>
  <c r="AB33" i="34"/>
  <c r="AC45" i="34"/>
  <c r="AA31" i="34"/>
  <c r="AB47" i="34"/>
  <c r="U25" i="34"/>
  <c r="W33" i="34"/>
  <c r="AC14" i="34"/>
  <c r="W29" i="34"/>
  <c r="W46" i="34"/>
  <c r="AC46" i="34"/>
  <c r="AA32" i="34"/>
  <c r="U30" i="34"/>
  <c r="AB30" i="34"/>
  <c r="U38" i="34"/>
  <c r="AC40" i="34"/>
  <c r="W40" i="34"/>
  <c r="S19" i="34"/>
  <c r="AA36" i="34"/>
  <c r="S36" i="34"/>
  <c r="AA8" i="34"/>
  <c r="S8" i="34"/>
  <c r="AB9" i="34"/>
  <c r="U9" i="34"/>
  <c r="AA46" i="34"/>
  <c r="U32" i="34"/>
  <c r="AB32" i="34"/>
  <c r="AB14" i="34"/>
  <c r="AC43" i="34"/>
  <c r="W23" i="34"/>
  <c r="AC23" i="34"/>
  <c r="AC35" i="34"/>
  <c r="U38" i="33"/>
  <c r="AA30" i="33"/>
  <c r="AC14" i="33"/>
  <c r="W30" i="33"/>
  <c r="S31" i="33"/>
  <c r="AA31" i="33"/>
  <c r="S11" i="33"/>
  <c r="U37" i="33"/>
  <c r="W9" i="33"/>
  <c r="W8" i="33"/>
  <c r="U28" i="21"/>
  <c r="AA11" i="21"/>
  <c r="J101" i="21"/>
  <c r="K101" i="21" s="1"/>
  <c r="L101" i="21"/>
  <c r="M101" i="21" s="1"/>
  <c r="F33" i="21"/>
  <c r="S33" i="21" s="1"/>
  <c r="J33" i="21"/>
  <c r="H33" i="21"/>
  <c r="F37" i="21"/>
  <c r="AA37" i="21" s="1"/>
  <c r="AA26" i="21"/>
  <c r="AB46" i="21"/>
  <c r="U40" i="21"/>
  <c r="AB31" i="21"/>
  <c r="U13" i="21"/>
  <c r="AB13" i="21"/>
  <c r="W8" i="21"/>
  <c r="S35" i="21"/>
  <c r="AB37" i="21"/>
  <c r="J37" i="21"/>
  <c r="W37" i="21" s="1"/>
  <c r="H15" i="21"/>
  <c r="U15" i="21"/>
  <c r="J17" i="21"/>
  <c r="AC19" i="21"/>
  <c r="S46" i="21"/>
  <c r="H45" i="21"/>
  <c r="U45" i="21" s="1"/>
  <c r="F13" i="21"/>
  <c r="H32" i="21"/>
  <c r="H9" i="21"/>
  <c r="AB9" i="21" s="1"/>
  <c r="J9" i="21"/>
  <c r="W9" i="21" s="1"/>
  <c r="J32" i="21"/>
  <c r="F32" i="21"/>
  <c r="AA31" i="21"/>
  <c r="U17" i="21"/>
  <c r="S19" i="21"/>
  <c r="S9" i="21"/>
  <c r="AA9" i="21"/>
  <c r="K141" i="21"/>
  <c r="K144" i="21"/>
  <c r="K143" i="21"/>
  <c r="U27" i="21"/>
  <c r="AB44" i="21"/>
  <c r="AA30" i="21"/>
  <c r="W13" i="21"/>
  <c r="AC45" i="21"/>
  <c r="F10" i="21"/>
  <c r="AA10" i="21" s="1"/>
  <c r="K145" i="21"/>
  <c r="W31" i="21"/>
  <c r="S17" i="21"/>
  <c r="AA15" i="21"/>
  <c r="AC27" i="21"/>
  <c r="S28" i="21"/>
  <c r="AC34" i="21"/>
  <c r="W10" i="21"/>
  <c r="W12" i="21"/>
  <c r="AB36" i="21"/>
  <c r="W30" i="40"/>
  <c r="C15" i="40"/>
  <c r="C17" i="40"/>
  <c r="C23" i="40"/>
  <c r="C21" i="40"/>
  <c r="U30" i="40"/>
  <c r="B54" i="43"/>
  <c r="B65" i="43"/>
  <c r="B49" i="43"/>
  <c r="B52" i="43"/>
  <c r="B56" i="43"/>
  <c r="B60" i="43"/>
  <c r="B63" i="43"/>
  <c r="B67" i="43"/>
  <c r="D23" i="15"/>
  <c r="D22" i="15"/>
  <c r="T11" i="1"/>
  <c r="AR11" i="1"/>
  <c r="T13" i="1"/>
  <c r="AA39" i="40"/>
  <c r="S39" i="40"/>
  <c r="J32" i="39"/>
  <c r="AC32" i="39" s="1"/>
  <c r="I107" i="39"/>
  <c r="J107" i="39"/>
  <c r="K107" i="39" s="1"/>
  <c r="L107" i="39" s="1"/>
  <c r="M107" i="39" s="1"/>
  <c r="H32" i="39"/>
  <c r="U32" i="39" s="1"/>
  <c r="AB21" i="39"/>
  <c r="U21" i="39"/>
  <c r="AA21" i="39"/>
  <c r="AC21" i="39"/>
  <c r="W21" i="39"/>
  <c r="AA9" i="35"/>
  <c r="W26" i="35"/>
  <c r="AB26" i="35"/>
  <c r="U26" i="35"/>
  <c r="AC17" i="37"/>
  <c r="J19" i="37"/>
  <c r="W19" i="37" s="1"/>
  <c r="G75" i="37"/>
  <c r="AA19" i="37"/>
  <c r="J23" i="37"/>
  <c r="W23" i="37" s="1"/>
  <c r="J10" i="37"/>
  <c r="AC10" i="37" s="1"/>
  <c r="I60" i="37"/>
  <c r="G63" i="37"/>
  <c r="H63" i="37" s="1"/>
  <c r="H11" i="37"/>
  <c r="AB10" i="37"/>
  <c r="H11" i="34"/>
  <c r="AB10" i="34"/>
  <c r="U10" i="34"/>
  <c r="J10" i="34"/>
  <c r="W10" i="34" s="1"/>
  <c r="AB41" i="33"/>
  <c r="U41" i="33"/>
  <c r="J25" i="33"/>
  <c r="W25" i="33" s="1"/>
  <c r="F23" i="33"/>
  <c r="S23" i="33" s="1"/>
  <c r="G85" i="33"/>
  <c r="W23" i="33"/>
  <c r="H19" i="33"/>
  <c r="U10" i="33"/>
  <c r="AB10" i="33"/>
  <c r="AC37" i="21"/>
  <c r="AB15" i="21"/>
  <c r="J23" i="21"/>
  <c r="AC23" i="21" s="1"/>
  <c r="F85" i="21"/>
  <c r="G85" i="21" s="1"/>
  <c r="H23" i="21"/>
  <c r="U23" i="21" s="1"/>
  <c r="D6" i="52"/>
  <c r="K120" i="9"/>
  <c r="A18" i="62" s="1"/>
  <c r="B64" i="72" s="1"/>
  <c r="AR8" i="1"/>
  <c r="T8" i="1"/>
  <c r="D63" i="40"/>
  <c r="D65" i="40" s="1"/>
  <c r="AP7" i="1"/>
  <c r="AC33" i="21"/>
  <c r="W33" i="21"/>
  <c r="AA33" i="21"/>
  <c r="W32" i="21"/>
  <c r="AC32" i="21"/>
  <c r="U9" i="21"/>
  <c r="AA32" i="21"/>
  <c r="S32" i="21"/>
  <c r="AC9" i="21"/>
  <c r="AB32" i="21"/>
  <c r="U32" i="21"/>
  <c r="AB32" i="39"/>
  <c r="W32" i="39"/>
  <c r="AC23" i="37"/>
  <c r="AB11" i="37"/>
  <c r="U11" i="37"/>
  <c r="I63" i="37"/>
  <c r="J63" i="37"/>
  <c r="K63" i="37" s="1"/>
  <c r="L63" i="37" s="1"/>
  <c r="M63" i="37" s="1"/>
  <c r="J11" i="37"/>
  <c r="AC11" i="37" s="1"/>
  <c r="W10" i="37"/>
  <c r="U11" i="34"/>
  <c r="AB11" i="34"/>
  <c r="AC10" i="34"/>
  <c r="H70" i="34"/>
  <c r="I70" i="34" s="1"/>
  <c r="J70" i="34" s="1"/>
  <c r="K70" i="34" s="1"/>
  <c r="L70" i="34" s="1"/>
  <c r="M70" i="34" s="1"/>
  <c r="J11" i="34"/>
  <c r="W11" i="34" s="1"/>
  <c r="AB19" i="33"/>
  <c r="U19" i="33"/>
  <c r="AB23" i="21"/>
  <c r="F1" i="67"/>
  <c r="Q52" i="67"/>
  <c r="W11" i="37"/>
  <c r="AC11" i="34"/>
  <c r="F34" i="11"/>
  <c r="F11" i="12"/>
  <c r="F34" i="68"/>
  <c r="R8" i="1"/>
  <c r="AE8" i="1"/>
  <c r="H109" i="9"/>
  <c r="M49" i="9" s="1"/>
  <c r="L68" i="9"/>
  <c r="M68" i="9"/>
  <c r="L65" i="9"/>
  <c r="M65" i="9" s="1"/>
  <c r="L66" i="9"/>
  <c r="M66" i="9"/>
  <c r="L64" i="9"/>
  <c r="M64" i="9" s="1"/>
  <c r="L63" i="9"/>
  <c r="M63" i="9" s="1"/>
  <c r="M69" i="9" s="1"/>
  <c r="N69" i="9" s="1"/>
  <c r="L67" i="9"/>
  <c r="M67" i="9" s="1"/>
  <c r="H110" i="9"/>
  <c r="D18" i="53" s="1"/>
  <c r="B35" i="72" s="1"/>
  <c r="D124" i="9"/>
  <c r="H14" i="74" s="1"/>
  <c r="B7" i="74" s="1"/>
  <c r="D16" i="53"/>
  <c r="B34" i="72"/>
  <c r="D10" i="52"/>
  <c r="D17" i="53"/>
  <c r="B36" i="72"/>
  <c r="D125" i="9"/>
  <c r="D11" i="52" s="1"/>
  <c r="J7" i="33"/>
  <c r="F7" i="33"/>
  <c r="S7" i="33" s="1"/>
  <c r="H7" i="33"/>
  <c r="AB7" i="33" s="1"/>
  <c r="H112" i="9"/>
  <c r="D21" i="53" s="1"/>
  <c r="B39" i="72" s="1"/>
  <c r="H111" i="9"/>
  <c r="D126" i="9"/>
  <c r="D127" i="9" s="1"/>
  <c r="D13" i="52" s="1"/>
  <c r="D19" i="53"/>
  <c r="D59" i="9"/>
  <c r="M55" i="9"/>
  <c r="B38" i="72"/>
  <c r="D20" i="53"/>
  <c r="B40" i="72" s="1"/>
  <c r="AD3" i="71"/>
  <c r="E12" i="76"/>
  <c r="F5" i="73"/>
  <c r="M9" i="15"/>
  <c r="L47" i="15"/>
  <c r="F7" i="15"/>
  <c r="F6" i="73"/>
  <c r="E2" i="69"/>
  <c r="M28" i="15"/>
  <c r="F38" i="67"/>
  <c r="F20" i="31"/>
  <c r="F26" i="15"/>
  <c r="D3" i="73"/>
  <c r="E11" i="76"/>
  <c r="D7" i="73"/>
  <c r="C76" i="67"/>
  <c r="M21" i="67"/>
  <c r="F36" i="67"/>
  <c r="F16" i="67"/>
  <c r="F8" i="67"/>
  <c r="F7" i="67"/>
  <c r="F6" i="15"/>
  <c r="F9" i="15"/>
  <c r="M24" i="15"/>
  <c r="M26" i="15"/>
  <c r="D2" i="34"/>
  <c r="D2" i="35"/>
  <c r="F3" i="73"/>
  <c r="B10" i="76"/>
  <c r="F37" i="15"/>
  <c r="D5" i="73"/>
  <c r="F42" i="67"/>
  <c r="F41" i="15"/>
  <c r="J15" i="15"/>
  <c r="D2" i="36"/>
  <c r="F9" i="67"/>
  <c r="M22" i="15"/>
  <c r="AO10" i="1"/>
  <c r="E8" i="76"/>
  <c r="B11" i="76"/>
  <c r="F4" i="73"/>
  <c r="M28" i="67"/>
  <c r="M27" i="67"/>
  <c r="F43" i="67"/>
  <c r="F35" i="67"/>
  <c r="F13" i="67"/>
  <c r="F26" i="67"/>
  <c r="B7" i="76"/>
  <c r="M22" i="67"/>
  <c r="AO8" i="1"/>
  <c r="F40" i="67"/>
  <c r="B8" i="76"/>
  <c r="M29" i="67"/>
  <c r="AO13" i="1"/>
  <c r="M24" i="67"/>
  <c r="M9" i="67"/>
  <c r="F42" i="15"/>
  <c r="F38" i="15"/>
  <c r="E13" i="76"/>
  <c r="B12" i="76"/>
  <c r="F8" i="15"/>
  <c r="D6" i="73"/>
  <c r="F6" i="67"/>
  <c r="M23" i="15"/>
  <c r="M6" i="67"/>
  <c r="M8" i="67"/>
  <c r="F37" i="67"/>
  <c r="D2" i="33"/>
  <c r="E7" i="76"/>
  <c r="F36" i="15"/>
  <c r="B9" i="76"/>
  <c r="F7" i="73"/>
  <c r="D4" i="73"/>
  <c r="J15" i="67"/>
  <c r="E10" i="76"/>
  <c r="F41" i="67"/>
  <c r="B13" i="76"/>
  <c r="C76" i="15"/>
  <c r="M26" i="67"/>
  <c r="AO9" i="1"/>
  <c r="AO12" i="1"/>
  <c r="E9" i="76"/>
  <c r="L48" i="15"/>
  <c r="L48" i="67"/>
  <c r="M23" i="67"/>
  <c r="F40" i="15"/>
  <c r="D2" i="37"/>
  <c r="AO11" i="1"/>
  <c r="F43" i="15"/>
  <c r="L47" i="67"/>
  <c r="M8" i="15"/>
  <c r="D2" i="21"/>
  <c r="F16" i="15"/>
  <c r="U44" i="33" l="1"/>
  <c r="AB44" i="33"/>
  <c r="H25" i="36"/>
  <c r="J25" i="36"/>
  <c r="F25" i="36"/>
  <c r="W15" i="21"/>
  <c r="AC15" i="21"/>
  <c r="AA32" i="37"/>
  <c r="S32" i="37"/>
  <c r="AC46" i="33"/>
  <c r="W46" i="33"/>
  <c r="U8" i="40"/>
  <c r="AB8" i="40"/>
  <c r="D12" i="52"/>
  <c r="I14" i="74"/>
  <c r="B8" i="74" s="1"/>
  <c r="W23" i="21"/>
  <c r="AC19" i="37"/>
  <c r="S37" i="21"/>
  <c r="U38" i="37"/>
  <c r="AA11" i="34"/>
  <c r="S11" i="34"/>
  <c r="S32" i="39"/>
  <c r="AA32" i="39"/>
  <c r="S12" i="39"/>
  <c r="AA12" i="39"/>
  <c r="U13" i="40"/>
  <c r="AB13" i="40"/>
  <c r="U33" i="40"/>
  <c r="AB33" i="40"/>
  <c r="U35" i="35"/>
  <c r="AB35" i="35"/>
  <c r="AC47" i="34"/>
  <c r="W47" i="34"/>
  <c r="AA44" i="21"/>
  <c r="S44" i="21"/>
  <c r="AC25" i="33"/>
  <c r="S10" i="21"/>
  <c r="AB45" i="21"/>
  <c r="AA13" i="21"/>
  <c r="S13" i="21"/>
  <c r="AA23" i="21"/>
  <c r="S23" i="21"/>
  <c r="AQ10" i="1"/>
  <c r="T10" i="1"/>
  <c r="AR10" i="1"/>
  <c r="U20" i="36"/>
  <c r="AB20" i="36"/>
  <c r="W34" i="33"/>
  <c r="AC34" i="33"/>
  <c r="H83" i="43"/>
  <c r="H86" i="43"/>
  <c r="H85" i="43"/>
  <c r="H81" i="43"/>
  <c r="H82" i="43"/>
  <c r="H84" i="43"/>
  <c r="E8" i="6"/>
  <c r="AA43" i="33"/>
  <c r="S43" i="33"/>
  <c r="AB14" i="40"/>
  <c r="U14" i="40"/>
  <c r="AC31" i="33"/>
  <c r="W31" i="33"/>
  <c r="AA45" i="21"/>
  <c r="S45" i="21"/>
  <c r="W29" i="35"/>
  <c r="AC29" i="35"/>
  <c r="AB16" i="36"/>
  <c r="U16" i="36"/>
  <c r="AA46" i="33"/>
  <c r="S46" i="33"/>
  <c r="J24" i="35"/>
  <c r="H24" i="35"/>
  <c r="F24" i="35"/>
  <c r="AA8" i="36"/>
  <c r="S8" i="36"/>
  <c r="AA30" i="37"/>
  <c r="S30" i="37"/>
  <c r="F9" i="37"/>
  <c r="J9" i="37"/>
  <c r="H9" i="37"/>
  <c r="J13" i="37"/>
  <c r="H13" i="37"/>
  <c r="S13" i="37"/>
  <c r="AA13" i="37"/>
  <c r="AA40" i="37"/>
  <c r="S40" i="37"/>
  <c r="U31" i="36"/>
  <c r="AB31" i="36"/>
  <c r="AZ496" i="3"/>
  <c r="AC17" i="21"/>
  <c r="W17" i="21"/>
  <c r="AB45" i="34"/>
  <c r="H52" i="43"/>
  <c r="H50" i="43"/>
  <c r="H53" i="43"/>
  <c r="H51" i="43"/>
  <c r="H56" i="43"/>
  <c r="H48" i="43"/>
  <c r="H54" i="43"/>
  <c r="BQ5" i="3"/>
  <c r="F28" i="6" s="1"/>
  <c r="BL493" i="3"/>
  <c r="AZ493" i="3" s="1"/>
  <c r="U11" i="35"/>
  <c r="AB11" i="35"/>
  <c r="W32" i="34"/>
  <c r="AC32" i="34"/>
  <c r="W10" i="35"/>
  <c r="AC10" i="35"/>
  <c r="W23" i="40"/>
  <c r="AC23" i="40"/>
  <c r="AC26" i="37"/>
  <c r="W26" i="37"/>
  <c r="AB33" i="21"/>
  <c r="U33" i="21"/>
  <c r="AB23" i="33"/>
  <c r="U23" i="33"/>
  <c r="AA17" i="37"/>
  <c r="S17" i="37"/>
  <c r="AB14" i="36"/>
  <c r="AA19" i="40"/>
  <c r="AR9" i="1"/>
  <c r="T9" i="1"/>
  <c r="AR13" i="1"/>
  <c r="AQ13" i="1"/>
  <c r="W28" i="37"/>
  <c r="H73" i="43"/>
  <c r="H71" i="43"/>
  <c r="H77" i="43"/>
  <c r="H78" i="43"/>
  <c r="H75" i="43"/>
  <c r="AZ369" i="3"/>
  <c r="AZ321" i="3"/>
  <c r="S25" i="39"/>
  <c r="AA25" i="39"/>
  <c r="AB21" i="40"/>
  <c r="U21" i="40"/>
  <c r="U12" i="37"/>
  <c r="AB12" i="37"/>
  <c r="AZ499" i="3"/>
  <c r="AZ545" i="3"/>
  <c r="AZ516" i="3"/>
  <c r="AA13" i="35"/>
  <c r="AA13" i="40"/>
  <c r="AA35" i="35"/>
  <c r="S35" i="35"/>
  <c r="S11" i="35"/>
  <c r="AC44" i="21"/>
  <c r="W44" i="21"/>
  <c r="W17" i="34"/>
  <c r="AC17" i="34"/>
  <c r="AB23" i="34"/>
  <c r="U23" i="34"/>
  <c r="S31" i="39"/>
  <c r="AA31" i="39"/>
  <c r="H9" i="33"/>
  <c r="F9" i="33"/>
  <c r="AA9" i="33" s="1"/>
  <c r="AA13" i="36"/>
  <c r="S13" i="36"/>
  <c r="J23" i="36"/>
  <c r="H23" i="36"/>
  <c r="F33" i="36"/>
  <c r="H33" i="36"/>
  <c r="AB29" i="36"/>
  <c r="U29" i="36"/>
  <c r="BL569" i="3"/>
  <c r="BL557" i="3"/>
  <c r="BA557" i="3"/>
  <c r="AZ557" i="3" s="1"/>
  <c r="BL556" i="3"/>
  <c r="BA556" i="3"/>
  <c r="BL555" i="3"/>
  <c r="BA555" i="3"/>
  <c r="AZ555" i="3" s="1"/>
  <c r="BL554" i="3"/>
  <c r="BA554" i="3"/>
  <c r="BA553" i="3"/>
  <c r="AZ553" i="3" s="1"/>
  <c r="BA552" i="3"/>
  <c r="AZ552" i="3" s="1"/>
  <c r="BA546" i="3"/>
  <c r="AZ546" i="3" s="1"/>
  <c r="BA544" i="3"/>
  <c r="AZ544" i="3" s="1"/>
  <c r="BL543" i="3"/>
  <c r="BA543" i="3"/>
  <c r="BL542" i="3"/>
  <c r="AZ542" i="3" s="1"/>
  <c r="BL541" i="3"/>
  <c r="AZ541" i="3" s="1"/>
  <c r="BL540" i="3"/>
  <c r="AZ540" i="3" s="1"/>
  <c r="BL539" i="3"/>
  <c r="BA539" i="3"/>
  <c r="BL538" i="3"/>
  <c r="BA538" i="3"/>
  <c r="AZ538" i="3" s="1"/>
  <c r="BA536" i="3"/>
  <c r="AZ536" i="3" s="1"/>
  <c r="BL534" i="3"/>
  <c r="BA534" i="3"/>
  <c r="AZ534" i="3" s="1"/>
  <c r="BI5" i="3"/>
  <c r="BL531" i="3"/>
  <c r="BA531" i="3"/>
  <c r="BM5" i="3"/>
  <c r="BD5" i="3"/>
  <c r="G530" i="3"/>
  <c r="H5" i="3"/>
  <c r="BA529" i="3"/>
  <c r="AZ529" i="3" s="1"/>
  <c r="BK5" i="3"/>
  <c r="BA528" i="3"/>
  <c r="AZ528" i="3" s="1"/>
  <c r="BL527" i="3"/>
  <c r="AZ527" i="3" s="1"/>
  <c r="BS5" i="3"/>
  <c r="BO5" i="3"/>
  <c r="BF5" i="3"/>
  <c r="BA526" i="3"/>
  <c r="AZ526" i="3" s="1"/>
  <c r="AB25" i="21"/>
  <c r="U25" i="21"/>
  <c r="AZ547" i="3"/>
  <c r="AZ572" i="3"/>
  <c r="S29" i="34"/>
  <c r="AA29" i="34"/>
  <c r="AC37" i="34"/>
  <c r="W37" i="34"/>
  <c r="AB36" i="40"/>
  <c r="U36" i="40"/>
  <c r="U17" i="39"/>
  <c r="AB17" i="39"/>
  <c r="AC43" i="21"/>
  <c r="W43" i="21"/>
  <c r="AC39" i="21"/>
  <c r="W39" i="21"/>
  <c r="H14" i="21"/>
  <c r="J14" i="21"/>
  <c r="E81" i="33"/>
  <c r="F81" i="33" s="1"/>
  <c r="G81" i="33" s="1"/>
  <c r="J19" i="33"/>
  <c r="AB34" i="36"/>
  <c r="U34" i="36"/>
  <c r="U9" i="39"/>
  <c r="AB9" i="39"/>
  <c r="J13" i="39"/>
  <c r="H13" i="39"/>
  <c r="J44" i="39"/>
  <c r="H44" i="39"/>
  <c r="U39" i="40"/>
  <c r="AB39" i="40"/>
  <c r="J32" i="40"/>
  <c r="H32" i="40"/>
  <c r="F32" i="40"/>
  <c r="S42" i="34"/>
  <c r="AA42" i="34"/>
  <c r="AA30" i="36"/>
  <c r="S30" i="36"/>
  <c r="F35" i="39"/>
  <c r="H35" i="39"/>
  <c r="BL584" i="3"/>
  <c r="AZ584" i="3" s="1"/>
  <c r="BL583" i="3"/>
  <c r="BL582" i="3"/>
  <c r="BA582" i="3"/>
  <c r="AZ582" i="3" s="1"/>
  <c r="BA580" i="3"/>
  <c r="AZ580" i="3" s="1"/>
  <c r="BA579" i="3"/>
  <c r="AZ579" i="3" s="1"/>
  <c r="BA577" i="3"/>
  <c r="BA576" i="3"/>
  <c r="AZ576" i="3" s="1"/>
  <c r="BL575" i="3"/>
  <c r="BA575" i="3"/>
  <c r="BL571" i="3"/>
  <c r="AZ571" i="3" s="1"/>
  <c r="BA570" i="3"/>
  <c r="AZ570" i="3" s="1"/>
  <c r="BA569" i="3"/>
  <c r="AZ569" i="3" s="1"/>
  <c r="BL568" i="3"/>
  <c r="AZ568" i="3" s="1"/>
  <c r="BA567" i="3"/>
  <c r="AZ567" i="3" s="1"/>
  <c r="BL566" i="3"/>
  <c r="BA566" i="3"/>
  <c r="BA561" i="3"/>
  <c r="AZ561" i="3" s="1"/>
  <c r="BA560" i="3"/>
  <c r="AZ560" i="3" s="1"/>
  <c r="BA558" i="3"/>
  <c r="S19" i="33"/>
  <c r="AA19" i="33"/>
  <c r="AB12" i="39"/>
  <c r="U12" i="39"/>
  <c r="S33" i="34"/>
  <c r="AA33" i="34"/>
  <c r="G28" i="6"/>
  <c r="G30" i="6" s="1"/>
  <c r="G31" i="6" s="1"/>
  <c r="AC5" i="3"/>
  <c r="AZ377" i="3"/>
  <c r="AZ389" i="3"/>
  <c r="AZ376" i="3"/>
  <c r="S15" i="37"/>
  <c r="AA15" i="37"/>
  <c r="AC25" i="21"/>
  <c r="W25" i="21"/>
  <c r="AZ535" i="3"/>
  <c r="AZ559" i="3"/>
  <c r="AZ574" i="3"/>
  <c r="AA43" i="39"/>
  <c r="S43" i="39"/>
  <c r="AC31" i="34"/>
  <c r="W31" i="34"/>
  <c r="W45" i="33"/>
  <c r="AC45" i="33"/>
  <c r="W13" i="33"/>
  <c r="AC13" i="33"/>
  <c r="AB42" i="39"/>
  <c r="U42" i="39"/>
  <c r="AB39" i="33"/>
  <c r="U39" i="33"/>
  <c r="J29" i="21"/>
  <c r="F29" i="21"/>
  <c r="H29" i="21"/>
  <c r="AB33" i="33"/>
  <c r="U33" i="33"/>
  <c r="F28" i="34"/>
  <c r="J28" i="34"/>
  <c r="H28" i="34"/>
  <c r="W27" i="35"/>
  <c r="AC27" i="35"/>
  <c r="AA10" i="36"/>
  <c r="S10" i="36"/>
  <c r="F23" i="36"/>
  <c r="U8" i="37"/>
  <c r="AB8" i="37"/>
  <c r="S12" i="37"/>
  <c r="AA12" i="37"/>
  <c r="U27" i="37"/>
  <c r="AB27" i="37"/>
  <c r="H45" i="39"/>
  <c r="F45" i="39"/>
  <c r="J45" i="39"/>
  <c r="U41" i="21"/>
  <c r="AB41" i="21"/>
  <c r="AC27" i="40"/>
  <c r="W27" i="40"/>
  <c r="AZ337" i="3"/>
  <c r="AZ517" i="3"/>
  <c r="AZ506" i="3"/>
  <c r="AC10" i="36"/>
  <c r="W10" i="36"/>
  <c r="W13" i="40"/>
  <c r="AC13" i="40"/>
  <c r="U28" i="37"/>
  <c r="AB28" i="37"/>
  <c r="AC11" i="35"/>
  <c r="W11" i="35"/>
  <c r="W28" i="33"/>
  <c r="AC28" i="33"/>
  <c r="AC42" i="21"/>
  <c r="W42" i="21"/>
  <c r="AA17" i="34"/>
  <c r="S17" i="34"/>
  <c r="AB15" i="34"/>
  <c r="U15" i="34"/>
  <c r="AA37" i="34"/>
  <c r="S37" i="34"/>
  <c r="AA22" i="35"/>
  <c r="S22" i="35"/>
  <c r="W38" i="21"/>
  <c r="AC38" i="21"/>
  <c r="B59" i="43"/>
  <c r="C19" i="39"/>
  <c r="B74" i="43"/>
  <c r="C27" i="39"/>
  <c r="AB43" i="34"/>
  <c r="U43" i="34"/>
  <c r="J9" i="35"/>
  <c r="H9" i="35"/>
  <c r="J12" i="34"/>
  <c r="H12" i="34"/>
  <c r="F12" i="34"/>
  <c r="AB14" i="37"/>
  <c r="U14" i="37"/>
  <c r="S9" i="40"/>
  <c r="AA9" i="40"/>
  <c r="W31" i="35"/>
  <c r="AC31" i="35"/>
  <c r="G584" i="3"/>
  <c r="BA583" i="3"/>
  <c r="AZ583" i="3" s="1"/>
  <c r="BL577" i="3"/>
  <c r="G575" i="3"/>
  <c r="BL574" i="3"/>
  <c r="BL572" i="3"/>
  <c r="BA549" i="3"/>
  <c r="AZ549" i="3" s="1"/>
  <c r="AZ309" i="3"/>
  <c r="W15" i="39"/>
  <c r="AC15" i="39"/>
  <c r="S14" i="40"/>
  <c r="AZ495" i="3"/>
  <c r="AA27" i="21"/>
  <c r="S27" i="21"/>
  <c r="U23" i="40"/>
  <c r="AC19" i="34"/>
  <c r="W19" i="34"/>
  <c r="U36" i="34"/>
  <c r="AB36" i="34"/>
  <c r="S34" i="36"/>
  <c r="AA34" i="36"/>
  <c r="AA35" i="40"/>
  <c r="S35" i="40"/>
  <c r="W11" i="21"/>
  <c r="AC11" i="21"/>
  <c r="AA21" i="40"/>
  <c r="S21" i="40"/>
  <c r="W36" i="35"/>
  <c r="BL587" i="3"/>
  <c r="AZ587" i="3" s="1"/>
  <c r="BA585" i="3"/>
  <c r="AZ585" i="3" s="1"/>
  <c r="AA34" i="35"/>
  <c r="S34" i="35"/>
  <c r="H9" i="36"/>
  <c r="F9" i="36"/>
  <c r="AB34" i="40"/>
  <c r="U34" i="40"/>
  <c r="AB38" i="40"/>
  <c r="U38" i="40"/>
  <c r="AB40" i="40"/>
  <c r="U40" i="40"/>
  <c r="BL558" i="3"/>
  <c r="BA551" i="3"/>
  <c r="AZ551" i="3" s="1"/>
  <c r="U26" i="36"/>
  <c r="H26" i="33"/>
  <c r="U26" i="33" s="1"/>
  <c r="AC38" i="34"/>
  <c r="AC8" i="35"/>
  <c r="F37" i="39"/>
  <c r="U34" i="34"/>
  <c r="W34" i="35"/>
  <c r="W40" i="39"/>
  <c r="B71" i="43"/>
  <c r="C21" i="39"/>
  <c r="J26" i="33"/>
  <c r="AC9" i="34"/>
  <c r="J25" i="37"/>
  <c r="AC31" i="37"/>
  <c r="W40" i="40"/>
  <c r="AC40" i="40"/>
  <c r="AZ420" i="3"/>
  <c r="AZ425" i="3"/>
  <c r="AZ431" i="3"/>
  <c r="AZ434" i="3"/>
  <c r="AZ435" i="3"/>
  <c r="AZ444" i="3"/>
  <c r="AZ449" i="3"/>
  <c r="AZ450" i="3"/>
  <c r="AZ453" i="3"/>
  <c r="AZ454" i="3"/>
  <c r="AZ482" i="3"/>
  <c r="G566" i="3"/>
  <c r="AZ400" i="3"/>
  <c r="AZ405" i="3"/>
  <c r="AZ407" i="3"/>
  <c r="AZ410" i="3"/>
  <c r="AZ413" i="3"/>
  <c r="AZ415" i="3"/>
  <c r="AZ439" i="3"/>
  <c r="AZ456" i="3"/>
  <c r="AZ461" i="3"/>
  <c r="AZ463" i="3"/>
  <c r="AZ466" i="3"/>
  <c r="AZ468" i="3"/>
  <c r="AZ403" i="3"/>
  <c r="AZ404" i="3"/>
  <c r="AZ411" i="3"/>
  <c r="AZ414" i="3"/>
  <c r="AZ438" i="3"/>
  <c r="AZ459" i="3"/>
  <c r="AZ460" i="3"/>
  <c r="AZ464" i="3"/>
  <c r="AZ467" i="3"/>
  <c r="BL473" i="3"/>
  <c r="AZ473" i="3" s="1"/>
  <c r="BA221" i="3"/>
  <c r="AZ221" i="3" s="1"/>
  <c r="AZ267" i="3"/>
  <c r="AZ489" i="3"/>
  <c r="BA471" i="3"/>
  <c r="AZ471" i="3" s="1"/>
  <c r="BL477" i="3"/>
  <c r="BL481" i="3"/>
  <c r="BL485" i="3"/>
  <c r="AZ485" i="3" s="1"/>
  <c r="BL489" i="3"/>
  <c r="BL491" i="3"/>
  <c r="AZ491" i="3" s="1"/>
  <c r="AZ316" i="3"/>
  <c r="BA317" i="3"/>
  <c r="AZ317" i="3" s="1"/>
  <c r="BA384" i="3"/>
  <c r="AZ384" i="3" s="1"/>
  <c r="AZ385" i="3"/>
  <c r="BA396" i="3"/>
  <c r="AZ396" i="3" s="1"/>
  <c r="AZ397" i="3"/>
  <c r="AZ211" i="3"/>
  <c r="AZ216" i="3"/>
  <c r="AZ226" i="3"/>
  <c r="AZ239" i="3"/>
  <c r="BL470" i="3"/>
  <c r="AZ470" i="3" s="1"/>
  <c r="BA474" i="3"/>
  <c r="AZ474" i="3" s="1"/>
  <c r="BA476" i="3"/>
  <c r="AZ476" i="3" s="1"/>
  <c r="BA477" i="3"/>
  <c r="BA480" i="3"/>
  <c r="AZ480" i="3" s="1"/>
  <c r="BA481" i="3"/>
  <c r="AZ481" i="3" s="1"/>
  <c r="BA484" i="3"/>
  <c r="AZ484" i="3" s="1"/>
  <c r="AZ332" i="3"/>
  <c r="BA333" i="3"/>
  <c r="AZ333" i="3" s="1"/>
  <c r="BA370" i="3"/>
  <c r="AZ370" i="3" s="1"/>
  <c r="BL385" i="3"/>
  <c r="AZ395" i="3"/>
  <c r="BA208" i="3"/>
  <c r="AZ208" i="3" s="1"/>
  <c r="AZ210" i="3"/>
  <c r="AZ220" i="3"/>
  <c r="AZ242" i="3"/>
  <c r="AZ247" i="3"/>
  <c r="AZ255" i="3"/>
  <c r="BL208" i="3"/>
  <c r="G213" i="3"/>
  <c r="BL216" i="3"/>
  <c r="BL219" i="3"/>
  <c r="AZ219" i="3" s="1"/>
  <c r="BL224" i="3"/>
  <c r="AZ224" i="3" s="1"/>
  <c r="G226" i="3"/>
  <c r="BL231" i="3"/>
  <c r="G234" i="3"/>
  <c r="BA236" i="3"/>
  <c r="AZ236" i="3" s="1"/>
  <c r="BA245" i="3"/>
  <c r="AZ245" i="3" s="1"/>
  <c r="BA250" i="3"/>
  <c r="AZ250" i="3" s="1"/>
  <c r="BL252" i="3"/>
  <c r="AZ252" i="3" s="1"/>
  <c r="BA257" i="3"/>
  <c r="AZ257" i="3" s="1"/>
  <c r="BL260" i="3"/>
  <c r="BA263" i="3"/>
  <c r="AZ263" i="3" s="1"/>
  <c r="G266" i="3"/>
  <c r="BL270" i="3"/>
  <c r="BA273" i="3"/>
  <c r="AZ273" i="3" s="1"/>
  <c r="AZ278" i="3"/>
  <c r="BA280" i="3"/>
  <c r="AZ280" i="3" s="1"/>
  <c r="BA212" i="3"/>
  <c r="AZ212" i="3" s="1"/>
  <c r="BL222" i="3"/>
  <c r="AZ222" i="3" s="1"/>
  <c r="AZ231" i="3"/>
  <c r="AZ260" i="3"/>
  <c r="AZ270" i="3"/>
  <c r="AZ65" i="3"/>
  <c r="BL211" i="3"/>
  <c r="G215" i="3"/>
  <c r="G218" i="3"/>
  <c r="G221" i="3"/>
  <c r="BA225" i="3"/>
  <c r="AZ225" i="3" s="1"/>
  <c r="BL228" i="3"/>
  <c r="AZ228" i="3" s="1"/>
  <c r="BA233" i="3"/>
  <c r="AZ233" i="3" s="1"/>
  <c r="BL235" i="3"/>
  <c r="AZ235" i="3" s="1"/>
  <c r="BL237" i="3"/>
  <c r="AZ237" i="3" s="1"/>
  <c r="BL240" i="3"/>
  <c r="AZ240" i="3" s="1"/>
  <c r="BA243" i="3"/>
  <c r="AZ243" i="3" s="1"/>
  <c r="G246" i="3"/>
  <c r="BL248" i="3"/>
  <c r="AZ248" i="3" s="1"/>
  <c r="G251" i="3"/>
  <c r="BL255" i="3"/>
  <c r="G258" i="3"/>
  <c r="BA265" i="3"/>
  <c r="AZ265" i="3" s="1"/>
  <c r="BL267" i="3"/>
  <c r="AZ118" i="3"/>
  <c r="AZ185" i="3"/>
  <c r="BA277" i="3"/>
  <c r="AZ277" i="3" s="1"/>
  <c r="BA282" i="3"/>
  <c r="AZ282" i="3" s="1"/>
  <c r="BA285" i="3"/>
  <c r="AZ285" i="3" s="1"/>
  <c r="BL295" i="3"/>
  <c r="AZ295" i="3" s="1"/>
  <c r="BL118" i="3"/>
  <c r="BA122" i="3"/>
  <c r="AZ122" i="3" s="1"/>
  <c r="AZ193" i="3"/>
  <c r="AZ201" i="3"/>
  <c r="K108" i="43"/>
  <c r="K100" i="43"/>
  <c r="G108" i="43"/>
  <c r="G100" i="43"/>
  <c r="U29" i="39"/>
  <c r="AB29" i="39"/>
  <c r="BL276" i="3"/>
  <c r="AZ276" i="3" s="1"/>
  <c r="BL281" i="3"/>
  <c r="AZ281" i="3" s="1"/>
  <c r="BL284" i="3"/>
  <c r="AZ284" i="3" s="1"/>
  <c r="G288" i="3"/>
  <c r="G291" i="3"/>
  <c r="G294" i="3"/>
  <c r="G299" i="3"/>
  <c r="G302" i="3"/>
  <c r="BL121" i="3"/>
  <c r="BA124" i="3"/>
  <c r="AZ124" i="3" s="1"/>
  <c r="G126" i="3"/>
  <c r="G128" i="3"/>
  <c r="BA132" i="3"/>
  <c r="AZ132" i="3" s="1"/>
  <c r="BA134" i="3"/>
  <c r="AZ134" i="3" s="1"/>
  <c r="BA137" i="3"/>
  <c r="AZ137" i="3" s="1"/>
  <c r="BL143" i="3"/>
  <c r="AZ143" i="3" s="1"/>
  <c r="BL146" i="3"/>
  <c r="AZ146" i="3" s="1"/>
  <c r="G150" i="3"/>
  <c r="AZ22" i="3"/>
  <c r="AZ52" i="3"/>
  <c r="AZ54" i="3"/>
  <c r="BL95" i="3"/>
  <c r="AZ112" i="3"/>
  <c r="AZ121" i="3"/>
  <c r="BL149" i="3"/>
  <c r="AZ149" i="3" s="1"/>
  <c r="BL154" i="3"/>
  <c r="AZ154" i="3" s="1"/>
  <c r="BA157" i="3"/>
  <c r="AZ157" i="3" s="1"/>
  <c r="BL163" i="3"/>
  <c r="AZ163" i="3" s="1"/>
  <c r="G167" i="3"/>
  <c r="BA169" i="3"/>
  <c r="AZ169" i="3" s="1"/>
  <c r="BL173" i="3"/>
  <c r="AZ173" i="3" s="1"/>
  <c r="G176" i="3"/>
  <c r="BA180" i="3"/>
  <c r="AZ180" i="3" s="1"/>
  <c r="BL187" i="3"/>
  <c r="AZ187" i="3" s="1"/>
  <c r="BL190" i="3"/>
  <c r="AZ190" i="3" s="1"/>
  <c r="BA194" i="3"/>
  <c r="AZ194" i="3" s="1"/>
  <c r="BA198" i="3"/>
  <c r="AZ198" i="3" s="1"/>
  <c r="BA200" i="3"/>
  <c r="AZ200" i="3" s="1"/>
  <c r="G202" i="3"/>
  <c r="BL207" i="3"/>
  <c r="AZ207" i="3" s="1"/>
  <c r="BL19" i="3"/>
  <c r="BA23" i="3"/>
  <c r="AZ23" i="3" s="1"/>
  <c r="BA25" i="3"/>
  <c r="AZ25" i="3" s="1"/>
  <c r="BL27" i="3"/>
  <c r="AZ27" i="3" s="1"/>
  <c r="BA30" i="3"/>
  <c r="AZ30" i="3" s="1"/>
  <c r="BA37" i="3"/>
  <c r="AZ37" i="3" s="1"/>
  <c r="BL57" i="3"/>
  <c r="BA89" i="3"/>
  <c r="AZ95" i="3"/>
  <c r="BL101" i="3"/>
  <c r="AZ101" i="3" s="1"/>
  <c r="AZ125" i="3"/>
  <c r="AZ57" i="3"/>
  <c r="D24" i="67"/>
  <c r="D22" i="67"/>
  <c r="AZ34" i="3"/>
  <c r="AZ46" i="3"/>
  <c r="AZ49" i="3"/>
  <c r="BL52" i="3"/>
  <c r="BA55" i="3"/>
  <c r="AZ55" i="3" s="1"/>
  <c r="BA58" i="3"/>
  <c r="AZ58" i="3" s="1"/>
  <c r="AZ68" i="3"/>
  <c r="BA76" i="3"/>
  <c r="AZ76" i="3" s="1"/>
  <c r="AZ98" i="3"/>
  <c r="AZ103" i="3"/>
  <c r="B7" i="1"/>
  <c r="E7" i="1" s="1"/>
  <c r="F3" i="35"/>
  <c r="BL31" i="3"/>
  <c r="AZ31" i="3" s="1"/>
  <c r="G38" i="3"/>
  <c r="G5" i="3" s="1"/>
  <c r="B3" i="3" s="1"/>
  <c r="BA39" i="3"/>
  <c r="AZ39" i="3" s="1"/>
  <c r="BA40" i="3"/>
  <c r="AZ40" i="3" s="1"/>
  <c r="G43" i="3"/>
  <c r="BL43" i="3"/>
  <c r="AZ43" i="3" s="1"/>
  <c r="BL44" i="3"/>
  <c r="AZ44" i="3" s="1"/>
  <c r="G45" i="3"/>
  <c r="BA47" i="3"/>
  <c r="AZ47" i="3" s="1"/>
  <c r="BA50" i="3"/>
  <c r="AZ50" i="3" s="1"/>
  <c r="BA60" i="3"/>
  <c r="AZ60" i="3" s="1"/>
  <c r="BL62" i="3"/>
  <c r="AZ62" i="3" s="1"/>
  <c r="BL65" i="3"/>
  <c r="G72" i="3"/>
  <c r="BL72" i="3"/>
  <c r="AZ72" i="3" s="1"/>
  <c r="BL73" i="3"/>
  <c r="AZ73" i="3" s="1"/>
  <c r="G74" i="3"/>
  <c r="BA78" i="3"/>
  <c r="AZ78" i="3" s="1"/>
  <c r="BL80" i="3"/>
  <c r="AZ80" i="3" s="1"/>
  <c r="BL82" i="3"/>
  <c r="AZ82" i="3" s="1"/>
  <c r="BA85" i="3"/>
  <c r="AZ85" i="3" s="1"/>
  <c r="BA87" i="3"/>
  <c r="AZ87" i="3" s="1"/>
  <c r="BL89" i="3"/>
  <c r="BL94" i="3"/>
  <c r="AZ94" i="3" s="1"/>
  <c r="G96" i="3"/>
  <c r="BA99" i="3"/>
  <c r="AZ99" i="3" s="1"/>
  <c r="G102" i="3"/>
  <c r="BA104" i="3"/>
  <c r="AZ104" i="3" s="1"/>
  <c r="BL106" i="3"/>
  <c r="AZ106" i="3" s="1"/>
  <c r="J50" i="43"/>
  <c r="D50" i="43"/>
  <c r="E48" i="43" s="1"/>
  <c r="B46" i="43" s="1"/>
  <c r="C24" i="43" s="1"/>
  <c r="AC21" i="21"/>
  <c r="W21" i="21"/>
  <c r="T70" i="71"/>
  <c r="C69" i="71"/>
  <c r="D69" i="71" s="1"/>
  <c r="D70" i="71"/>
  <c r="BA109" i="3"/>
  <c r="AZ109" i="3" s="1"/>
  <c r="BA110" i="3"/>
  <c r="AZ110" i="3" s="1"/>
  <c r="BA111" i="3"/>
  <c r="AZ111" i="3" s="1"/>
  <c r="E59" i="43"/>
  <c r="B57" i="43" s="1"/>
  <c r="M100" i="43"/>
  <c r="M108" i="43"/>
  <c r="I108" i="43"/>
  <c r="I100" i="43"/>
  <c r="E100" i="43"/>
  <c r="E108" i="43"/>
  <c r="I15" i="66"/>
  <c r="S66" i="71"/>
  <c r="B65" i="71"/>
  <c r="B64" i="71" s="1"/>
  <c r="AE12" i="43"/>
  <c r="AE10" i="43"/>
  <c r="J54" i="43"/>
  <c r="D54" i="43"/>
  <c r="D108" i="43"/>
  <c r="D100" i="43"/>
  <c r="I10" i="66"/>
  <c r="AA21" i="33"/>
  <c r="S21" i="33"/>
  <c r="AB25" i="40"/>
  <c r="U25" i="40"/>
  <c r="C37" i="71"/>
  <c r="D37" i="71" s="1"/>
  <c r="D36" i="71"/>
  <c r="C41" i="71"/>
  <c r="D40" i="71"/>
  <c r="P58" i="71"/>
  <c r="U58" i="71"/>
  <c r="N56" i="9"/>
  <c r="M56" i="9"/>
  <c r="AC18" i="36"/>
  <c r="AA25" i="40"/>
  <c r="S25" i="40"/>
  <c r="AA10" i="43"/>
  <c r="AC12" i="43"/>
  <c r="AC10" i="43"/>
  <c r="AG12" i="43"/>
  <c r="AG10" i="43"/>
  <c r="S18" i="35"/>
  <c r="D53" i="71"/>
  <c r="B69" i="71"/>
  <c r="B68" i="71" s="1"/>
  <c r="AD10" i="43"/>
  <c r="F17" i="71"/>
  <c r="F16" i="71" s="1"/>
  <c r="AB25" i="71"/>
  <c r="G1" i="79"/>
  <c r="AC37" i="33"/>
  <c r="F12" i="33"/>
  <c r="H12" i="33"/>
  <c r="S28" i="33"/>
  <c r="AB28" i="33"/>
  <c r="F36" i="33"/>
  <c r="J36" i="33"/>
  <c r="G111" i="33"/>
  <c r="H111" i="33" s="1"/>
  <c r="I111" i="33" s="1"/>
  <c r="J111" i="33" s="1"/>
  <c r="K111" i="33" s="1"/>
  <c r="L111" i="33" s="1"/>
  <c r="M111" i="33" s="1"/>
  <c r="H36" i="33"/>
  <c r="U35" i="33"/>
  <c r="S41" i="33"/>
  <c r="W40" i="33"/>
  <c r="U43" i="33"/>
  <c r="W43" i="33"/>
  <c r="W39" i="33"/>
  <c r="AA35" i="33"/>
  <c r="AC35" i="33"/>
  <c r="AB34" i="33"/>
  <c r="AA34" i="33"/>
  <c r="W32" i="33"/>
  <c r="S32" i="33"/>
  <c r="S33" i="33"/>
  <c r="H27" i="33"/>
  <c r="U27" i="33" s="1"/>
  <c r="J27" i="33"/>
  <c r="W27" i="33" s="1"/>
  <c r="F91" i="33"/>
  <c r="G91" i="33" s="1"/>
  <c r="H91" i="33" s="1"/>
  <c r="I91" i="33" s="1"/>
  <c r="J91" i="33" s="1"/>
  <c r="K91" i="33" s="1"/>
  <c r="L91" i="33" s="1"/>
  <c r="M91" i="33" s="1"/>
  <c r="F27" i="33"/>
  <c r="AA27" i="33" s="1"/>
  <c r="S26" i="33"/>
  <c r="AA23" i="33"/>
  <c r="W33" i="33"/>
  <c r="F79" i="33"/>
  <c r="G79" i="33" s="1"/>
  <c r="F17" i="33"/>
  <c r="J17" i="33"/>
  <c r="H17" i="33"/>
  <c r="AB17" i="33" s="1"/>
  <c r="F77" i="33"/>
  <c r="G77" i="33" s="1"/>
  <c r="F15" i="33"/>
  <c r="H15" i="33"/>
  <c r="J15" i="33"/>
  <c r="AA7" i="33"/>
  <c r="D9" i="11"/>
  <c r="C9" i="11" s="1"/>
  <c r="D19" i="12"/>
  <c r="C19" i="12" s="1"/>
  <c r="C13" i="12"/>
  <c r="E63" i="40"/>
  <c r="C77" i="9"/>
  <c r="J51" i="15"/>
  <c r="C56" i="71"/>
  <c r="D56" i="71" s="1"/>
  <c r="X5" i="71"/>
  <c r="X8" i="71"/>
  <c r="X7" i="71"/>
  <c r="X9" i="71"/>
  <c r="X10" i="71"/>
  <c r="X6" i="71"/>
  <c r="AA8" i="71"/>
  <c r="AA7" i="71"/>
  <c r="AA9" i="71"/>
  <c r="AA6" i="71"/>
  <c r="AA10" i="71"/>
  <c r="AA5" i="71"/>
  <c r="Y7" i="71"/>
  <c r="Z7" i="71" s="1"/>
  <c r="Y5" i="71"/>
  <c r="Z5" i="71" s="1"/>
  <c r="Y8" i="71"/>
  <c r="Z8" i="71" s="1"/>
  <c r="Y10" i="71"/>
  <c r="Z10" i="71" s="1"/>
  <c r="Y6" i="71"/>
  <c r="Z6" i="71" s="1"/>
  <c r="Y9" i="71"/>
  <c r="Z9" i="71" s="1"/>
  <c r="AB7" i="71"/>
  <c r="AB10" i="71"/>
  <c r="AB9" i="71"/>
  <c r="AB6" i="71"/>
  <c r="AB5" i="71"/>
  <c r="AB8" i="71"/>
  <c r="AA17" i="71"/>
  <c r="P57" i="71"/>
  <c r="E17" i="71"/>
  <c r="E16" i="71" s="1"/>
  <c r="V18" i="71"/>
  <c r="C33" i="71"/>
  <c r="D32" i="71"/>
  <c r="C17" i="71"/>
  <c r="D18" i="71"/>
  <c r="U18" i="71" s="1"/>
  <c r="T18" i="71"/>
  <c r="Y27" i="71"/>
  <c r="Z27" i="71" s="1"/>
  <c r="X19" i="71"/>
  <c r="X15" i="71"/>
  <c r="X12" i="71"/>
  <c r="X11" i="71"/>
  <c r="X14" i="71"/>
  <c r="X13" i="71"/>
  <c r="AA15" i="71"/>
  <c r="AA14" i="71"/>
  <c r="AA13" i="71"/>
  <c r="AA12" i="71"/>
  <c r="AA11" i="71"/>
  <c r="P56" i="71"/>
  <c r="C50" i="71"/>
  <c r="Y15" i="71"/>
  <c r="Z15" i="71" s="1"/>
  <c r="Y13" i="71"/>
  <c r="Z13" i="71" s="1"/>
  <c r="Y12" i="71"/>
  <c r="Z12" i="71" s="1"/>
  <c r="Y11" i="71"/>
  <c r="Z11" i="71" s="1"/>
  <c r="Y14" i="71"/>
  <c r="Z14" i="71" s="1"/>
  <c r="AB15" i="71"/>
  <c r="AB12" i="71"/>
  <c r="AB11" i="71"/>
  <c r="AB14" i="71"/>
  <c r="AB13" i="71"/>
  <c r="C46" i="71"/>
  <c r="C60" i="71"/>
  <c r="D60" i="71" s="1"/>
  <c r="D57" i="71"/>
  <c r="AA3" i="71"/>
  <c r="AB18" i="71"/>
  <c r="X17" i="71"/>
  <c r="X28" i="71"/>
  <c r="C28" i="71"/>
  <c r="X25" i="71"/>
  <c r="AA22" i="71"/>
  <c r="AA20" i="71"/>
  <c r="AA23" i="71"/>
  <c r="B30" i="71"/>
  <c r="S30" i="71" s="1"/>
  <c r="X23" i="71"/>
  <c r="B18" i="71"/>
  <c r="X18" i="71"/>
  <c r="C20" i="71"/>
  <c r="Y18" i="71"/>
  <c r="Z18" i="71" s="1"/>
  <c r="F20" i="71"/>
  <c r="F21" i="71" s="1"/>
  <c r="F22" i="71" s="1"/>
  <c r="V22" i="71" s="1"/>
  <c r="AB19" i="71"/>
  <c r="AB20" i="71"/>
  <c r="Y22" i="71"/>
  <c r="Z22" i="71" s="1"/>
  <c r="AA18" i="71"/>
  <c r="C24" i="71"/>
  <c r="Y23" i="71"/>
  <c r="Z23" i="71" s="1"/>
  <c r="F24" i="71"/>
  <c r="F25" i="71" s="1"/>
  <c r="F26" i="71" s="1"/>
  <c r="V26" i="71" s="1"/>
  <c r="AB23" i="71"/>
  <c r="Y24" i="71"/>
  <c r="Z24" i="71" s="1"/>
  <c r="AA24" i="71"/>
  <c r="X21" i="71"/>
  <c r="X22" i="71"/>
  <c r="AA25" i="71"/>
  <c r="AB17" i="71"/>
  <c r="Y16" i="71"/>
  <c r="Z16" i="71" s="1"/>
  <c r="Y17" i="71"/>
  <c r="Z17" i="71" s="1"/>
  <c r="X16" i="71"/>
  <c r="AA16" i="71"/>
  <c r="F28" i="71"/>
  <c r="F29" i="71" s="1"/>
  <c r="F30" i="71" s="1"/>
  <c r="V30" i="71" s="1"/>
  <c r="AB27" i="71"/>
  <c r="AA27" i="71"/>
  <c r="AA28" i="71"/>
  <c r="X29" i="71"/>
  <c r="X27" i="71"/>
  <c r="D74" i="71"/>
  <c r="C73" i="71"/>
  <c r="AB16" i="71"/>
  <c r="E25" i="71"/>
  <c r="E26" i="71" s="1"/>
  <c r="U26" i="71" s="1"/>
  <c r="B26" i="71"/>
  <c r="S26" i="71" s="1"/>
  <c r="X20" i="71"/>
  <c r="Y25" i="71"/>
  <c r="Z25" i="71" s="1"/>
  <c r="AB26" i="71"/>
  <c r="S58" i="71"/>
  <c r="B57" i="71"/>
  <c r="AA19" i="71"/>
  <c r="Y20" i="71"/>
  <c r="Z20" i="71" s="1"/>
  <c r="Y21" i="71"/>
  <c r="Z21" i="71" s="1"/>
  <c r="AB21" i="71"/>
  <c r="AB22" i="71"/>
  <c r="AB24" i="71"/>
  <c r="F70" i="15"/>
  <c r="F52" i="15"/>
  <c r="F20" i="6"/>
  <c r="E20" i="6" s="1"/>
  <c r="K7" i="1" s="1"/>
  <c r="D29" i="43"/>
  <c r="D1" i="43" s="1"/>
  <c r="E12" i="6"/>
  <c r="C29" i="39"/>
  <c r="B66" i="43"/>
  <c r="J53" i="15"/>
  <c r="F1" i="15" s="1"/>
  <c r="F34" i="79"/>
  <c r="F62" i="79" s="1"/>
  <c r="M20" i="79"/>
  <c r="C94" i="9"/>
  <c r="C92" i="9"/>
  <c r="F31" i="12"/>
  <c r="C31" i="12" s="1"/>
  <c r="F28" i="15"/>
  <c r="C28" i="15" s="1"/>
  <c r="F30" i="11"/>
  <c r="C48" i="11" s="1"/>
  <c r="D68" i="9"/>
  <c r="M18" i="67"/>
  <c r="F28" i="67"/>
  <c r="C28" i="67" s="1"/>
  <c r="F30" i="68"/>
  <c r="C30" i="68" s="1"/>
  <c r="C36" i="68"/>
  <c r="C36" i="11"/>
  <c r="C30" i="11"/>
  <c r="F54" i="9"/>
  <c r="M18" i="15"/>
  <c r="F32" i="15"/>
  <c r="F60" i="15" s="1"/>
  <c r="F30" i="69"/>
  <c r="C48" i="69" s="1"/>
  <c r="F32" i="67"/>
  <c r="F60" i="67" s="1"/>
  <c r="F52" i="9"/>
  <c r="F32" i="79"/>
  <c r="F60" i="79" s="1"/>
  <c r="F28" i="79"/>
  <c r="C28" i="79" s="1"/>
  <c r="M18" i="79"/>
  <c r="C40" i="69"/>
  <c r="D23" i="67"/>
  <c r="AA29" i="33"/>
  <c r="W29" i="33"/>
  <c r="AB25" i="33"/>
  <c r="S25" i="33"/>
  <c r="AC10" i="33"/>
  <c r="S9" i="33"/>
  <c r="S8" i="33"/>
  <c r="U7" i="33"/>
  <c r="E11" i="43"/>
  <c r="E9" i="43"/>
  <c r="E10" i="43"/>
  <c r="E8" i="43"/>
  <c r="L27" i="6"/>
  <c r="E56" i="39"/>
  <c r="E51" i="40"/>
  <c r="AQ9" i="1"/>
  <c r="D9" i="69"/>
  <c r="C9" i="69" s="1"/>
  <c r="E13" i="6"/>
  <c r="E15" i="6"/>
  <c r="P6" i="1"/>
  <c r="O12" i="1"/>
  <c r="P12" i="1" s="1"/>
  <c r="O8" i="1"/>
  <c r="P8" i="1" s="1"/>
  <c r="O14" i="1"/>
  <c r="P14" i="1" s="1"/>
  <c r="Q16" i="1"/>
  <c r="P11" i="1"/>
  <c r="AZ13" i="3"/>
  <c r="O9" i="1"/>
  <c r="P9" i="1" s="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C11" i="43"/>
  <c r="AC13" i="43" s="1"/>
  <c r="AA11" i="43"/>
  <c r="AA13" i="43" s="1"/>
  <c r="Y11" i="43"/>
  <c r="Y13" i="43" s="1"/>
  <c r="J22" i="43"/>
  <c r="T35" i="4"/>
  <c r="A19" i="51" s="1"/>
  <c r="B14" i="72" s="1"/>
  <c r="C16" i="43"/>
  <c r="C5" i="43" s="1"/>
  <c r="H49" i="43"/>
  <c r="A15" i="62"/>
  <c r="B61" i="72" s="1"/>
  <c r="W7" i="33"/>
  <c r="AC7" i="33"/>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C70" i="39"/>
  <c r="D68" i="39"/>
  <c r="D58" i="21"/>
  <c r="C74" i="9"/>
  <c r="C48" i="68"/>
  <c r="B7" i="49"/>
  <c r="E7" i="49"/>
  <c r="B15" i="49"/>
  <c r="AB3" i="71"/>
  <c r="X3" i="71"/>
  <c r="E10" i="49"/>
  <c r="B6" i="49"/>
  <c r="E14" i="49"/>
  <c r="AF3" i="71"/>
  <c r="P24" i="43" s="1"/>
  <c r="B66" i="40" s="1"/>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69" i="15"/>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E20" i="43"/>
  <c r="B8"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AE6" i="1"/>
  <c r="C14" i="67"/>
  <c r="C16" i="15"/>
  <c r="F13" i="15"/>
  <c r="C17" i="67"/>
  <c r="G1" i="73"/>
  <c r="F7" i="79"/>
  <c r="M29" i="15"/>
  <c r="C16" i="67"/>
  <c r="F43" i="79"/>
  <c r="AB26" i="33" l="1"/>
  <c r="S27" i="33"/>
  <c r="E237" i="3"/>
  <c r="E431" i="3"/>
  <c r="E201" i="3"/>
  <c r="E301" i="3"/>
  <c r="E136" i="3"/>
  <c r="E236" i="3"/>
  <c r="E269" i="3"/>
  <c r="E89" i="3"/>
  <c r="E252" i="3"/>
  <c r="E204" i="3"/>
  <c r="E164" i="3"/>
  <c r="E327" i="3"/>
  <c r="E448" i="3"/>
  <c r="E486" i="3"/>
  <c r="E469" i="3"/>
  <c r="E507" i="3"/>
  <c r="E422" i="3"/>
  <c r="E408" i="3"/>
  <c r="E440" i="3"/>
  <c r="E451" i="3"/>
  <c r="E490" i="3"/>
  <c r="AH6" i="3"/>
  <c r="E419" i="3"/>
  <c r="E452" i="3"/>
  <c r="E483" i="3"/>
  <c r="E470" i="3"/>
  <c r="E401" i="3"/>
  <c r="E420" i="3"/>
  <c r="E463" i="3"/>
  <c r="E26" i="3"/>
  <c r="E40" i="3"/>
  <c r="E104" i="3"/>
  <c r="E25" i="3"/>
  <c r="E41" i="3"/>
  <c r="E108" i="3"/>
  <c r="E115" i="3"/>
  <c r="E178" i="3"/>
  <c r="E198" i="3"/>
  <c r="E119" i="3"/>
  <c r="E139" i="3"/>
  <c r="E225" i="3"/>
  <c r="E242" i="3"/>
  <c r="E281" i="3"/>
  <c r="E243" i="3"/>
  <c r="E276" i="3"/>
  <c r="AL6" i="3"/>
  <c r="E42" i="3"/>
  <c r="E60" i="3"/>
  <c r="E94" i="3"/>
  <c r="E488" i="3"/>
  <c r="E428" i="3"/>
  <c r="E482" i="3"/>
  <c r="E412" i="3"/>
  <c r="E18" i="3"/>
  <c r="E78" i="3"/>
  <c r="E190" i="3"/>
  <c r="E174" i="3"/>
  <c r="E220" i="3"/>
  <c r="E275" i="3"/>
  <c r="E235" i="3"/>
  <c r="E383" i="3"/>
  <c r="E35" i="3"/>
  <c r="E86" i="3"/>
  <c r="E34" i="3"/>
  <c r="E49" i="3"/>
  <c r="E206" i="3"/>
  <c r="E232" i="3"/>
  <c r="AF6" i="3"/>
  <c r="E80" i="3"/>
  <c r="E158" i="3"/>
  <c r="E287" i="3"/>
  <c r="E308" i="3"/>
  <c r="E22" i="3"/>
  <c r="E83" i="3"/>
  <c r="E304" i="3"/>
  <c r="E579" i="3"/>
  <c r="E229" i="3"/>
  <c r="AN6" i="3"/>
  <c r="E423" i="3"/>
  <c r="E245" i="3"/>
  <c r="E156" i="3"/>
  <c r="E228" i="3"/>
  <c r="E149" i="3"/>
  <c r="E271" i="3"/>
  <c r="E199" i="3"/>
  <c r="E585" i="3"/>
  <c r="R6" i="3"/>
  <c r="E421" i="3"/>
  <c r="E472" i="3"/>
  <c r="E485" i="3"/>
  <c r="E406" i="3"/>
  <c r="E400" i="3"/>
  <c r="E449" i="3"/>
  <c r="E465" i="3"/>
  <c r="E345" i="3"/>
  <c r="I3" i="6"/>
  <c r="E587" i="3"/>
  <c r="E577" i="3"/>
  <c r="E435" i="3"/>
  <c r="E468" i="3"/>
  <c r="E489" i="3"/>
  <c r="E417" i="3"/>
  <c r="E454" i="3"/>
  <c r="E28" i="3"/>
  <c r="E56" i="3"/>
  <c r="E106" i="3"/>
  <c r="E70" i="3"/>
  <c r="E95" i="3"/>
  <c r="E146" i="3"/>
  <c r="E182" i="3"/>
  <c r="E132" i="3"/>
  <c r="E171" i="3"/>
  <c r="E211" i="3"/>
  <c r="E214" i="3"/>
  <c r="E273" i="3"/>
  <c r="E292" i="3"/>
  <c r="E315" i="3"/>
  <c r="E377" i="3"/>
  <c r="E349" i="3"/>
  <c r="E362" i="3"/>
  <c r="E544" i="3"/>
  <c r="E109" i="3"/>
  <c r="E59" i="3"/>
  <c r="E409" i="3"/>
  <c r="E484" i="3"/>
  <c r="E446" i="3"/>
  <c r="E79" i="3"/>
  <c r="E46" i="3"/>
  <c r="E138" i="3"/>
  <c r="E137" i="3"/>
  <c r="E200" i="3"/>
  <c r="E209" i="3"/>
  <c r="E371" i="3"/>
  <c r="E354" i="3"/>
  <c r="AQ6" i="3"/>
  <c r="E84" i="3"/>
  <c r="E48" i="3"/>
  <c r="E123" i="3"/>
  <c r="E184" i="3"/>
  <c r="E284" i="3"/>
  <c r="E364" i="3"/>
  <c r="E68" i="3"/>
  <c r="E19" i="3"/>
  <c r="E264" i="3"/>
  <c r="E151" i="3"/>
  <c r="E385" i="3"/>
  <c r="E402" i="3"/>
  <c r="E196" i="3"/>
  <c r="E188" i="3"/>
  <c r="E157" i="3"/>
  <c r="E253" i="3"/>
  <c r="E107" i="3"/>
  <c r="AD6" i="3"/>
  <c r="E552" i="3"/>
  <c r="E442" i="3"/>
  <c r="E474" i="3"/>
  <c r="E527" i="3"/>
  <c r="E430" i="3"/>
  <c r="E432" i="3"/>
  <c r="E477" i="3"/>
  <c r="E344" i="3"/>
  <c r="E500" i="3"/>
  <c r="E581" i="3"/>
  <c r="E537" i="3"/>
  <c r="E450" i="3"/>
  <c r="E491" i="3"/>
  <c r="E546" i="3"/>
  <c r="E447" i="3"/>
  <c r="E55" i="3"/>
  <c r="E90" i="3"/>
  <c r="E57" i="3"/>
  <c r="E168" i="3"/>
  <c r="E192" i="3"/>
  <c r="E272" i="3"/>
  <c r="E210" i="3"/>
  <c r="E274" i="3"/>
  <c r="E348" i="3"/>
  <c r="E378" i="3"/>
  <c r="E334" i="3"/>
  <c r="E14" i="3"/>
  <c r="E31" i="3"/>
  <c r="E76" i="3"/>
  <c r="E29" i="3"/>
  <c r="E441" i="3"/>
  <c r="E15" i="3"/>
  <c r="E47" i="3"/>
  <c r="E65" i="3"/>
  <c r="E160" i="3"/>
  <c r="E194" i="3"/>
  <c r="E219" i="3"/>
  <c r="E307" i="3"/>
  <c r="E247" i="3"/>
  <c r="E518" i="3"/>
  <c r="E303" i="3"/>
  <c r="E99" i="3"/>
  <c r="E207" i="3"/>
  <c r="E145" i="3"/>
  <c r="E478" i="3"/>
  <c r="E548" i="3"/>
  <c r="E438" i="3"/>
  <c r="E443" i="3"/>
  <c r="E374" i="3"/>
  <c r="E505" i="3"/>
  <c r="E517" i="3"/>
  <c r="E444" i="3"/>
  <c r="E520" i="3"/>
  <c r="E436" i="3"/>
  <c r="E71" i="3"/>
  <c r="E37" i="3"/>
  <c r="E111" i="3"/>
  <c r="E187" i="3"/>
  <c r="E155" i="3"/>
  <c r="E256" i="3"/>
  <c r="E241" i="3"/>
  <c r="E351" i="3"/>
  <c r="E357" i="3"/>
  <c r="E375" i="3"/>
  <c r="E580" i="3"/>
  <c r="E44" i="3"/>
  <c r="E75" i="3"/>
  <c r="E473" i="3"/>
  <c r="E467" i="3"/>
  <c r="E100" i="3"/>
  <c r="E142" i="3"/>
  <c r="E267" i="3"/>
  <c r="E339" i="3"/>
  <c r="E392" i="3"/>
  <c r="E66" i="3"/>
  <c r="E67" i="3"/>
  <c r="E144" i="3"/>
  <c r="E289" i="3"/>
  <c r="E341" i="3"/>
  <c r="E51" i="3"/>
  <c r="E81" i="3"/>
  <c r="E323" i="3"/>
  <c r="E524" i="3"/>
  <c r="E21" i="3"/>
  <c r="E318" i="3"/>
  <c r="E195" i="3"/>
  <c r="E310" i="3"/>
  <c r="E36" i="3"/>
  <c r="E250" i="3"/>
  <c r="E50" i="3"/>
  <c r="E179" i="3"/>
  <c r="E373" i="3"/>
  <c r="E239" i="3"/>
  <c r="AI6" i="3"/>
  <c r="E263" i="3"/>
  <c r="E148" i="3"/>
  <c r="E77" i="3"/>
  <c r="E499" i="3"/>
  <c r="E502" i="3"/>
  <c r="E466" i="3"/>
  <c r="P6" i="3"/>
  <c r="E416" i="3"/>
  <c r="E459" i="3"/>
  <c r="E367" i="3"/>
  <c r="AP6" i="3"/>
  <c r="E571" i="3"/>
  <c r="E413" i="3"/>
  <c r="E460" i="3"/>
  <c r="E496" i="3"/>
  <c r="E479" i="3"/>
  <c r="E54" i="3"/>
  <c r="E131" i="3"/>
  <c r="E203" i="3"/>
  <c r="E186" i="3"/>
  <c r="E279" i="3"/>
  <c r="E257" i="3"/>
  <c r="E316" i="3"/>
  <c r="E394" i="3"/>
  <c r="E384" i="3"/>
  <c r="AM6" i="3"/>
  <c r="E93" i="3"/>
  <c r="E480" i="3"/>
  <c r="E521" i="3"/>
  <c r="E64" i="3"/>
  <c r="E103" i="3"/>
  <c r="E163" i="3"/>
  <c r="E249" i="3"/>
  <c r="E386" i="3"/>
  <c r="E492" i="3"/>
  <c r="E52" i="3"/>
  <c r="E112" i="3"/>
  <c r="E127" i="3"/>
  <c r="E233" i="3"/>
  <c r="E381" i="3"/>
  <c r="E20" i="3"/>
  <c r="E154" i="3"/>
  <c r="E222" i="3"/>
  <c r="E365" i="3"/>
  <c r="E513" i="3"/>
  <c r="E569" i="3"/>
  <c r="E578" i="3"/>
  <c r="E159" i="3"/>
  <c r="E181" i="3"/>
  <c r="E212" i="3"/>
  <c r="E286" i="3"/>
  <c r="E542" i="3"/>
  <c r="E411" i="3"/>
  <c r="E487" i="3"/>
  <c r="E398" i="3"/>
  <c r="E424" i="3"/>
  <c r="E255" i="3"/>
  <c r="E562" i="3"/>
  <c r="W6" i="3"/>
  <c r="E582" i="3"/>
  <c r="E429" i="3"/>
  <c r="E476" i="3"/>
  <c r="E433" i="3"/>
  <c r="E475" i="3"/>
  <c r="E88" i="3"/>
  <c r="E73" i="3"/>
  <c r="E162" i="3"/>
  <c r="E208" i="3"/>
  <c r="E295" i="3"/>
  <c r="E259" i="3"/>
  <c r="E331" i="3"/>
  <c r="E317" i="3"/>
  <c r="E389" i="3"/>
  <c r="E30" i="3"/>
  <c r="E110" i="3"/>
  <c r="E540" i="3"/>
  <c r="E425" i="3"/>
  <c r="E98" i="3"/>
  <c r="E170" i="3"/>
  <c r="E248" i="3"/>
  <c r="E325" i="3"/>
  <c r="E24" i="3"/>
  <c r="E33" i="3"/>
  <c r="E147" i="3"/>
  <c r="E340" i="3"/>
  <c r="Y6" i="3"/>
  <c r="E63" i="3"/>
  <c r="E118" i="3"/>
  <c r="E265" i="3"/>
  <c r="E82" i="3"/>
  <c r="E396" i="3"/>
  <c r="E353" i="3"/>
  <c r="E382" i="3"/>
  <c r="E191" i="3"/>
  <c r="E122" i="3"/>
  <c r="E379" i="3"/>
  <c r="U6" i="3"/>
  <c r="E464" i="3"/>
  <c r="E481" i="3"/>
  <c r="E414" i="3"/>
  <c r="E457" i="3"/>
  <c r="E558" i="3"/>
  <c r="AE6" i="3"/>
  <c r="AS6" i="3"/>
  <c r="E403" i="3"/>
  <c r="E471" i="3"/>
  <c r="E404" i="3"/>
  <c r="E39" i="3"/>
  <c r="E27" i="3"/>
  <c r="E92" i="3"/>
  <c r="E152" i="3"/>
  <c r="E166" i="3"/>
  <c r="E240" i="3"/>
  <c r="E297" i="3"/>
  <c r="E363" i="3"/>
  <c r="E504" i="3"/>
  <c r="E58" i="3"/>
  <c r="E32" i="3"/>
  <c r="E462" i="3"/>
  <c r="E455" i="3"/>
  <c r="E300" i="3"/>
  <c r="E23" i="3"/>
  <c r="E87" i="3"/>
  <c r="E355" i="3"/>
  <c r="E62" i="3"/>
  <c r="E283" i="3"/>
  <c r="E101" i="3"/>
  <c r="E141" i="3"/>
  <c r="E391" i="3"/>
  <c r="E497" i="3"/>
  <c r="AG6" i="3"/>
  <c r="E556" i="3"/>
  <c r="E557" i="3"/>
  <c r="E312" i="3"/>
  <c r="E113" i="3"/>
  <c r="E333" i="3"/>
  <c r="E370" i="3"/>
  <c r="J6" i="3"/>
  <c r="E13" i="3"/>
  <c r="AO6" i="3"/>
  <c r="E528" i="3"/>
  <c r="E574" i="3"/>
  <c r="E285" i="3"/>
  <c r="E314" i="3"/>
  <c r="E16" i="3"/>
  <c r="E434" i="3"/>
  <c r="E296" i="3"/>
  <c r="E189" i="3"/>
  <c r="E134" i="3"/>
  <c r="E91" i="3"/>
  <c r="E180" i="3"/>
  <c r="E85" i="3"/>
  <c r="E238" i="3"/>
  <c r="E116" i="3"/>
  <c r="E105" i="3"/>
  <c r="E393" i="3"/>
  <c r="E493" i="3"/>
  <c r="E564" i="3"/>
  <c r="E543" i="3"/>
  <c r="E427" i="3"/>
  <c r="E445" i="3"/>
  <c r="E563" i="3"/>
  <c r="E125" i="3"/>
  <c r="E366" i="3"/>
  <c r="E553" i="3"/>
  <c r="E282" i="3"/>
  <c r="N6" i="3"/>
  <c r="E329" i="3"/>
  <c r="E545" i="3"/>
  <c r="E510" i="3"/>
  <c r="E352" i="3"/>
  <c r="E205" i="3"/>
  <c r="E128" i="3"/>
  <c r="E358" i="3"/>
  <c r="E559" i="3"/>
  <c r="E551" i="3"/>
  <c r="V6" i="3"/>
  <c r="E407" i="3"/>
  <c r="E320" i="3"/>
  <c r="E294" i="3"/>
  <c r="E230" i="3"/>
  <c r="E503" i="3"/>
  <c r="E337" i="3"/>
  <c r="E368" i="3"/>
  <c r="E161" i="3"/>
  <c r="E277" i="3"/>
  <c r="E133" i="3"/>
  <c r="E560" i="3"/>
  <c r="E114" i="3"/>
  <c r="E501" i="3"/>
  <c r="E328" i="3"/>
  <c r="E336" i="3"/>
  <c r="E293" i="3"/>
  <c r="E506" i="3"/>
  <c r="E338" i="3"/>
  <c r="E547" i="3"/>
  <c r="E516" i="3"/>
  <c r="E121" i="3"/>
  <c r="E342" i="3"/>
  <c r="E531" i="3"/>
  <c r="E554" i="3"/>
  <c r="E372" i="3"/>
  <c r="E572" i="3"/>
  <c r="E346" i="3"/>
  <c r="E498" i="3"/>
  <c r="E350" i="3"/>
  <c r="E576" i="3"/>
  <c r="E183" i="3"/>
  <c r="E388" i="3"/>
  <c r="E410" i="3"/>
  <c r="E143" i="3"/>
  <c r="E568" i="3"/>
  <c r="E536" i="3"/>
  <c r="E453" i="3"/>
  <c r="E244" i="3"/>
  <c r="E169" i="3"/>
  <c r="E61" i="3"/>
  <c r="E290" i="3"/>
  <c r="E117" i="3"/>
  <c r="E45" i="3"/>
  <c r="E224" i="3"/>
  <c r="E193" i="3"/>
  <c r="E313" i="3"/>
  <c r="E519" i="3"/>
  <c r="E532" i="3"/>
  <c r="E573" i="3"/>
  <c r="E529" i="3"/>
  <c r="E458" i="3"/>
  <c r="E260" i="3"/>
  <c r="E415" i="3"/>
  <c r="E175" i="3"/>
  <c r="E530" i="3"/>
  <c r="E343" i="3"/>
  <c r="E305" i="3"/>
  <c r="E508" i="3"/>
  <c r="E347" i="3"/>
  <c r="AA6" i="3"/>
  <c r="E399" i="3"/>
  <c r="E280" i="3"/>
  <c r="E124" i="3"/>
  <c r="E270" i="3"/>
  <c r="E533" i="3"/>
  <c r="AR6" i="3"/>
  <c r="E561" i="3"/>
  <c r="E538" i="3"/>
  <c r="E439" i="3"/>
  <c r="E380" i="3"/>
  <c r="E231" i="3"/>
  <c r="E565" i="3"/>
  <c r="E555" i="3"/>
  <c r="I6" i="3"/>
  <c r="H6" i="3" s="1"/>
  <c r="E549" i="3"/>
  <c r="E185" i="3"/>
  <c r="E120" i="3"/>
  <c r="E330" i="3"/>
  <c r="E550" i="3"/>
  <c r="E53" i="3"/>
  <c r="E153" i="3"/>
  <c r="E583" i="3"/>
  <c r="E390" i="3"/>
  <c r="E418" i="3"/>
  <c r="E298" i="3"/>
  <c r="E515" i="3"/>
  <c r="E324" i="3"/>
  <c r="E360" i="3"/>
  <c r="E495" i="3"/>
  <c r="E376" i="3"/>
  <c r="E522" i="3"/>
  <c r="E356" i="3"/>
  <c r="E586" i="3"/>
  <c r="E17" i="3"/>
  <c r="E69" i="3"/>
  <c r="E361" i="3"/>
  <c r="O6" i="3"/>
  <c r="E359" i="3"/>
  <c r="E97" i="3"/>
  <c r="E511" i="3"/>
  <c r="AK6" i="3"/>
  <c r="E306" i="3"/>
  <c r="E262" i="3"/>
  <c r="E130" i="3"/>
  <c r="E254" i="3"/>
  <c r="E221" i="3"/>
  <c r="E140" i="3"/>
  <c r="E223" i="3"/>
  <c r="E197" i="3"/>
  <c r="E173" i="3"/>
  <c r="E369" i="3"/>
  <c r="E525" i="3"/>
  <c r="E534" i="3"/>
  <c r="T6" i="3"/>
  <c r="E405" i="3"/>
  <c r="E456" i="3"/>
  <c r="E172" i="3"/>
  <c r="E278" i="3"/>
  <c r="E217" i="3"/>
  <c r="E526" i="3"/>
  <c r="E268" i="3"/>
  <c r="E322" i="3"/>
  <c r="AJ6" i="3"/>
  <c r="E539" i="3"/>
  <c r="E567" i="3"/>
  <c r="E461" i="3"/>
  <c r="E227" i="3"/>
  <c r="E165" i="3"/>
  <c r="E311" i="3"/>
  <c r="E514" i="3"/>
  <c r="E570" i="3"/>
  <c r="M6" i="3"/>
  <c r="AB6" i="3"/>
  <c r="E387" i="3"/>
  <c r="E335" i="3"/>
  <c r="E215" i="3"/>
  <c r="E261" i="3"/>
  <c r="E397" i="3"/>
  <c r="E216" i="3"/>
  <c r="E135" i="3"/>
  <c r="E177" i="3"/>
  <c r="K6" i="3"/>
  <c r="Q6" i="3"/>
  <c r="E437" i="3"/>
  <c r="E395" i="3"/>
  <c r="E319" i="3"/>
  <c r="E426" i="3"/>
  <c r="X6" i="3"/>
  <c r="E246" i="3"/>
  <c r="S6" i="3"/>
  <c r="E523" i="3"/>
  <c r="E321" i="3"/>
  <c r="E309" i="3"/>
  <c r="E494" i="3"/>
  <c r="E129" i="3"/>
  <c r="Z6" i="3"/>
  <c r="E509" i="3"/>
  <c r="E332" i="3"/>
  <c r="E512" i="3"/>
  <c r="E541" i="3"/>
  <c r="E535" i="3"/>
  <c r="E326" i="3"/>
  <c r="L6" i="3"/>
  <c r="E302" i="3"/>
  <c r="AZ19" i="3"/>
  <c r="BL5" i="3"/>
  <c r="E167" i="3"/>
  <c r="E150" i="3"/>
  <c r="E566" i="3"/>
  <c r="E575" i="3"/>
  <c r="AC12" i="34"/>
  <c r="W12" i="34"/>
  <c r="S45" i="39"/>
  <c r="AA45" i="39"/>
  <c r="AA23" i="36"/>
  <c r="S23" i="36"/>
  <c r="W29" i="21"/>
  <c r="AC29" i="21"/>
  <c r="AZ558" i="3"/>
  <c r="AB32" i="40"/>
  <c r="U32" i="40"/>
  <c r="U44" i="39"/>
  <c r="AB44" i="39"/>
  <c r="AC19" i="33"/>
  <c r="W19" i="33"/>
  <c r="AZ543" i="3"/>
  <c r="AZ556" i="3"/>
  <c r="S33" i="36"/>
  <c r="AA33" i="36"/>
  <c r="AB9" i="37"/>
  <c r="U9" i="37"/>
  <c r="AB24" i="35"/>
  <c r="U24" i="35"/>
  <c r="AC27" i="33"/>
  <c r="E72" i="3"/>
  <c r="E38" i="3"/>
  <c r="E176" i="3"/>
  <c r="E291" i="3"/>
  <c r="E258" i="3"/>
  <c r="E266" i="3"/>
  <c r="E234" i="3"/>
  <c r="AC26" i="33"/>
  <c r="W26" i="33"/>
  <c r="S9" i="36"/>
  <c r="AA9" i="36"/>
  <c r="U9" i="35"/>
  <c r="AB9" i="35"/>
  <c r="U45" i="39"/>
  <c r="AB45" i="39"/>
  <c r="AB28" i="34"/>
  <c r="U28" i="34"/>
  <c r="AB35" i="39"/>
  <c r="U35" i="39"/>
  <c r="AC32" i="40"/>
  <c r="W32" i="40"/>
  <c r="AC44" i="39"/>
  <c r="W44" i="39"/>
  <c r="E10" i="6"/>
  <c r="AB23" i="36"/>
  <c r="U23" i="36"/>
  <c r="E28" i="6"/>
  <c r="AC9" i="37"/>
  <c r="W9" i="37"/>
  <c r="AC24" i="35"/>
  <c r="W24" i="35"/>
  <c r="AA25" i="36"/>
  <c r="S25" i="36"/>
  <c r="F7" i="35"/>
  <c r="AA7" i="35" s="1"/>
  <c r="R38" i="35" s="1"/>
  <c r="E96" i="3"/>
  <c r="E74" i="3"/>
  <c r="E43" i="3"/>
  <c r="E202" i="3"/>
  <c r="E288" i="3"/>
  <c r="E218" i="3"/>
  <c r="AB9" i="36"/>
  <c r="U9" i="36"/>
  <c r="S12" i="34"/>
  <c r="AA12" i="34"/>
  <c r="W9" i="35"/>
  <c r="AC9" i="35"/>
  <c r="W28" i="34"/>
  <c r="AC28" i="34"/>
  <c r="AB29" i="21"/>
  <c r="U29" i="21"/>
  <c r="AZ577" i="3"/>
  <c r="AA35" i="39"/>
  <c r="S35" i="39"/>
  <c r="U13" i="39"/>
  <c r="AB13" i="39"/>
  <c r="W14" i="21"/>
  <c r="AC14" i="21"/>
  <c r="F29" i="6"/>
  <c r="E29" i="6" s="1"/>
  <c r="K15" i="1" s="1"/>
  <c r="AC23" i="36"/>
  <c r="W23" i="36"/>
  <c r="AB9" i="33"/>
  <c r="U9" i="33"/>
  <c r="U13" i="37"/>
  <c r="AB13" i="37"/>
  <c r="AA9" i="37"/>
  <c r="S9" i="37"/>
  <c r="W25" i="36"/>
  <c r="AC25" i="36"/>
  <c r="D41" i="71"/>
  <c r="C42" i="71"/>
  <c r="E102" i="3"/>
  <c r="C30" i="69"/>
  <c r="H7" i="35"/>
  <c r="AE13" i="43"/>
  <c r="M7" i="1"/>
  <c r="F27" i="6"/>
  <c r="O55" i="71"/>
  <c r="C68" i="71"/>
  <c r="D68" i="71" s="1"/>
  <c r="AB27" i="33"/>
  <c r="I21" i="66"/>
  <c r="D1" i="66" s="1"/>
  <c r="E10" i="66" s="1"/>
  <c r="AZ89" i="3"/>
  <c r="E126" i="3"/>
  <c r="E299" i="3"/>
  <c r="E251" i="3"/>
  <c r="E226" i="3"/>
  <c r="E213" i="3"/>
  <c r="AZ477" i="3"/>
  <c r="AZ5" i="3" s="1"/>
  <c r="AC25" i="37"/>
  <c r="W25" i="37"/>
  <c r="S37" i="39"/>
  <c r="AA37" i="39"/>
  <c r="E584" i="3"/>
  <c r="U12" i="34"/>
  <c r="AB12" i="34"/>
  <c r="AC45" i="39"/>
  <c r="W45" i="39"/>
  <c r="S28" i="34"/>
  <c r="AA28" i="34"/>
  <c r="S29" i="21"/>
  <c r="AA29" i="21"/>
  <c r="BA5" i="3"/>
  <c r="AZ566" i="3"/>
  <c r="AZ575" i="3"/>
  <c r="AA32" i="40"/>
  <c r="S32" i="40"/>
  <c r="W13" i="39"/>
  <c r="AC13" i="39"/>
  <c r="AB14" i="21"/>
  <c r="U14" i="21"/>
  <c r="AZ531" i="3"/>
  <c r="AZ539" i="3"/>
  <c r="AZ554" i="3"/>
  <c r="U33" i="36"/>
  <c r="AB33" i="36"/>
  <c r="W13" i="37"/>
  <c r="AC13" i="37"/>
  <c r="S24" i="35"/>
  <c r="AA24" i="35"/>
  <c r="E14" i="6"/>
  <c r="AB25" i="36"/>
  <c r="U25" i="36"/>
  <c r="E11" i="6"/>
  <c r="U12" i="33"/>
  <c r="AB12" i="33"/>
  <c r="AA12" i="33"/>
  <c r="S12" i="33"/>
  <c r="AB36" i="33"/>
  <c r="U36" i="33"/>
  <c r="W36" i="33"/>
  <c r="AC36" i="33"/>
  <c r="AA36" i="33"/>
  <c r="S36" i="33"/>
  <c r="S17" i="33"/>
  <c r="AA17" i="33"/>
  <c r="U17" i="33"/>
  <c r="AC17" i="33"/>
  <c r="V48" i="33" s="1"/>
  <c r="I48" i="33" s="1"/>
  <c r="I52" i="33" s="1"/>
  <c r="J52" i="33" s="1"/>
  <c r="W17" i="33"/>
  <c r="AC15" i="33"/>
  <c r="W15" i="33"/>
  <c r="AA15" i="33"/>
  <c r="S15" i="33"/>
  <c r="AB15" i="33"/>
  <c r="T48" i="33" s="1"/>
  <c r="G48" i="33" s="1"/>
  <c r="G52" i="33" s="1"/>
  <c r="H52" i="33" s="1"/>
  <c r="U15" i="33"/>
  <c r="J7" i="36"/>
  <c r="J7" i="35"/>
  <c r="E65" i="40"/>
  <c r="F63" i="40"/>
  <c r="O56" i="71"/>
  <c r="T50" i="71"/>
  <c r="D50" i="71"/>
  <c r="D17" i="71"/>
  <c r="C16" i="71"/>
  <c r="D16" i="71" s="1"/>
  <c r="D33" i="71"/>
  <c r="C34" i="71"/>
  <c r="C25" i="71"/>
  <c r="D24" i="71"/>
  <c r="C29" i="71"/>
  <c r="D28" i="71"/>
  <c r="D73" i="71"/>
  <c r="C72" i="71"/>
  <c r="D72" i="71" s="1"/>
  <c r="D20" i="71"/>
  <c r="C21" i="71"/>
  <c r="S18" i="71"/>
  <c r="B17" i="71"/>
  <c r="B16" i="71" s="1"/>
  <c r="D46" i="71"/>
  <c r="T46" i="71"/>
  <c r="N57" i="71"/>
  <c r="B56" i="71"/>
  <c r="P21" i="43"/>
  <c r="P22" i="43"/>
  <c r="P23" i="43"/>
  <c r="B71" i="39" s="1"/>
  <c r="F71" i="79"/>
  <c r="M7" i="79"/>
  <c r="F50" i="79"/>
  <c r="E57" i="40"/>
  <c r="E62" i="39"/>
  <c r="AC6" i="3"/>
  <c r="Q52" i="15"/>
  <c r="AG6" i="1"/>
  <c r="E27" i="6"/>
  <c r="K24" i="6" s="1"/>
  <c r="M24" i="6" s="1"/>
  <c r="I24" i="6" s="1"/>
  <c r="S24" i="6" s="1"/>
  <c r="F11" i="79"/>
  <c r="M11" i="79"/>
  <c r="D22" i="43"/>
  <c r="E60" i="40"/>
  <c r="E65" i="39"/>
  <c r="K26" i="6"/>
  <c r="M26" i="6" s="1"/>
  <c r="I26" i="6" s="1"/>
  <c r="S26" i="6" s="1"/>
  <c r="E58" i="40"/>
  <c r="E63" i="39"/>
  <c r="O7" i="1"/>
  <c r="O16" i="1" s="1"/>
  <c r="F27" i="69"/>
  <c r="F27" i="68"/>
  <c r="F27" i="11"/>
  <c r="F28" i="12"/>
  <c r="C29" i="12" s="1"/>
  <c r="D28" i="12" s="1"/>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D5" i="43"/>
  <c r="B4" i="62"/>
  <c r="B71" i="72" s="1"/>
  <c r="K4" i="4"/>
  <c r="B46" i="48" s="1"/>
  <c r="B4" i="72" s="1"/>
  <c r="E58" i="21"/>
  <c r="F58" i="21" s="1"/>
  <c r="G58" i="21" s="1"/>
  <c r="H58" i="21" s="1"/>
  <c r="I58" i="21" s="1"/>
  <c r="J58" i="21" s="1"/>
  <c r="K58" i="21" s="1"/>
  <c r="L58" i="21" s="1"/>
  <c r="M58" i="21" s="1"/>
  <c r="N58" i="21" s="1"/>
  <c r="O58" i="21" s="1"/>
  <c r="H7" i="21"/>
  <c r="D70" i="39"/>
  <c r="E68" i="39"/>
  <c r="U7" i="36"/>
  <c r="AB7" i="36"/>
  <c r="T36" i="36" s="1"/>
  <c r="G36" i="36" s="1"/>
  <c r="AC7" i="36"/>
  <c r="V36" i="36" s="1"/>
  <c r="I36" i="36" s="1"/>
  <c r="W7" i="36"/>
  <c r="H7" i="37"/>
  <c r="U7" i="35"/>
  <c r="AB7" i="35"/>
  <c r="T38" i="35" s="1"/>
  <c r="G38" i="35" s="1"/>
  <c r="W7" i="35"/>
  <c r="AC7" i="35"/>
  <c r="V38" i="35" s="1"/>
  <c r="I38" i="35" s="1"/>
  <c r="J7" i="21"/>
  <c r="F7" i="21"/>
  <c r="F7" i="36"/>
  <c r="G59" i="34"/>
  <c r="J7" i="37"/>
  <c r="F7" i="37"/>
  <c r="P25" i="43"/>
  <c r="C49" i="67"/>
  <c r="C49" i="15"/>
  <c r="B40" i="1"/>
  <c r="F24" i="79" s="1"/>
  <c r="C18" i="67"/>
  <c r="C15" i="67"/>
  <c r="M11" i="15"/>
  <c r="F11" i="67"/>
  <c r="F11" i="15"/>
  <c r="M11" i="67"/>
  <c r="J10" i="67" s="1"/>
  <c r="J5" i="67" s="1"/>
  <c r="Q73" i="67"/>
  <c r="Q60" i="67"/>
  <c r="P17" i="43"/>
  <c r="M17" i="43"/>
  <c r="N17" i="43"/>
  <c r="O17" i="43"/>
  <c r="Q60" i="15"/>
  <c r="Q73" i="15"/>
  <c r="Q74" i="15"/>
  <c r="Q61" i="15"/>
  <c r="Q61" i="67"/>
  <c r="Q74" i="67"/>
  <c r="M23" i="79"/>
  <c r="F26" i="79"/>
  <c r="C76" i="79"/>
  <c r="F9" i="79"/>
  <c r="F13" i="79"/>
  <c r="M27" i="15"/>
  <c r="M29" i="79"/>
  <c r="L48" i="79"/>
  <c r="F42" i="79"/>
  <c r="L47" i="79"/>
  <c r="F37" i="79"/>
  <c r="M9" i="79"/>
  <c r="J15" i="79"/>
  <c r="M8" i="79"/>
  <c r="M28" i="79"/>
  <c r="M6" i="79"/>
  <c r="F38" i="79"/>
  <c r="M24" i="79"/>
  <c r="M27" i="79"/>
  <c r="F16" i="79"/>
  <c r="M26" i="79"/>
  <c r="F36" i="79"/>
  <c r="F40" i="79"/>
  <c r="F8" i="79"/>
  <c r="M22" i="79"/>
  <c r="F51" i="79" l="1"/>
  <c r="F68" i="79"/>
  <c r="F64" i="79"/>
  <c r="F66" i="79"/>
  <c r="F65" i="79"/>
  <c r="N59" i="79"/>
  <c r="M59" i="79"/>
  <c r="L58" i="79"/>
  <c r="L59" i="79"/>
  <c r="J57" i="79"/>
  <c r="J55" i="79" s="1"/>
  <c r="J58" i="79" s="1"/>
  <c r="Q50" i="79" s="1"/>
  <c r="I54" i="79"/>
  <c r="J53" i="79"/>
  <c r="Q71" i="79"/>
  <c r="C27" i="79"/>
  <c r="AY6" i="3"/>
  <c r="AY87" i="3" s="1"/>
  <c r="E3" i="6"/>
  <c r="E64" i="39"/>
  <c r="E59" i="40"/>
  <c r="F31" i="6"/>
  <c r="F30" i="6"/>
  <c r="C49" i="79"/>
  <c r="J6" i="79"/>
  <c r="J10" i="79" s="1"/>
  <c r="J5" i="79" s="1"/>
  <c r="J24" i="79" s="1"/>
  <c r="E56" i="40"/>
  <c r="E61" i="39"/>
  <c r="T42" i="71"/>
  <c r="D42" i="71"/>
  <c r="E16" i="6"/>
  <c r="E30" i="6"/>
  <c r="K14" i="1"/>
  <c r="S7" i="35"/>
  <c r="E66" i="39"/>
  <c r="R48" i="33"/>
  <c r="E48" i="33" s="1"/>
  <c r="E52" i="33" s="1"/>
  <c r="F52" i="33" s="1"/>
  <c r="G53" i="33"/>
  <c r="H53" i="33" s="1"/>
  <c r="F65" i="40"/>
  <c r="G63" i="40"/>
  <c r="D34" i="71"/>
  <c r="T34" i="71"/>
  <c r="D29" i="71"/>
  <c r="C30" i="71"/>
  <c r="D25" i="71"/>
  <c r="C26" i="71"/>
  <c r="D21" i="71"/>
  <c r="C22" i="71"/>
  <c r="N56" i="71"/>
  <c r="N55" i="71"/>
  <c r="K19" i="6"/>
  <c r="S6" i="1" s="1"/>
  <c r="T6" i="1" s="1"/>
  <c r="E6" i="3"/>
  <c r="K20" i="6"/>
  <c r="M20" i="6" s="1"/>
  <c r="I20" i="6" s="1"/>
  <c r="S20" i="6" s="1"/>
  <c r="K21" i="6"/>
  <c r="M21" i="6" s="1"/>
  <c r="I21" i="6" s="1"/>
  <c r="S21" i="6" s="1"/>
  <c r="K25" i="6"/>
  <c r="M25" i="6" s="1"/>
  <c r="I25" i="6" s="1"/>
  <c r="S25" i="6" s="1"/>
  <c r="E31" i="6"/>
  <c r="K22" i="6"/>
  <c r="M22" i="6" s="1"/>
  <c r="I22" i="6" s="1"/>
  <c r="S22" i="6" s="1"/>
  <c r="K23" i="6"/>
  <c r="M23" i="6" s="1"/>
  <c r="I23" i="6" s="1"/>
  <c r="S23" i="6" s="1"/>
  <c r="C24" i="79"/>
  <c r="C53" i="79"/>
  <c r="C48" i="79" s="1"/>
  <c r="G20" i="43"/>
  <c r="C20" i="43" s="1"/>
  <c r="H6" i="1"/>
  <c r="M19" i="6"/>
  <c r="C47" i="11"/>
  <c r="D45" i="11" s="1"/>
  <c r="C29" i="11"/>
  <c r="D27" i="11" s="1"/>
  <c r="C47" i="69"/>
  <c r="D45" i="69" s="1"/>
  <c r="C29" i="69"/>
  <c r="D27" i="69" s="1"/>
  <c r="P7" i="1"/>
  <c r="P16" i="1" s="1"/>
  <c r="C11" i="12" s="1"/>
  <c r="D3" i="34"/>
  <c r="D3" i="33"/>
  <c r="E6" i="6"/>
  <c r="C17" i="4"/>
  <c r="B4" i="52" s="1"/>
  <c r="B43" i="72" s="1"/>
  <c r="L18" i="9"/>
  <c r="D3" i="37"/>
  <c r="D3" i="21"/>
  <c r="D19" i="11"/>
  <c r="C19" i="11" s="1"/>
  <c r="D14" i="12"/>
  <c r="M18" i="9"/>
  <c r="B118" i="9" s="1"/>
  <c r="B14" i="74" s="1"/>
  <c r="B1" i="74" s="1"/>
  <c r="I76" i="77" s="1"/>
  <c r="D37" i="11"/>
  <c r="C37" i="11" s="1"/>
  <c r="C29" i="68"/>
  <c r="D27" i="68" s="1"/>
  <c r="C47" i="68"/>
  <c r="D45" i="68" s="1"/>
  <c r="AY66" i="3"/>
  <c r="AY176" i="3"/>
  <c r="AY115" i="3"/>
  <c r="AY188" i="3"/>
  <c r="AY276" i="3"/>
  <c r="AY297" i="3"/>
  <c r="AY225" i="3"/>
  <c r="AY196" i="3"/>
  <c r="AY74" i="3"/>
  <c r="AY204"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132" i="3"/>
  <c r="AY220" i="3"/>
  <c r="AY470" i="3"/>
  <c r="AY180" i="3"/>
  <c r="AY358" i="3"/>
  <c r="AY433" i="3"/>
  <c r="AY541" i="3"/>
  <c r="AY45" i="3"/>
  <c r="AY201" i="3"/>
  <c r="AY118" i="3"/>
  <c r="AY231" i="3"/>
  <c r="AY381" i="3"/>
  <c r="AY104" i="3"/>
  <c r="AY177" i="3"/>
  <c r="AY210" i="3"/>
  <c r="AY332" i="3"/>
  <c r="AY446" i="3"/>
  <c r="BM6" i="3"/>
  <c r="AY510" i="3"/>
  <c r="AY556" i="3"/>
  <c r="AY90" i="3"/>
  <c r="AY460" i="3"/>
  <c r="AY327" i="3"/>
  <c r="BE6" i="3"/>
  <c r="AY185" i="3"/>
  <c r="AY262" i="3"/>
  <c r="AY73" i="3"/>
  <c r="AY388" i="3"/>
  <c r="AY430" i="3"/>
  <c r="BG6"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73" i="3"/>
  <c r="AY533" i="3"/>
  <c r="AY247" i="3"/>
  <c r="AY242" i="3"/>
  <c r="AY495" i="3"/>
  <c r="AY64" i="3"/>
  <c r="AY113" i="3"/>
  <c r="AY361" i="3"/>
  <c r="AY479" i="3"/>
  <c r="AY402" i="3"/>
  <c r="AY522" i="3"/>
  <c r="BP6" i="3"/>
  <c r="AY19" i="3"/>
  <c r="AY265" i="3"/>
  <c r="AY315" i="3"/>
  <c r="AY500" i="3"/>
  <c r="AY71" i="3"/>
  <c r="AY143" i="3"/>
  <c r="AY386" i="3"/>
  <c r="AY443" i="3"/>
  <c r="BT6" i="3"/>
  <c r="AY441" i="3"/>
  <c r="AY97" i="3"/>
  <c r="AY230" i="3"/>
  <c r="AY353" i="3"/>
  <c r="AY501" i="3"/>
  <c r="AY32" i="3"/>
  <c r="AY298" i="3"/>
  <c r="AY352" i="3"/>
  <c r="AY492" i="3"/>
  <c r="AY431" i="3"/>
  <c r="AY575" i="3"/>
  <c r="AY563" i="3"/>
  <c r="AY203" i="3"/>
  <c r="AY233" i="3"/>
  <c r="AY330" i="3"/>
  <c r="AY13" i="3"/>
  <c r="AY39" i="3"/>
  <c r="AY136" i="3"/>
  <c r="AY375" i="3"/>
  <c r="AY432" i="3"/>
  <c r="AY567" i="3"/>
  <c r="C115" i="43"/>
  <c r="D113" i="43" s="1"/>
  <c r="S5" i="43"/>
  <c r="S3" i="43"/>
  <c r="C23" i="43"/>
  <c r="C21" i="43" s="1"/>
  <c r="S7" i="43"/>
  <c r="S2" i="43"/>
  <c r="S6" i="43"/>
  <c r="S4" i="43"/>
  <c r="AA7" i="37"/>
  <c r="R42" i="37" s="1"/>
  <c r="S7" i="37"/>
  <c r="S7" i="36"/>
  <c r="AA7" i="36"/>
  <c r="R36" i="36" s="1"/>
  <c r="S7" i="21"/>
  <c r="AA7" i="21"/>
  <c r="R48" i="21" s="1"/>
  <c r="G40" i="36"/>
  <c r="H40" i="36" s="1"/>
  <c r="G41" i="36"/>
  <c r="H41" i="36" s="1"/>
  <c r="F68" i="39"/>
  <c r="E70" i="39"/>
  <c r="AB7" i="21"/>
  <c r="T48" i="21" s="1"/>
  <c r="G48" i="21" s="1"/>
  <c r="U7" i="21"/>
  <c r="E38" i="35"/>
  <c r="R39" i="35"/>
  <c r="AC7" i="37"/>
  <c r="V42" i="37" s="1"/>
  <c r="I42" i="37" s="1"/>
  <c r="W7" i="37"/>
  <c r="H59" i="34"/>
  <c r="AC7" i="21"/>
  <c r="V48" i="21" s="1"/>
  <c r="I48" i="21" s="1"/>
  <c r="W7" i="21"/>
  <c r="I42" i="35"/>
  <c r="J42" i="35" s="1"/>
  <c r="I43" i="35"/>
  <c r="J43" i="35" s="1"/>
  <c r="G42" i="35"/>
  <c r="H42" i="35" s="1"/>
  <c r="G43" i="35"/>
  <c r="H43" i="35" s="1"/>
  <c r="AB7" i="37"/>
  <c r="T42" i="37" s="1"/>
  <c r="G42" i="37" s="1"/>
  <c r="U7" i="37"/>
  <c r="I40" i="36"/>
  <c r="J40" i="36" s="1"/>
  <c r="C19" i="67"/>
  <c r="C20" i="67" s="1"/>
  <c r="C26" i="67" s="1"/>
  <c r="J24" i="67"/>
  <c r="J26" i="67"/>
  <c r="J29" i="67" s="1"/>
  <c r="J18" i="67"/>
  <c r="C53" i="67"/>
  <c r="C48" i="67" s="1"/>
  <c r="C10" i="67"/>
  <c r="C5" i="67" s="1"/>
  <c r="C53" i="15"/>
  <c r="C48" i="15" s="1"/>
  <c r="C10" i="15"/>
  <c r="C5" i="15" s="1"/>
  <c r="F24" i="67"/>
  <c r="C24" i="67" s="1"/>
  <c r="F22" i="68"/>
  <c r="F22" i="11"/>
  <c r="F22" i="69"/>
  <c r="F25" i="12"/>
  <c r="F24" i="15"/>
  <c r="C24" i="15" s="1"/>
  <c r="C17" i="15"/>
  <c r="C14" i="15"/>
  <c r="C16" i="79"/>
  <c r="R49" i="33" l="1"/>
  <c r="C48" i="33" s="1"/>
  <c r="I53" i="33"/>
  <c r="J53" i="33" s="1"/>
  <c r="AY583" i="3"/>
  <c r="AY474" i="3"/>
  <c r="AY208" i="3"/>
  <c r="AY175" i="3"/>
  <c r="AY102" i="3"/>
  <c r="AY421" i="3"/>
  <c r="AY347" i="3"/>
  <c r="AY296" i="3"/>
  <c r="AY30" i="3"/>
  <c r="AY548" i="3"/>
  <c r="AY564" i="3"/>
  <c r="AY418" i="3"/>
  <c r="AY304" i="3"/>
  <c r="AY385" i="3"/>
  <c r="AY122" i="3"/>
  <c r="AY49" i="3"/>
  <c r="AY534" i="3"/>
  <c r="AY295" i="3"/>
  <c r="AY283" i="3"/>
  <c r="AY549" i="3"/>
  <c r="AY366" i="3"/>
  <c r="AY566" i="3"/>
  <c r="AY477" i="3"/>
  <c r="AY240" i="3"/>
  <c r="AY164" i="3"/>
  <c r="AY107" i="3"/>
  <c r="AY408" i="3"/>
  <c r="AY359" i="3"/>
  <c r="AY301" i="3"/>
  <c r="AY62" i="3"/>
  <c r="AY545" i="3"/>
  <c r="AY538" i="3"/>
  <c r="AY434" i="3"/>
  <c r="AY320" i="3"/>
  <c r="AY396" i="3"/>
  <c r="AY153" i="3"/>
  <c r="AY81" i="3"/>
  <c r="BQ6" i="3"/>
  <c r="AY166" i="3"/>
  <c r="AY133" i="3"/>
  <c r="AY420" i="3"/>
  <c r="AY237" i="3"/>
  <c r="AY504" i="3"/>
  <c r="AY550" i="3"/>
  <c r="AY459" i="3"/>
  <c r="AY323" i="3"/>
  <c r="AY213" i="3"/>
  <c r="AY273" i="3"/>
  <c r="AY159" i="3"/>
  <c r="AY27" i="3"/>
  <c r="AY86" i="3"/>
  <c r="AY512" i="3"/>
  <c r="AY405" i="3"/>
  <c r="AY466" i="3"/>
  <c r="AY331" i="3"/>
  <c r="AY221" i="3"/>
  <c r="AY280" i="3"/>
  <c r="AY167" i="3"/>
  <c r="AY35" i="3"/>
  <c r="AY94" i="3"/>
  <c r="AY531" i="3"/>
  <c r="AY509" i="3"/>
  <c r="D3" i="6"/>
  <c r="D21" i="6" s="1"/>
  <c r="AY579" i="3"/>
  <c r="AY410" i="3"/>
  <c r="AY453" i="3"/>
  <c r="AY487" i="3"/>
  <c r="AY313" i="3"/>
  <c r="AY369" i="3"/>
  <c r="AY266" i="3"/>
  <c r="AY129" i="3"/>
  <c r="AY189" i="3"/>
  <c r="AY80" i="3"/>
  <c r="AY519" i="3"/>
  <c r="AY571" i="3"/>
  <c r="AY472" i="3"/>
  <c r="AY259" i="3"/>
  <c r="BH6" i="3"/>
  <c r="AY278" i="3"/>
  <c r="AY33" i="3"/>
  <c r="AY544" i="3"/>
  <c r="AY217" i="3"/>
  <c r="AY303" i="3"/>
  <c r="AY18" i="3"/>
  <c r="AY532" i="3"/>
  <c r="AY546" i="3"/>
  <c r="AY581" i="3"/>
  <c r="AY457" i="3"/>
  <c r="AY317" i="3"/>
  <c r="AY274" i="3"/>
  <c r="AY197" i="3"/>
  <c r="BJ6" i="3"/>
  <c r="AY392" i="3"/>
  <c r="AY263" i="3"/>
  <c r="AY149" i="3"/>
  <c r="AY206" i="3"/>
  <c r="AY77" i="3"/>
  <c r="AY569" i="3"/>
  <c r="AY452" i="3"/>
  <c r="AY395" i="3"/>
  <c r="AY106" i="3"/>
  <c r="AY318" i="3"/>
  <c r="AY147" i="3"/>
  <c r="AY191"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61" i="3"/>
  <c r="AY289" i="3"/>
  <c r="AY50" i="3"/>
  <c r="AY236" i="3"/>
  <c r="AY168" i="3"/>
  <c r="AY281" i="3"/>
  <c r="AY42" i="3"/>
  <c r="AY124" i="3"/>
  <c r="AY207" i="3"/>
  <c r="AY51" i="3"/>
  <c r="AY15" i="3"/>
  <c r="AY322" i="3"/>
  <c r="AY272" i="3"/>
  <c r="AY195" i="3"/>
  <c r="AY576" i="3"/>
  <c r="AY440" i="3"/>
  <c r="AY383" i="3"/>
  <c r="AY120" i="3"/>
  <c r="AY47" i="3"/>
  <c r="AY530" i="3"/>
  <c r="AY17" i="3"/>
  <c r="AY450" i="3"/>
  <c r="AY336" i="3"/>
  <c r="AY218" i="3"/>
  <c r="AY142" i="3"/>
  <c r="AY112" i="3"/>
  <c r="AY398" i="3"/>
  <c r="AY56" i="3"/>
  <c r="AY154" i="3"/>
  <c r="AY310" i="3"/>
  <c r="AY163" i="3"/>
  <c r="AY521" i="3"/>
  <c r="AY307" i="3"/>
  <c r="AY257" i="3"/>
  <c r="AY200" i="3"/>
  <c r="AY568" i="3"/>
  <c r="AY451" i="3"/>
  <c r="AY394" i="3"/>
  <c r="AY151" i="3"/>
  <c r="AY79" i="3"/>
  <c r="AY551" i="3"/>
  <c r="AY505" i="3"/>
  <c r="AY445" i="3"/>
  <c r="AY305" i="3"/>
  <c r="AY250" i="3"/>
  <c r="AY174" i="3"/>
  <c r="AY523" i="3"/>
  <c r="AY462" i="3"/>
  <c r="AY109" i="3"/>
  <c r="AY190" i="3"/>
  <c r="AY372" i="3"/>
  <c r="AY171"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14" i="3"/>
  <c r="AY585" i="3"/>
  <c r="AY316" i="3"/>
  <c r="AY145" i="3"/>
  <c r="AY374" i="3"/>
  <c r="AY125" i="3"/>
  <c r="AY76" i="3"/>
  <c r="AY401" i="3"/>
  <c r="AY300" i="3"/>
  <c r="AY382" i="3"/>
  <c r="AY577" i="3"/>
  <c r="AY508" i="3"/>
  <c r="BF6" i="3"/>
  <c r="AY427" i="3"/>
  <c r="AY488" i="3"/>
  <c r="AY349" i="3"/>
  <c r="AY290" i="3"/>
  <c r="AY24" i="3"/>
  <c r="AY554" i="3"/>
  <c r="AY214" i="3"/>
  <c r="AY294" i="3"/>
  <c r="AY138" i="3"/>
  <c r="AY28" i="3"/>
  <c r="AY108" i="3"/>
  <c r="BK6" i="3"/>
  <c r="AY465" i="3"/>
  <c r="AY228" i="3"/>
  <c r="AY409" i="3"/>
  <c r="AY335" i="3"/>
  <c r="AY292" i="3"/>
  <c r="AY82"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52" i="3"/>
  <c r="AY123" i="3"/>
  <c r="AY139" i="3"/>
  <c r="AY67" i="3"/>
  <c r="AY268" i="3"/>
  <c r="AY58" i="3"/>
  <c r="AY131" i="3"/>
  <c r="AY59" i="3"/>
  <c r="AY155" i="3"/>
  <c r="AY23" i="3"/>
  <c r="AY83" i="3"/>
  <c r="M14" i="1"/>
  <c r="M16" i="1" s="1"/>
  <c r="C34" i="69"/>
  <c r="K16" i="1"/>
  <c r="B29" i="1" s="1"/>
  <c r="C8" i="68" s="1"/>
  <c r="Q74" i="79"/>
  <c r="Q61" i="79"/>
  <c r="AY413" i="3"/>
  <c r="AY339" i="3"/>
  <c r="AY288" i="3"/>
  <c r="AY22" i="3"/>
  <c r="AY528" i="3"/>
  <c r="AY482" i="3"/>
  <c r="AY216" i="3"/>
  <c r="AY140" i="3"/>
  <c r="AY110" i="3"/>
  <c r="AY537" i="3"/>
  <c r="AY399" i="3"/>
  <c r="AY461" i="3"/>
  <c r="AY321" i="3"/>
  <c r="AY235" i="3"/>
  <c r="AY205" i="3"/>
  <c r="AY582" i="3"/>
  <c r="AY475" i="3"/>
  <c r="AY360" i="3"/>
  <c r="AY44" i="3"/>
  <c r="AY260" i="3"/>
  <c r="AY98" i="3"/>
  <c r="AY400" i="3"/>
  <c r="AY351" i="3"/>
  <c r="AY293" i="3"/>
  <c r="AY54" i="3"/>
  <c r="AY547" i="3"/>
  <c r="AY485" i="3"/>
  <c r="AY248" i="3"/>
  <c r="AY172" i="3"/>
  <c r="AY493" i="3"/>
  <c r="AY515" i="3"/>
  <c r="AY415" i="3"/>
  <c r="AY476" i="3"/>
  <c r="AY337" i="3"/>
  <c r="AY267" i="3"/>
  <c r="AY21" i="3"/>
  <c r="AY494" i="3"/>
  <c r="AY348" i="3"/>
  <c r="AY397" i="3"/>
  <c r="AY61" i="3"/>
  <c r="AY26"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84" i="3"/>
  <c r="AY411" i="3"/>
  <c r="AY333" i="3"/>
  <c r="AY202" i="3"/>
  <c r="AY219" i="3"/>
  <c r="AY165" i="3"/>
  <c r="AY92" i="3"/>
  <c r="AY463" i="3"/>
  <c r="AY529" i="3"/>
  <c r="AY75" i="3"/>
  <c r="AY496" i="3"/>
  <c r="AY16" i="3"/>
  <c r="AY561" i="3"/>
  <c r="AY414" i="3"/>
  <c r="AY491" i="3"/>
  <c r="AY377" i="3"/>
  <c r="AY114" i="3"/>
  <c r="AY41" i="3"/>
  <c r="AY357" i="3"/>
  <c r="AY246" i="3"/>
  <c r="AY299" i="3"/>
  <c r="AY170" i="3"/>
  <c r="AY60" i="3"/>
  <c r="AY553" i="3"/>
  <c r="AY513" i="3"/>
  <c r="AY342" i="3"/>
  <c r="AY245" i="3"/>
  <c r="AY428" i="3"/>
  <c r="AY371" i="3"/>
  <c r="AY31"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84" i="3"/>
  <c r="AY183" i="3"/>
  <c r="AY160" i="3"/>
  <c r="AY103" i="3"/>
  <c r="AY253" i="3"/>
  <c r="AY111" i="3"/>
  <c r="AY152" i="3"/>
  <c r="AY95" i="3"/>
  <c r="AY144" i="3"/>
  <c r="AY34" i="3"/>
  <c r="L56" i="79"/>
  <c r="F1" i="79"/>
  <c r="Q52" i="79"/>
  <c r="Q60" i="79"/>
  <c r="Q73" i="79"/>
  <c r="C49" i="33"/>
  <c r="B2" i="33" s="1"/>
  <c r="B3" i="33" s="1"/>
  <c r="E53" i="33"/>
  <c r="F53" i="33" s="1"/>
  <c r="I78" i="77"/>
  <c r="J78" i="77" s="1"/>
  <c r="AR6" i="1"/>
  <c r="G65" i="40"/>
  <c r="H63" i="40"/>
  <c r="AQ6" i="1"/>
  <c r="T22" i="71"/>
  <c r="D22" i="71"/>
  <c r="T26" i="71"/>
  <c r="D26" i="71"/>
  <c r="M19" i="43"/>
  <c r="D30" i="71"/>
  <c r="T30" i="71"/>
  <c r="J18" i="79"/>
  <c r="I67" i="77"/>
  <c r="C18" i="15"/>
  <c r="C15" i="15"/>
  <c r="K27" i="6"/>
  <c r="E6" i="70"/>
  <c r="S7" i="1"/>
  <c r="E7" i="70" s="1"/>
  <c r="E41" i="43"/>
  <c r="C41" i="43" s="1"/>
  <c r="C66" i="79"/>
  <c r="C60" i="79"/>
  <c r="G6" i="1"/>
  <c r="G16" i="1" s="1"/>
  <c r="H16" i="1"/>
  <c r="M27" i="6"/>
  <c r="I19" i="6"/>
  <c r="C7" i="74"/>
  <c r="C8" i="74"/>
  <c r="C20" i="11"/>
  <c r="C28" i="11" s="1"/>
  <c r="C27" i="11" s="1"/>
  <c r="C15" i="12"/>
  <c r="C12" i="12"/>
  <c r="D15" i="6"/>
  <c r="D20" i="6"/>
  <c r="D13" i="6"/>
  <c r="H21" i="6"/>
  <c r="M19" i="9"/>
  <c r="C118" i="9" s="1"/>
  <c r="C14" i="74" s="1"/>
  <c r="B2" i="74" s="1"/>
  <c r="D8" i="6"/>
  <c r="D9" i="6"/>
  <c r="H25" i="6"/>
  <c r="D17" i="12"/>
  <c r="C17" i="12" s="1"/>
  <c r="C14" i="12"/>
  <c r="D10" i="11"/>
  <c r="C10" i="11" s="1"/>
  <c r="D20" i="12"/>
  <c r="C20" i="12" s="1"/>
  <c r="C18" i="12" s="1"/>
  <c r="D10" i="69"/>
  <c r="D10" i="68"/>
  <c r="I59" i="34"/>
  <c r="I46" i="37"/>
  <c r="J46" i="37" s="1"/>
  <c r="E43" i="35"/>
  <c r="F43" i="35" s="1"/>
  <c r="E42" i="35"/>
  <c r="F42" i="35" s="1"/>
  <c r="E48" i="21"/>
  <c r="I53" i="21" s="1"/>
  <c r="J53" i="21" s="1"/>
  <c r="R49" i="21"/>
  <c r="E36" i="36"/>
  <c r="R37" i="36"/>
  <c r="G46" i="37"/>
  <c r="H46" i="37" s="1"/>
  <c r="G47" i="37"/>
  <c r="H47" i="37" s="1"/>
  <c r="I52" i="21"/>
  <c r="J52" i="21" s="1"/>
  <c r="C38" i="35"/>
  <c r="C39" i="35"/>
  <c r="B2" i="35" s="1"/>
  <c r="B3" i="35" s="1"/>
  <c r="G53" i="21"/>
  <c r="H53" i="21" s="1"/>
  <c r="G52" i="21"/>
  <c r="H52" i="21" s="1"/>
  <c r="G68" i="39"/>
  <c r="F70" i="39"/>
  <c r="E42" i="37"/>
  <c r="I47" i="37" s="1"/>
  <c r="J47" i="37" s="1"/>
  <c r="R43" i="37"/>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AE7" i="1"/>
  <c r="F41" i="79" s="1"/>
  <c r="C17" i="79"/>
  <c r="R24" i="31" l="1"/>
  <c r="F69" i="79"/>
  <c r="C34" i="11"/>
  <c r="N16" i="1"/>
  <c r="L16" i="1"/>
  <c r="C34" i="68"/>
  <c r="H23" i="6"/>
  <c r="R23" i="6" s="1"/>
  <c r="D10" i="6"/>
  <c r="D23" i="6"/>
  <c r="D19" i="6"/>
  <c r="H24" i="6"/>
  <c r="R24" i="6" s="1"/>
  <c r="D28" i="6"/>
  <c r="D30" i="6" s="1"/>
  <c r="D5" i="6"/>
  <c r="D22" i="6"/>
  <c r="E2" i="70"/>
  <c r="C38" i="69"/>
  <c r="C35" i="69"/>
  <c r="R21" i="6"/>
  <c r="D29" i="6"/>
  <c r="D6" i="6"/>
  <c r="C18" i="4"/>
  <c r="H20" i="6"/>
  <c r="H22" i="6"/>
  <c r="R22" i="6" s="1"/>
  <c r="D11" i="6"/>
  <c r="D24" i="6"/>
  <c r="D25" i="6"/>
  <c r="I70" i="77"/>
  <c r="U7" i="1" s="1"/>
  <c r="H26" i="6"/>
  <c r="L19" i="9"/>
  <c r="D14" i="6"/>
  <c r="D26" i="6"/>
  <c r="R26" i="6" s="1"/>
  <c r="H19" i="6"/>
  <c r="E61" i="40"/>
  <c r="D12" i="6"/>
  <c r="K78" i="77"/>
  <c r="H65" i="40"/>
  <c r="I63" i="40"/>
  <c r="C19" i="15"/>
  <c r="C20" i="15" s="1"/>
  <c r="C26" i="15" s="1"/>
  <c r="S16" i="1"/>
  <c r="AR7" i="1"/>
  <c r="T7" i="1"/>
  <c r="AQ7" i="1"/>
  <c r="F10" i="39"/>
  <c r="H10" i="40"/>
  <c r="F10" i="40"/>
  <c r="J10" i="39"/>
  <c r="J10" i="40"/>
  <c r="H10" i="39"/>
  <c r="D27" i="6"/>
  <c r="I27" i="6"/>
  <c r="S19" i="6"/>
  <c r="S27" i="6" s="1"/>
  <c r="D16" i="6"/>
  <c r="R25" i="6"/>
  <c r="C16" i="12"/>
  <c r="C21" i="12" s="1"/>
  <c r="C22" i="12" s="1"/>
  <c r="C30" i="12" s="1"/>
  <c r="C28" i="12" s="1"/>
  <c r="C10" i="68"/>
  <c r="D19" i="68"/>
  <c r="D8" i="74"/>
  <c r="D7" i="74"/>
  <c r="R19" i="6"/>
  <c r="R20" i="6"/>
  <c r="R7" i="1" s="1"/>
  <c r="C10" i="69"/>
  <c r="C8" i="69" s="1"/>
  <c r="C5" i="69" s="1"/>
  <c r="D19" i="69"/>
  <c r="A7" i="51"/>
  <c r="B7" i="72" s="1"/>
  <c r="C4" i="52"/>
  <c r="B45" i="72" s="1"/>
  <c r="A10" i="51"/>
  <c r="B9" i="72" s="1"/>
  <c r="C36" i="36"/>
  <c r="C37" i="36"/>
  <c r="B2" i="36" s="1"/>
  <c r="B3" i="36" s="1"/>
  <c r="C48" i="21"/>
  <c r="C49" i="21"/>
  <c r="B2" i="21" s="1"/>
  <c r="B3" i="21" s="1"/>
  <c r="J59" i="34"/>
  <c r="K59" i="34" s="1"/>
  <c r="L59" i="34" s="1"/>
  <c r="M59" i="34" s="1"/>
  <c r="N59" i="34" s="1"/>
  <c r="O59" i="34" s="1"/>
  <c r="F7" i="34"/>
  <c r="C42" i="37"/>
  <c r="C43" i="37"/>
  <c r="B2" i="37" s="1"/>
  <c r="B3" i="37" s="1"/>
  <c r="E47" i="37"/>
  <c r="F47" i="37" s="1"/>
  <c r="E46" i="37"/>
  <c r="F46" i="37" s="1"/>
  <c r="H68" i="39"/>
  <c r="G70" i="39"/>
  <c r="E40" i="36"/>
  <c r="F40" i="36" s="1"/>
  <c r="E41" i="36"/>
  <c r="F41" i="36" s="1"/>
  <c r="I41" i="36"/>
  <c r="J41" i="36" s="1"/>
  <c r="E52" i="21"/>
  <c r="F52" i="21" s="1"/>
  <c r="E53" i="21"/>
  <c r="F53" i="21" s="1"/>
  <c r="H7" i="34"/>
  <c r="C33" i="15"/>
  <c r="J59" i="15"/>
  <c r="J60" i="15" s="1"/>
  <c r="C22" i="11"/>
  <c r="C31" i="11" s="1"/>
  <c r="C33" i="67"/>
  <c r="C31" i="67" s="1"/>
  <c r="J14" i="67"/>
  <c r="C57" i="67"/>
  <c r="C13" i="67"/>
  <c r="J19" i="67"/>
  <c r="J17" i="67" s="1"/>
  <c r="Q49" i="67"/>
  <c r="C36" i="67"/>
  <c r="J59" i="67"/>
  <c r="J60" i="67" s="1"/>
  <c r="M6" i="15"/>
  <c r="C14" i="79"/>
  <c r="F6" i="79"/>
  <c r="S24" i="31" l="1"/>
  <c r="R25" i="31"/>
  <c r="S25" i="31" s="1"/>
  <c r="C6" i="79"/>
  <c r="C10" i="79" s="1"/>
  <c r="C5" i="79" s="1"/>
  <c r="C33" i="79" s="1"/>
  <c r="F50" i="11"/>
  <c r="F50" i="69"/>
  <c r="F50" i="68"/>
  <c r="C38" i="11"/>
  <c r="C35" i="11"/>
  <c r="C33" i="11" s="1"/>
  <c r="H27" i="6"/>
  <c r="C38" i="68"/>
  <c r="C35" i="68"/>
  <c r="D31" i="6"/>
  <c r="J63" i="40"/>
  <c r="I65" i="40"/>
  <c r="C23" i="15"/>
  <c r="C29" i="15" s="1"/>
  <c r="Q49" i="15" s="1"/>
  <c r="J6" i="15"/>
  <c r="J10" i="15" s="1"/>
  <c r="J5" i="15" s="1"/>
  <c r="C18" i="79"/>
  <c r="C15" i="79"/>
  <c r="T16" i="1"/>
  <c r="AB10" i="39"/>
  <c r="U10" i="39"/>
  <c r="W10" i="39"/>
  <c r="AC10" i="39"/>
  <c r="AB10" i="40"/>
  <c r="U10" i="40"/>
  <c r="AC10" i="40"/>
  <c r="W10" i="40"/>
  <c r="S10" i="40"/>
  <c r="AA10" i="40"/>
  <c r="AA10" i="39"/>
  <c r="S10" i="39"/>
  <c r="R27" i="6"/>
  <c r="R6" i="1"/>
  <c r="C19" i="69"/>
  <c r="C24" i="69" s="1"/>
  <c r="D37" i="69"/>
  <c r="C37" i="69" s="1"/>
  <c r="C33" i="69" s="1"/>
  <c r="C19" i="68"/>
  <c r="D37" i="68"/>
  <c r="C37" i="68" s="1"/>
  <c r="C27" i="12"/>
  <c r="C25" i="12" s="1"/>
  <c r="C32" i="12" s="1"/>
  <c r="B2" i="12" s="1"/>
  <c r="B3" i="12" s="1"/>
  <c r="C23" i="69"/>
  <c r="U7" i="34"/>
  <c r="AB7" i="34"/>
  <c r="T49" i="34" s="1"/>
  <c r="G49" i="34" s="1"/>
  <c r="J7" i="34"/>
  <c r="I68" i="39"/>
  <c r="H70" i="39"/>
  <c r="S7" i="34"/>
  <c r="AA7" i="34"/>
  <c r="R49" i="34" s="1"/>
  <c r="Q48" i="67"/>
  <c r="L46" i="67"/>
  <c r="C75" i="67"/>
  <c r="C37" i="67"/>
  <c r="C30" i="67" s="1"/>
  <c r="C39" i="67" s="1"/>
  <c r="Q70" i="67"/>
  <c r="C56" i="67"/>
  <c r="C65" i="67" s="1"/>
  <c r="J13" i="67"/>
  <c r="J23" i="67" s="1"/>
  <c r="J22" i="67"/>
  <c r="Q48" i="15"/>
  <c r="C61" i="67"/>
  <c r="C59" i="67" s="1"/>
  <c r="C64" i="67"/>
  <c r="M21" i="15"/>
  <c r="M21" i="79"/>
  <c r="F35" i="79"/>
  <c r="F35" i="15"/>
  <c r="S22" i="31" l="1"/>
  <c r="R22" i="31" s="1"/>
  <c r="B21" i="31" s="1"/>
  <c r="C38" i="79"/>
  <c r="C32" i="79"/>
  <c r="C33" i="68"/>
  <c r="C39" i="68" s="1"/>
  <c r="C43" i="68" s="1"/>
  <c r="C42" i="11"/>
  <c r="C39" i="11"/>
  <c r="C43" i="11" s="1"/>
  <c r="I5" i="6"/>
  <c r="I6" i="6"/>
  <c r="J65" i="40"/>
  <c r="K63" i="40"/>
  <c r="C13" i="15"/>
  <c r="J14" i="15"/>
  <c r="C36" i="15"/>
  <c r="C57" i="15"/>
  <c r="J24" i="15"/>
  <c r="J18" i="15"/>
  <c r="J19" i="15"/>
  <c r="C19" i="79"/>
  <c r="C20" i="79" s="1"/>
  <c r="C23" i="79" s="1"/>
  <c r="J20" i="15"/>
  <c r="F63" i="15"/>
  <c r="C62" i="15" s="1"/>
  <c r="C34" i="15"/>
  <c r="C31" i="15" s="1"/>
  <c r="J20" i="79"/>
  <c r="F63" i="79"/>
  <c r="C62" i="79" s="1"/>
  <c r="C34" i="79"/>
  <c r="R16" i="1"/>
  <c r="C46" i="11"/>
  <c r="C45" i="11" s="1"/>
  <c r="C20" i="69"/>
  <c r="C25" i="69" s="1"/>
  <c r="C22" i="69" s="1"/>
  <c r="C24" i="68"/>
  <c r="C39" i="69"/>
  <c r="C42" i="69"/>
  <c r="J68" i="39"/>
  <c r="I70" i="39"/>
  <c r="R50" i="34"/>
  <c r="E49" i="34"/>
  <c r="AC7" i="34"/>
  <c r="V49" i="34" s="1"/>
  <c r="I49" i="34" s="1"/>
  <c r="G54" i="34" s="1"/>
  <c r="H54" i="34" s="1"/>
  <c r="W7" i="34"/>
  <c r="G53" i="34"/>
  <c r="H53" i="34" s="1"/>
  <c r="J16" i="67"/>
  <c r="J25" i="67" s="1"/>
  <c r="C40" i="67"/>
  <c r="Q69" i="67"/>
  <c r="Q68" i="67" s="1"/>
  <c r="C58" i="67"/>
  <c r="C67" i="67" s="1"/>
  <c r="C68" i="67" s="1"/>
  <c r="C80" i="67"/>
  <c r="C79" i="67" s="1"/>
  <c r="L51" i="67"/>
  <c r="C42" i="68" l="1"/>
  <c r="B20" i="31"/>
  <c r="C31" i="79"/>
  <c r="C41" i="11"/>
  <c r="L63" i="40"/>
  <c r="K65" i="40"/>
  <c r="Q70" i="15"/>
  <c r="C37" i="15"/>
  <c r="C30" i="15" s="1"/>
  <c r="C39" i="15" s="1"/>
  <c r="C56" i="15"/>
  <c r="C65" i="15" s="1"/>
  <c r="C75" i="15"/>
  <c r="J13" i="15"/>
  <c r="J23" i="15" s="1"/>
  <c r="J22" i="15"/>
  <c r="C64" i="15"/>
  <c r="C61" i="15"/>
  <c r="C59" i="15" s="1"/>
  <c r="J17" i="15"/>
  <c r="C49" i="11"/>
  <c r="C51" i="11" s="1"/>
  <c r="C52" i="11" s="1"/>
  <c r="B2" i="11" s="1"/>
  <c r="B3" i="11" s="1"/>
  <c r="C26" i="79"/>
  <c r="C29" i="79" s="1"/>
  <c r="J59" i="79" s="1"/>
  <c r="J60" i="79" s="1"/>
  <c r="Q48" i="79" s="1"/>
  <c r="C41" i="68"/>
  <c r="C28" i="69"/>
  <c r="C27" i="69" s="1"/>
  <c r="C31" i="69" s="1"/>
  <c r="C46" i="68"/>
  <c r="C45" i="68" s="1"/>
  <c r="C46" i="69"/>
  <c r="C45" i="69" s="1"/>
  <c r="C43" i="69"/>
  <c r="C41" i="69" s="1"/>
  <c r="E54" i="34"/>
  <c r="F54" i="34" s="1"/>
  <c r="E53" i="34"/>
  <c r="F53" i="34" s="1"/>
  <c r="I53" i="34"/>
  <c r="J53" i="34" s="1"/>
  <c r="I54" i="34"/>
  <c r="J54" i="34" s="1"/>
  <c r="C50" i="34"/>
  <c r="B2" i="34" s="1"/>
  <c r="B3" i="34" s="1"/>
  <c r="C49" i="34"/>
  <c r="K68" i="39"/>
  <c r="J70" i="39"/>
  <c r="Q67" i="67"/>
  <c r="L57" i="67"/>
  <c r="L60" i="67" s="1"/>
  <c r="L57" i="15"/>
  <c r="L60" i="15" s="1"/>
  <c r="L46" i="15" s="1"/>
  <c r="C71" i="67"/>
  <c r="C45" i="67"/>
  <c r="C46" i="67" s="1"/>
  <c r="Q56" i="67"/>
  <c r="Q47" i="67"/>
  <c r="Q53" i="67" s="1"/>
  <c r="Q65" i="67"/>
  <c r="C43" i="67"/>
  <c r="D2" i="67"/>
  <c r="C83" i="67"/>
  <c r="C82" i="67" s="1"/>
  <c r="L51" i="15"/>
  <c r="C80" i="15" l="1"/>
  <c r="C79" i="15" s="1"/>
  <c r="M63" i="40"/>
  <c r="L65" i="40"/>
  <c r="Q67" i="15"/>
  <c r="Q69" i="15"/>
  <c r="Q68" i="15" s="1"/>
  <c r="C40" i="15"/>
  <c r="J16" i="15"/>
  <c r="J25" i="15" s="1"/>
  <c r="J26" i="15" s="1"/>
  <c r="J29" i="15" s="1"/>
  <c r="C58" i="15"/>
  <c r="C67" i="15" s="1"/>
  <c r="C68" i="15" s="1"/>
  <c r="C71" i="15" s="1"/>
  <c r="C49" i="68"/>
  <c r="C51" i="68" s="1"/>
  <c r="C57" i="79"/>
  <c r="C13" i="79"/>
  <c r="J14" i="79"/>
  <c r="J19" i="79"/>
  <c r="J17" i="79" s="1"/>
  <c r="C36" i="79"/>
  <c r="Q49" i="79"/>
  <c r="C49" i="69"/>
  <c r="C51" i="69" s="1"/>
  <c r="C52" i="69" s="1"/>
  <c r="B2" i="69" s="1"/>
  <c r="B3" i="69" s="1"/>
  <c r="C56" i="11"/>
  <c r="C57" i="11" s="1"/>
  <c r="L68" i="39"/>
  <c r="K70" i="39"/>
  <c r="Q57" i="15"/>
  <c r="Q66" i="15"/>
  <c r="Q66" i="67"/>
  <c r="Q75" i="67" s="1"/>
  <c r="Q57" i="67"/>
  <c r="Q62" i="67" s="1"/>
  <c r="B2" i="67"/>
  <c r="B3" i="67"/>
  <c r="M65" i="40" l="1"/>
  <c r="N63" i="40"/>
  <c r="Q65" i="15"/>
  <c r="Q75" i="15" s="1"/>
  <c r="C83" i="15"/>
  <c r="C82" i="15" s="1"/>
  <c r="C43" i="15"/>
  <c r="C46" i="15"/>
  <c r="B2" i="15"/>
  <c r="B3" i="15" s="1"/>
  <c r="Q47" i="15"/>
  <c r="Q53" i="15" s="1"/>
  <c r="Q56" i="15"/>
  <c r="Q62" i="15" s="1"/>
  <c r="Q70" i="79"/>
  <c r="C75" i="79"/>
  <c r="C56" i="79"/>
  <c r="C65" i="79" s="1"/>
  <c r="C37" i="79"/>
  <c r="C30" i="79" s="1"/>
  <c r="C39" i="79" s="1"/>
  <c r="J22" i="79"/>
  <c r="J13" i="79"/>
  <c r="J23" i="79" s="1"/>
  <c r="C61" i="79"/>
  <c r="C59" i="79" s="1"/>
  <c r="C64" i="79"/>
  <c r="C57" i="69"/>
  <c r="C56" i="69" s="1"/>
  <c r="M68" i="39"/>
  <c r="L70" i="39"/>
  <c r="E2" i="68"/>
  <c r="AO6" i="1"/>
  <c r="L51" i="79"/>
  <c r="O63" i="40" l="1"/>
  <c r="O65" i="40" s="1"/>
  <c r="N65" i="40"/>
  <c r="J7" i="40" s="1"/>
  <c r="H7" i="40"/>
  <c r="M20" i="43"/>
  <c r="C19" i="43" s="1"/>
  <c r="B6" i="70"/>
  <c r="L57" i="79"/>
  <c r="L60" i="79" s="1"/>
  <c r="Q67" i="79"/>
  <c r="C58" i="79"/>
  <c r="C67" i="79" s="1"/>
  <c r="C68" i="79" s="1"/>
  <c r="C71" i="79" s="1"/>
  <c r="J16" i="79"/>
  <c r="J25" i="79" s="1"/>
  <c r="J26" i="79" s="1"/>
  <c r="J29" i="79" s="1"/>
  <c r="C80" i="79"/>
  <c r="C79" i="79" s="1"/>
  <c r="Q69" i="79"/>
  <c r="Q68" i="79" s="1"/>
  <c r="C40" i="79"/>
  <c r="N68" i="39"/>
  <c r="M70" i="39"/>
  <c r="W7" i="40" l="1"/>
  <c r="AC7" i="40"/>
  <c r="V42" i="40" s="1"/>
  <c r="I42" i="40" s="1"/>
  <c r="AB7" i="40"/>
  <c r="T42" i="40" s="1"/>
  <c r="G42" i="40" s="1"/>
  <c r="U7" i="40"/>
  <c r="F7" i="40"/>
  <c r="T14" i="43"/>
  <c r="V14" i="43" s="1"/>
  <c r="C34" i="43"/>
  <c r="T10" i="43"/>
  <c r="V10" i="43" s="1"/>
  <c r="T7" i="43"/>
  <c r="V7" i="43" s="1"/>
  <c r="T6" i="43"/>
  <c r="V6" i="43" s="1"/>
  <c r="C39" i="43"/>
  <c r="T13" i="43"/>
  <c r="V13" i="43" s="1"/>
  <c r="T8" i="43"/>
  <c r="V8" i="43" s="1"/>
  <c r="T2" i="43"/>
  <c r="V2" i="43" s="1"/>
  <c r="T5" i="43"/>
  <c r="V5" i="43" s="1"/>
  <c r="T15" i="43"/>
  <c r="V15" i="43" s="1"/>
  <c r="C38" i="43"/>
  <c r="T4" i="43"/>
  <c r="V4" i="43" s="1"/>
  <c r="T11" i="43"/>
  <c r="V11" i="43" s="1"/>
  <c r="T12" i="43"/>
  <c r="V12" i="43" s="1"/>
  <c r="T9" i="43"/>
  <c r="V9" i="43" s="1"/>
  <c r="T3" i="43"/>
  <c r="V3" i="43" s="1"/>
  <c r="C37" i="43"/>
  <c r="C35" i="43"/>
  <c r="C36" i="43"/>
  <c r="C29" i="43"/>
  <c r="C33" i="43"/>
  <c r="T16" i="43"/>
  <c r="V16" i="43" s="1"/>
  <c r="C46" i="79"/>
  <c r="Q56" i="79"/>
  <c r="Q65" i="79"/>
  <c r="C83" i="79"/>
  <c r="C82" i="79" s="1"/>
  <c r="C43" i="79"/>
  <c r="Q47" i="79"/>
  <c r="Q53" i="79" s="1"/>
  <c r="L46" i="79"/>
  <c r="B2" i="79" s="1"/>
  <c r="Q57" i="79"/>
  <c r="Q66" i="79"/>
  <c r="O68" i="39"/>
  <c r="O70" i="39" s="1"/>
  <c r="N70" i="39"/>
  <c r="AO7" i="1"/>
  <c r="Q75" i="79" l="1"/>
  <c r="I46" i="40"/>
  <c r="J46" i="40" s="1"/>
  <c r="S7" i="40"/>
  <c r="AA7" i="40"/>
  <c r="R42" i="40" s="1"/>
  <c r="G46" i="40"/>
  <c r="H46" i="40" s="1"/>
  <c r="G47" i="40"/>
  <c r="H47" i="40" s="1"/>
  <c r="E29" i="43"/>
  <c r="C30" i="43"/>
  <c r="E30" i="43" s="1"/>
  <c r="G33" i="43"/>
  <c r="I33" i="43" s="1"/>
  <c r="E33" i="43"/>
  <c r="G36" i="43"/>
  <c r="I36" i="43" s="1"/>
  <c r="E36" i="43"/>
  <c r="G37" i="43"/>
  <c r="I37" i="43" s="1"/>
  <c r="E37" i="43"/>
  <c r="E38" i="43"/>
  <c r="G38" i="43"/>
  <c r="I38" i="43" s="1"/>
  <c r="G39" i="43"/>
  <c r="I39" i="43" s="1"/>
  <c r="E39" i="43"/>
  <c r="G34" i="43"/>
  <c r="I34" i="43" s="1"/>
  <c r="E34" i="43"/>
  <c r="G35" i="43"/>
  <c r="I35" i="43" s="1"/>
  <c r="E35" i="43"/>
  <c r="Q62" i="79"/>
  <c r="B7" i="70"/>
  <c r="B2" i="70" s="1"/>
  <c r="B3" i="79"/>
  <c r="F7" i="39"/>
  <c r="H7" i="39"/>
  <c r="J7" i="39"/>
  <c r="D19" i="9"/>
  <c r="R43" i="40" l="1"/>
  <c r="E42" i="40"/>
  <c r="C27" i="43"/>
  <c r="C26" i="43"/>
  <c r="C6" i="68"/>
  <c r="C7" i="68" s="1"/>
  <c r="C5" i="68" s="1"/>
  <c r="D102" i="9"/>
  <c r="D21" i="9"/>
  <c r="B3" i="70"/>
  <c r="AC7" i="39"/>
  <c r="V47" i="39" s="1"/>
  <c r="I47" i="39" s="1"/>
  <c r="W7" i="39"/>
  <c r="AB7" i="39"/>
  <c r="T47" i="39" s="1"/>
  <c r="G47" i="39" s="1"/>
  <c r="U7" i="39"/>
  <c r="S7" i="39"/>
  <c r="AA7" i="39"/>
  <c r="R47" i="39" s="1"/>
  <c r="D20" i="9"/>
  <c r="E6" i="76"/>
  <c r="C42" i="40" l="1"/>
  <c r="C43" i="40"/>
  <c r="E47" i="40"/>
  <c r="F47" i="40" s="1"/>
  <c r="E46" i="40"/>
  <c r="F46" i="40" s="1"/>
  <c r="I47" i="40"/>
  <c r="J47" i="40" s="1"/>
  <c r="E2" i="76"/>
  <c r="C23" i="68"/>
  <c r="C20" i="68"/>
  <c r="B2" i="43"/>
  <c r="D103" i="9"/>
  <c r="E47" i="39"/>
  <c r="I52" i="39" s="1"/>
  <c r="J52" i="39" s="1"/>
  <c r="R48" i="39"/>
  <c r="G52" i="39"/>
  <c r="H52" i="39" s="1"/>
  <c r="G51" i="39"/>
  <c r="H51" i="39" s="1"/>
  <c r="I51" i="39"/>
  <c r="J51" i="39" s="1"/>
  <c r="B6" i="76"/>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2" i="76"/>
  <c r="B3" i="76" s="1"/>
  <c r="C28" i="68"/>
  <c r="C27" i="68" s="1"/>
  <c r="C25" i="68"/>
  <c r="C22" i="68" s="1"/>
  <c r="B3" i="43"/>
  <c r="C48" i="39"/>
  <c r="C47" i="39"/>
  <c r="E51" i="39"/>
  <c r="F51" i="39" s="1"/>
  <c r="E52" i="39"/>
  <c r="F52" i="39" s="1"/>
  <c r="C31" i="68" l="1"/>
  <c r="C52" i="68" s="1"/>
  <c r="B2" i="68"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19" i="9"/>
  <c r="C57" i="68" l="1"/>
  <c r="C56" i="68" s="1"/>
  <c r="C21" i="9"/>
  <c r="C102" i="9"/>
  <c r="D22" i="9"/>
  <c r="G19" i="9"/>
  <c r="B3" i="68"/>
  <c r="D35" i="9"/>
  <c r="C20" i="9"/>
  <c r="D34" i="9"/>
  <c r="C103" i="9" l="1"/>
  <c r="G20" i="9"/>
  <c r="G21" i="9"/>
  <c r="C32" i="9"/>
  <c r="H118" i="9" l="1"/>
  <c r="C35" i="9"/>
  <c r="F118" i="9" s="1"/>
  <c r="C34" i="9" l="1"/>
  <c r="D118" i="9" s="1"/>
  <c r="D4" i="52" s="1"/>
  <c r="B47" i="72" s="1"/>
  <c r="D14" i="74"/>
  <c r="C104" i="9"/>
  <c r="H4" i="52"/>
  <c r="I118" i="9"/>
  <c r="H119" i="9"/>
  <c r="H5" i="52" s="1"/>
  <c r="H101" i="9"/>
  <c r="F4" i="52"/>
  <c r="B51" i="72" s="1"/>
  <c r="F119" i="9"/>
  <c r="F5" i="52" s="1"/>
  <c r="B53" i="72" s="1"/>
  <c r="G118" i="9"/>
  <c r="G4" i="52" s="1"/>
  <c r="B52" i="72" s="1"/>
  <c r="D119" i="9" l="1"/>
  <c r="D5" i="52" s="1"/>
  <c r="B49" i="72" s="1"/>
  <c r="D45" i="9"/>
  <c r="D5" i="53"/>
  <c r="H107" i="9"/>
  <c r="M48" i="9"/>
  <c r="E118" i="9"/>
  <c r="E4" i="52" s="1"/>
  <c r="B48" i="72" s="1"/>
  <c r="H102" i="9"/>
  <c r="D7" i="53" s="1"/>
  <c r="B21" i="72" s="1"/>
  <c r="C105" i="9"/>
  <c r="I4" i="52"/>
  <c r="F14" i="74"/>
  <c r="E14" i="74"/>
  <c r="H108" i="9" l="1"/>
  <c r="D15" i="53" s="1"/>
  <c r="B31" i="72" s="1"/>
  <c r="D13" i="53"/>
  <c r="D122" i="9"/>
  <c r="D55" i="9"/>
  <c r="M53" i="9" s="1"/>
  <c r="C64" i="9"/>
  <c r="C63" i="9" s="1"/>
  <c r="C67" i="9" s="1"/>
  <c r="C68" i="9" s="1"/>
  <c r="D54" i="9" s="1"/>
  <c r="C85" i="9"/>
  <c r="C93" i="9"/>
  <c r="C86" i="9" s="1"/>
  <c r="C78" i="9"/>
  <c r="C73" i="9" s="1"/>
  <c r="D52" i="9"/>
  <c r="C72" i="9"/>
  <c r="D53" i="9"/>
  <c r="D6" i="53"/>
  <c r="B22" i="72" s="1"/>
  <c r="B20" i="72"/>
  <c r="C79" i="9" l="1"/>
  <c r="C80" i="9" s="1"/>
  <c r="E80" i="9" s="1"/>
  <c r="E81" i="9" s="1"/>
  <c r="C95" i="9"/>
  <c r="D14" i="53"/>
  <c r="B32" i="72" s="1"/>
  <c r="B30" i="72"/>
  <c r="D123" i="9"/>
  <c r="D9" i="52" s="1"/>
  <c r="D8" i="52"/>
  <c r="G14" i="74"/>
  <c r="C81" i="9" l="1"/>
  <c r="C96" i="9"/>
  <c r="E96" i="9" s="1"/>
  <c r="E97" i="9" s="1"/>
  <c r="C97" i="9" l="1"/>
  <c r="D58" i="9" s="1"/>
  <c r="D56" i="9" s="1"/>
  <c r="M54" i="9" s="1"/>
  <c r="N57" i="9" s="1"/>
  <c r="N59" i="9" s="1"/>
  <c r="P57" i="9" l="1"/>
  <c r="N58" i="9"/>
  <c r="N60" i="9"/>
  <c r="N61" i="9"/>
  <c r="D15" i="74" l="1"/>
  <c r="G15" i="74" l="1"/>
  <c r="F15" i="74"/>
  <c r="E15" i="74"/>
  <c r="L78" i="77" l="1"/>
  <c r="L79" i="77" l="1"/>
  <c r="M78" i="77"/>
  <c r="D16" i="74" l="1"/>
  <c r="G16" i="74" l="1"/>
  <c r="B6" i="74" s="1"/>
  <c r="F16" i="74"/>
  <c r="E16" i="74"/>
  <c r="B5" i="74"/>
  <c r="D6" i="74" l="1"/>
  <c r="C6" i="74"/>
  <c r="C5" i="74"/>
  <c r="J79" i="77" s="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C23" authorId="0" shapeId="0">
      <text>
        <r>
          <rPr>
            <sz val="9"/>
            <rFont val="宋体"/>
            <family val="3"/>
            <charset val="134"/>
          </rPr>
          <t xml:space="preserve">作者:
本期新增
</t>
        </r>
      </text>
    </comment>
    <comment ref="C24" authorId="0" shapeId="0">
      <text>
        <r>
          <rPr>
            <sz val="9"/>
            <rFont val="宋体"/>
            <family val="3"/>
            <charset val="134"/>
          </rPr>
          <t xml:space="preserve">作者:
本期新增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<sst xmlns="http://schemas.openxmlformats.org/spreadsheetml/2006/main" count="8430" uniqueCount="3373">
  <si>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</si>
  <si>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</si>
  <si>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</si>
  <si>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</si>
  <si>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</si>
  <si>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</si>
  <si>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</si>
  <si>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</si>
  <si>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</si>
  <si>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</si>
  <si>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</si>
  <si>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</si>
  <si>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</si>
  <si>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</si>
  <si>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</si>
  <si>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</si>
  <si>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</si>
  <si>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</si>
  <si>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</si>
  <si>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</si>
  <si>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</si>
  <si>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</si>
  <si>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</si>
  <si>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</si>
  <si>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</si>
  <si>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</si>
  <si>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</si>
  <si>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</si>
  <si>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</si>
  <si>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</si>
  <si>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</si>
  <si>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</si>
  <si>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</si>
  <si>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</si>
  <si>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</si>
  <si>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</si>
  <si>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</si>
  <si>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</si>
  <si>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</si>
  <si>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</si>
  <si>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</si>
  <si>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</si>
  <si>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</si>
  <si>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</si>
  <si>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</si>
  <si>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</si>
  <si>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</si>
  <si>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</si>
  <si>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</si>
  <si>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</si>
  <si>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</si>
  <si>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</si>
  <si>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</si>
  <si>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</si>
  <si>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</si>
  <si>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</si>
  <si>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</si>
  <si>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</si>
  <si>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</si>
  <si>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</si>
  <si>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</si>
  <si>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</si>
  <si>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</si>
  <si>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</si>
  <si>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</si>
  <si>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</si>
  <si>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</si>
  <si>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</si>
  <si>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</si>
  <si>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</si>
  <si>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</si>
  <si>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</si>
  <si>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</si>
  <si>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</si>
  <si>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</si>
  <si>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</si>
  <si>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</si>
  <si>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</si>
  <si>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</si>
  <si>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</si>
  <si>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</si>
  <si>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</si>
  <si>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</si>
  <si>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</si>
  <si>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</si>
  <si>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</si>
  <si>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</si>
  <si>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</si>
  <si>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</si>
  <si>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</si>
  <si>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</si>
  <si>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</si>
  <si>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</si>
  <si>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</si>
  <si>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</si>
  <si>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</si>
  <si>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</si>
  <si>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</si>
  <si>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</si>
  <si>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</si>
  <si>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</si>
  <si>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</si>
  <si>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</si>
  <si>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</si>
  <si>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</si>
  <si>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</si>
  <si>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</si>
  <si>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</si>
  <si>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</si>
  <si>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</si>
  <si>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</si>
  <si>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</si>
  <si>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</si>
  <si>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</si>
  <si>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</si>
  <si>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</si>
  <si>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</si>
  <si>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</si>
  <si>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</si>
  <si>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</si>
  <si>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</si>
  <si>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</si>
  <si>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</si>
  <si>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</si>
  <si>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</si>
  <si>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</si>
  <si>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</si>
  <si>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</si>
  <si>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</si>
  <si>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</si>
  <si>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</si>
  <si>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</si>
  <si>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</si>
  <si>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</si>
  <si>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</si>
  <si>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</si>
  <si>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</si>
  <si>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</si>
  <si>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</si>
  <si>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</si>
  <si>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</si>
  <si>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</si>
  <si>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</si>
  <si>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</si>
  <si>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</si>
  <si>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</si>
  <si>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</si>
  <si>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</si>
  <si>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</si>
  <si>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</si>
  <si>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</si>
  <si>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</si>
  <si>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</si>
  <si>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</si>
  <si>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</si>
  <si>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</si>
  <si>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</si>
  <si>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</si>
  <si>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</si>
  <si>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</si>
  <si>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</si>
  <si>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</si>
  <si>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</si>
  <si>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</si>
  <si>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</si>
  <si>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</si>
  <si>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</si>
  <si>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</si>
  <si>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</si>
  <si>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</si>
  <si>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</si>
  <si>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</si>
  <si>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</si>
  <si>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</si>
  <si>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</si>
  <si>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</si>
  <si>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</si>
  <si>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</si>
  <si>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</si>
  <si>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</si>
  <si>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</si>
  <si>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</si>
  <si>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</si>
  <si>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</si>
  <si>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</si>
  <si>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</si>
  <si>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</si>
  <si>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</si>
  <si>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</si>
  <si>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</si>
  <si>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</si>
  <si>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</si>
  <si>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</si>
  <si>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</si>
  <si>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</si>
  <si>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</si>
  <si>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</si>
  <si>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</si>
  <si>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</si>
  <si>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</si>
  <si>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</si>
  <si>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</si>
  <si>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</si>
  <si>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</si>
  <si>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</si>
  <si>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</si>
  <si>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</si>
  <si>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</si>
  <si>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</si>
  <si>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</si>
  <si>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</si>
  <si>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</si>
  <si>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</si>
  <si>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</si>
  <si>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</si>
  <si>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</si>
  <si>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</si>
  <si>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</si>
  <si>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</si>
  <si>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</si>
  <si>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</si>
  <si>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</si>
  <si>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</si>
  <si>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</si>
  <si>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</si>
  <si>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</si>
  <si>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</si>
  <si>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</si>
  <si>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</si>
  <si>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</si>
  <si>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</si>
  <si>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</si>
  <si>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</si>
  <si>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</si>
  <si>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</si>
  <si>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</si>
  <si>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</si>
  <si>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</si>
  <si>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</si>
  <si>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</si>
  <si>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</si>
  <si>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</si>
  <si>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</si>
  <si>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</si>
  <si>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</si>
  <si>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</si>
  <si>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</si>
  <si>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</si>
  <si>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</si>
  <si>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</si>
  <si>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</si>
  <si>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</si>
  <si>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</si>
  <si>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</si>
  <si>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</si>
  <si>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</si>
  <si>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</si>
  <si>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</si>
  <si>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</si>
  <si>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</si>
  <si>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</si>
  <si>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</si>
  <si>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</si>
  <si>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</si>
  <si>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</si>
  <si>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</si>
  <si>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</si>
  <si>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</si>
  <si>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</si>
  <si>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</si>
  <si>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</si>
  <si>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</si>
  <si>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</si>
  <si>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</si>
  <si>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</si>
  <si>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</si>
  <si>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</si>
  <si>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</si>
  <si>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</si>
  <si>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</si>
  <si>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</si>
  <si>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</si>
  <si>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</si>
  <si>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</si>
  <si>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</si>
  <si>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</si>
  <si>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</si>
  <si>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</si>
  <si>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</si>
  <si>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</si>
  <si>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</si>
  <si>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</si>
  <si>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</si>
  <si>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</si>
  <si>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</si>
  <si>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</si>
  <si>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</si>
  <si>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</si>
  <si>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</si>
  <si>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</si>
  <si>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</si>
  <si>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</si>
  <si>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</si>
  <si>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</si>
  <si>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</si>
  <si>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</si>
  <si>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</si>
  <si>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</si>
  <si>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</si>
  <si>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</si>
  <si>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</si>
  <si>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</si>
  <si>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</si>
  <si>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</si>
  <si>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</si>
  <si>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</si>
  <si>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</si>
  <si>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</si>
  <si>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</si>
  <si>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</si>
  <si>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</si>
  <si>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</si>
  <si>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</si>
  <si>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</si>
  <si>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</si>
  <si>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</si>
  <si>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</si>
  <si>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</si>
  <si>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</si>
  <si>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</si>
  <si>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</si>
  <si>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</si>
  <si>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</si>
  <si>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</si>
  <si>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</si>
  <si>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</si>
  <si>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</si>
  <si>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</si>
  <si>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</si>
  <si>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</si>
  <si>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</si>
  <si>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</si>
  <si>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</si>
  <si>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</si>
  <si>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</si>
  <si>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</si>
  <si>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</si>
  <si>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</si>
  <si>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</si>
  <si>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</si>
  <si>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</si>
  <si>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</si>
  <si>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</si>
  <si>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</si>
  <si>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</si>
  <si>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</si>
  <si>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</si>
  <si>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</si>
  <si>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</si>
  <si>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</si>
  <si>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</si>
  <si>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</si>
  <si>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</si>
  <si>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</si>
  <si>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</si>
  <si>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</si>
  <si>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</si>
  <si>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</si>
  <si>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</si>
  <si>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</si>
  <si>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</si>
  <si>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</si>
  <si>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</si>
  <si>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</si>
  <si>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</si>
  <si>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</si>
  <si>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</si>
  <si>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</si>
  <si>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</si>
  <si>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</si>
  <si>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</si>
  <si>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</si>
  <si>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</si>
  <si>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</si>
  <si>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</si>
  <si>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</si>
  <si>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</si>
  <si>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</si>
  <si>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</si>
  <si>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</si>
  <si>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</si>
  <si>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</si>
  <si>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</si>
  <si>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</si>
  <si>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</si>
  <si>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</si>
  <si>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</si>
  <si>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</si>
  <si>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</si>
  <si>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</si>
  <si>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</si>
  <si>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</si>
  <si>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</si>
  <si>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</si>
  <si>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</si>
  <si>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</si>
  <si>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</si>
  <si>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</si>
  <si>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</si>
  <si>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</si>
  <si>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</si>
  <si>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</si>
  <si>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</si>
  <si>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</si>
  <si>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</si>
  <si>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</si>
  <si>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</si>
  <si>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</si>
  <si>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</si>
  <si>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</si>
  <si>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</si>
  <si>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</si>
  <si>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</si>
  <si>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</si>
  <si>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</si>
  <si>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</si>
  <si>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</si>
  <si>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</si>
  <si>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</si>
  <si>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</si>
  <si>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</si>
  <si>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</si>
  <si>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</si>
  <si>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</si>
  <si>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</si>
  <si>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</si>
  <si>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</si>
  <si>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</si>
  <si>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</si>
  <si>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</si>
  <si>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</si>
  <si>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</si>
  <si>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</si>
  <si>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</si>
  <si>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</si>
  <si>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</si>
  <si>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</si>
  <si>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</si>
  <si>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</si>
  <si>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</si>
  <si>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</si>
  <si>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</si>
  <si>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</si>
  <si>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</si>
  <si>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</si>
  <si>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</si>
  <si>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</si>
  <si>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</si>
  <si>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</si>
  <si>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</si>
  <si>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</si>
  <si>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</si>
  <si>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</si>
  <si>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</si>
  <si>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</si>
  <si>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</si>
  <si>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</si>
  <si>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</si>
  <si>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</si>
  <si>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</si>
  <si>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</si>
  <si>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</si>
  <si>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</si>
  <si>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</si>
  <si>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</si>
  <si>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</si>
  <si>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</si>
  <si>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</si>
  <si>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</si>
  <si>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</si>
  <si>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</si>
  <si>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</si>
  <si>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</si>
  <si>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</si>
  <si>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</si>
  <si>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</si>
  <si>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</si>
  <si>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</si>
  <si>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</si>
  <si>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</si>
  <si>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</si>
  <si>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</si>
  <si>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</si>
  <si>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</si>
  <si>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</si>
  <si>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</si>
  <si>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</si>
  <si>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</si>
  <si>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</si>
  <si>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</si>
  <si>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</si>
  <si>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</si>
  <si>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</si>
  <si>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</si>
  <si>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</si>
  <si>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</si>
  <si>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</si>
  <si>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</si>
  <si>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</si>
  <si>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</si>
  <si>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</si>
  <si>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</si>
  <si>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</si>
  <si>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</si>
  <si>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</si>
  <si>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</si>
  <si>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</si>
  <si>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</si>
  <si>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</si>
  <si>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</si>
  <si>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</si>
  <si>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</si>
  <si>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</si>
  <si>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</si>
  <si>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</si>
  <si>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</si>
  <si>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</si>
  <si>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</si>
  <si>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</si>
  <si>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</si>
  <si>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</si>
  <si>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</si>
  <si>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</si>
  <si>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</si>
  <si>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</si>
  <si>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</si>
  <si>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</si>
  <si>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</si>
  <si>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</si>
  <si>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</si>
  <si>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</si>
  <si>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</si>
  <si>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</si>
  <si>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</si>
  <si>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</si>
  <si>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</si>
  <si>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</si>
  <si>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</si>
  <si>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</si>
  <si>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</si>
  <si>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</si>
  <si>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</si>
  <si>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</si>
  <si>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</si>
  <si>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</si>
  <si>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</si>
  <si>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</si>
  <si>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</si>
  <si>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</si>
  <si>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</si>
  <si>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</si>
  <si>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</si>
  <si>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</si>
  <si>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</si>
  <si>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</si>
  <si>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</si>
  <si>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</si>
  <si>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</si>
  <si>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</si>
  <si>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</si>
  <si>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</si>
  <si>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</si>
  <si>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</si>
  <si>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</si>
  <si>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</si>
  <si>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</si>
  <si>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</si>
  <si>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</si>
  <si>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</si>
  <si>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</si>
  <si>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</si>
  <si>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</si>
  <si>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</si>
  <si>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</si>
  <si>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</si>
  <si>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</si>
  <si>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</si>
  <si>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</si>
  <si>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</si>
  <si>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</si>
  <si>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</si>
  <si>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</si>
  <si>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</si>
  <si>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</si>
  <si>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</si>
  <si>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</si>
  <si>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</si>
  <si>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</si>
  <si>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</si>
  <si>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</si>
  <si>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</si>
  <si>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</si>
  <si>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</si>
  <si>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</si>
  <si>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</si>
  <si>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</si>
  <si>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</si>
  <si>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</si>
  <si>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</si>
  <si>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</si>
  <si>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</si>
  <si>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</si>
  <si>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</si>
  <si>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</si>
  <si>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</si>
  <si>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</si>
  <si>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</si>
  <si>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</si>
  <si>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</si>
  <si>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</si>
  <si>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</si>
  <si>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</si>
  <si>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</si>
  <si>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</si>
  <si>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</si>
  <si>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</si>
  <si>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</si>
  <si>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</si>
  <si>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</si>
  <si>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</si>
  <si>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</si>
  <si>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</si>
  <si>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</si>
  <si>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</si>
  <si>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</si>
  <si>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</si>
  <si>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</si>
  <si>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</si>
  <si>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</si>
  <si>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</si>
  <si>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</si>
  <si>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</si>
  <si>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</si>
  <si>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</si>
  <si>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</si>
  <si>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</si>
  <si>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</si>
  <si>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</si>
  <si>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</si>
  <si>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</si>
  <si>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</si>
  <si>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</si>
  <si>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</si>
  <si>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</si>
  <si>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</si>
  <si>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</si>
  <si>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</si>
  <si>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</si>
  <si>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</si>
  <si>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</si>
  <si>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</si>
  <si>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</si>
  <si>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</si>
  <si>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</si>
  <si>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</si>
  <si>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</si>
  <si>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</si>
  <si>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</si>
  <si>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</si>
  <si>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</si>
  <si>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</si>
  <si>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</si>
  <si>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</si>
  <si>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</si>
  <si>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</si>
  <si>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</si>
  <si>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</si>
  <si>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</si>
  <si>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</si>
  <si>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</si>
  <si>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</si>
  <si>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</si>
  <si>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</si>
  <si>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</si>
  <si>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</si>
  <si>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</si>
  <si>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</si>
  <si>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</si>
  <si>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</si>
  <si>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</si>
  <si>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</si>
  <si>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</si>
  <si>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</si>
  <si>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</si>
  <si>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</si>
  <si>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</si>
  <si>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</si>
  <si>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</si>
  <si>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</si>
  <si>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</si>
  <si>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</si>
  <si>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</si>
  <si>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</si>
  <si>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</si>
  <si>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</si>
  <si>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</si>
  <si>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</si>
  <si>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</si>
  <si>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</si>
  <si>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</si>
  <si>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</si>
  <si>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</si>
  <si>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</si>
  <si>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</si>
  <si>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</si>
  <si>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</si>
  <si>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</si>
  <si>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</si>
  <si>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</si>
  <si>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</si>
  <si>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</si>
  <si>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</si>
  <si>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</si>
  <si>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</si>
  <si>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</si>
  <si>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</si>
  <si>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</si>
  <si>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</si>
  <si>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</si>
  <si>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</si>
  <si>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</si>
  <si>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</si>
  <si>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</si>
  <si>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</si>
  <si>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</si>
  <si>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</si>
  <si>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</si>
  <si>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</si>
  <si>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</si>
  <si>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</si>
  <si>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</si>
  <si>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</si>
  <si>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</si>
  <si>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</si>
  <si>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</si>
  <si>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</si>
  <si>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</si>
  <si>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</si>
  <si>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</si>
  <si>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</si>
  <si>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</si>
  <si>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</si>
  <si>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</si>
  <si>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</si>
  <si>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</si>
  <si>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</si>
  <si>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</si>
  <si>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</si>
  <si>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</si>
  <si>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</si>
  <si>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</si>
  <si>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</si>
  <si>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</si>
  <si>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</si>
  <si>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</si>
  <si>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</si>
  <si>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</si>
  <si>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</si>
  <si>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</si>
  <si>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</si>
  <si>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</si>
  <si>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</si>
  <si>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</si>
  <si>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</si>
  <si>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</si>
  <si>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</si>
  <si>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</si>
  <si>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</si>
  <si>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</si>
  <si>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</si>
  <si>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</si>
  <si>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</si>
  <si>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</si>
  <si>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</si>
  <si>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</si>
  <si>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</si>
  <si>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</si>
  <si>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</si>
  <si>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</si>
  <si>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</si>
  <si>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</si>
  <si>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</si>
  <si>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</si>
  <si>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</si>
  <si>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</si>
  <si>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</si>
  <si>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</si>
  <si>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</si>
  <si>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</si>
  <si>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</si>
  <si>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</si>
  <si>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</si>
  <si>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</si>
  <si>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</si>
  <si>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</si>
  <si>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</si>
  <si>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</si>
  <si>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</si>
  <si>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</si>
  <si>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</si>
  <si>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</si>
  <si>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</si>
  <si>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</si>
  <si>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</si>
  <si>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</si>
  <si>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</si>
  <si>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</si>
  <si>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</si>
  <si>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</si>
  <si>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</si>
  <si>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</si>
  <si>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</si>
  <si>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</si>
  <si>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</si>
  <si>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</si>
  <si>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</si>
  <si>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</si>
  <si>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</si>
  <si>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</si>
  <si>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</si>
  <si>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</si>
  <si>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</si>
  <si>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</si>
  <si>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</si>
  <si>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</si>
  <si>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</si>
  <si>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</si>
  <si>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</si>
  <si>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</si>
  <si>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</si>
  <si>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</si>
  <si>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</si>
  <si>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</si>
  <si>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</si>
  <si>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</si>
  <si>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</si>
  <si>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</si>
  <si>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</si>
  <si>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</si>
  <si>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</si>
  <si>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</si>
  <si>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</si>
  <si>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</si>
  <si>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</si>
  <si>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</si>
  <si>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</si>
  <si>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</si>
  <si>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</si>
  <si>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</si>
  <si>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</si>
  <si>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</si>
  <si>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</si>
  <si>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</si>
  <si>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</si>
  <si>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</si>
  <si>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</si>
  <si>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</si>
  <si>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</si>
  <si>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</si>
  <si>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</si>
  <si>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</si>
  <si>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</si>
  <si>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</si>
  <si>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</si>
  <si>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</si>
  <si>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</si>
  <si>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</si>
  <si>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</si>
  <si>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</si>
  <si>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</si>
  <si>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</si>
  <si>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</si>
  <si>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</si>
  <si>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</si>
  <si>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</si>
  <si>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</si>
  <si>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</si>
  <si>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</si>
  <si>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</si>
  <si>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</si>
  <si>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</si>
  <si>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</si>
  <si>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</si>
  <si>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</si>
  <si>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</si>
  <si>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</si>
  <si>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</si>
  <si>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</si>
  <si>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</si>
  <si>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</si>
  <si>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</si>
  <si>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</si>
  <si>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</si>
  <si>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</si>
  <si>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</si>
  <si>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</si>
  <si>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</si>
  <si>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</si>
  <si>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</si>
  <si>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</si>
  <si>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</si>
  <si>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</si>
  <si>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</si>
  <si>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</si>
  <si>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</si>
  <si>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</si>
  <si>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</si>
  <si>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</si>
  <si>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</si>
  <si>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</si>
  <si>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</si>
  <si>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</si>
  <si>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</si>
  <si>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</si>
  <si>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</si>
  <si>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</si>
  <si>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</si>
  <si>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</si>
  <si>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</si>
  <si>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</si>
  <si>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</si>
  <si>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</si>
  <si>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</si>
  <si>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</si>
  <si>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</si>
  <si>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</si>
  <si>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</si>
  <si>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</si>
  <si>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</si>
  <si>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</si>
  <si>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</si>
  <si>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</si>
  <si>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</si>
  <si>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</si>
  <si>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</si>
  <si>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</si>
  <si>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</si>
  <si>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</si>
  <si>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</si>
  <si>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</si>
  <si>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</si>
  <si>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</si>
  <si>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</si>
  <si>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</si>
  <si>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</si>
  <si>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</si>
  <si>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</si>
  <si>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</si>
  <si>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</si>
  <si>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</si>
  <si>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</si>
  <si>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</si>
  <si>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</si>
  <si>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</si>
  <si>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</si>
  <si>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</si>
  <si>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</si>
  <si>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</si>
  <si>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</si>
  <si>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</si>
  <si>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</si>
  <si>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</si>
  <si>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</si>
  <si>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</si>
  <si>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</si>
  <si>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</si>
  <si>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</si>
  <si>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</si>
  <si>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</si>
  <si>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</si>
  <si>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</si>
  <si>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</si>
  <si>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</si>
  <si>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</si>
  <si>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</si>
  <si>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</si>
  <si>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</si>
  <si>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</si>
  <si>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</si>
  <si>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</si>
  <si>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</si>
  <si>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</si>
  <si>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</si>
  <si>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</si>
  <si>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</si>
  <si>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</si>
  <si>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</si>
  <si>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</si>
  <si>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</si>
  <si>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</si>
  <si>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</si>
  <si>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</si>
  <si>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</si>
  <si>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</si>
  <si>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</si>
  <si>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</si>
  <si>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</si>
  <si>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</si>
  <si>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</si>
  <si>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</si>
  <si>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</si>
  <si>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</si>
  <si>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</si>
  <si>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</si>
  <si>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</si>
  <si>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</si>
  <si>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</si>
  <si>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</si>
  <si>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</si>
  <si>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</si>
  <si>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</si>
  <si>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</si>
  <si>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</si>
  <si>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</si>
  <si>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</si>
  <si>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</si>
  <si>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</si>
  <si>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</si>
  <si>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</si>
  <si>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</si>
  <si>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</si>
  <si>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</si>
  <si>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</si>
  <si>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</si>
  <si>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</si>
  <si>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</si>
  <si>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</si>
  <si>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</si>
  <si>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</si>
  <si>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</si>
  <si>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</si>
  <si>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</si>
  <si>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</si>
  <si>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</si>
  <si>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</si>
  <si>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</si>
  <si>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</si>
  <si>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</si>
  <si>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</si>
  <si>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</si>
  <si>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</si>
  <si>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</si>
  <si>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</si>
  <si>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</si>
  <si>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</si>
  <si>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</si>
  <si>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</si>
  <si>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</si>
  <si>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</si>
  <si>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</si>
  <si>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</si>
  <si>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</si>
  <si>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</si>
  <si>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</si>
  <si>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</si>
  <si>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</si>
  <si>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</si>
  <si>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</si>
  <si>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</si>
  <si>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</si>
  <si>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</si>
  <si>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</si>
  <si>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</si>
  <si>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</si>
  <si>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</si>
  <si>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</si>
  <si>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</si>
  <si>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</si>
  <si>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</si>
  <si>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</si>
  <si>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</si>
  <si>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</si>
  <si>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</si>
  <si>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</si>
  <si>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</si>
  <si>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</si>
  <si>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</si>
  <si>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</si>
  <si>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</si>
  <si>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</si>
  <si>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</si>
  <si>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</si>
  <si>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</si>
  <si>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</si>
  <si>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</si>
  <si>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</si>
  <si>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</si>
  <si>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</si>
  <si>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</si>
  <si>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</si>
  <si>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</si>
  <si>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</si>
  <si>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</si>
  <si>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</si>
  <si>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</si>
  <si>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</si>
  <si>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</si>
  <si>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</si>
  <si>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</si>
  <si>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</si>
  <si>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</si>
  <si>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</si>
  <si>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</si>
  <si>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</si>
  <si>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</si>
  <si>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</si>
  <si>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</si>
  <si>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</si>
  <si>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</si>
  <si>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</si>
  <si>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</si>
  <si>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</si>
  <si>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</si>
  <si>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</si>
  <si>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</si>
  <si>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</si>
  <si>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</si>
  <si>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</si>
  <si>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</si>
  <si>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</si>
  <si>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</si>
  <si>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</si>
  <si>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</si>
  <si>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</si>
  <si>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</si>
  <si>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</si>
  <si>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</si>
  <si>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</si>
  <si>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</si>
  <si>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</si>
  <si>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</si>
  <si>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</si>
  <si>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</si>
  <si>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</si>
  <si>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</si>
  <si>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</si>
  <si>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</si>
  <si>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</si>
  <si>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</si>
  <si>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</si>
  <si>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</si>
  <si>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</si>
  <si>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</si>
  <si>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</si>
  <si>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</si>
  <si>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</si>
  <si>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</si>
  <si>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</si>
  <si>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</si>
  <si>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</si>
  <si>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</si>
  <si>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</si>
  <si>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</si>
  <si>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</si>
  <si>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</si>
  <si>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</si>
  <si>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</si>
  <si>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</si>
  <si>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</si>
  <si>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</si>
  <si>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</si>
  <si>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</si>
  <si>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</si>
  <si>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</si>
  <si>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</si>
  <si>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</si>
  <si>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</si>
  <si>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</si>
  <si>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</si>
  <si>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</si>
  <si>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</si>
  <si>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</si>
  <si>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</si>
  <si>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</si>
  <si>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</si>
  <si>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</si>
  <si>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</si>
  <si>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</si>
  <si>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</si>
  <si>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</si>
  <si>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</si>
  <si>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</si>
  <si>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</si>
  <si>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</si>
  <si>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</si>
  <si>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</si>
  <si>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</si>
  <si>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</si>
  <si>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</si>
  <si>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</si>
  <si>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</si>
  <si>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</si>
  <si>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</si>
  <si>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</si>
  <si>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</si>
  <si>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</si>
  <si>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</si>
  <si>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</si>
  <si>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</si>
  <si>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</si>
  <si>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</si>
  <si>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</si>
  <si>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</si>
  <si>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</si>
  <si>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</si>
  <si>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</si>
  <si>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</si>
  <si>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</si>
  <si>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</si>
  <si>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</si>
  <si>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</si>
  <si>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</si>
  <si>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</si>
  <si>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</si>
  <si>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</si>
  <si>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</si>
  <si>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</si>
  <si>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</si>
  <si>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</si>
  <si>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</si>
  <si>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</si>
  <si>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</si>
  <si>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</si>
  <si>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</si>
  <si>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</si>
  <si>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</si>
  <si>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</si>
  <si>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</si>
  <si>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</si>
  <si>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</si>
  <si>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</si>
  <si>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</si>
  <si>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</si>
  <si>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</si>
  <si>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</si>
  <si>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</si>
  <si>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</si>
  <si>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</si>
  <si>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</si>
  <si>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</si>
  <si>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</si>
  <si>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</si>
  <si>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</si>
  <si>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</si>
  <si>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</si>
  <si>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</si>
  <si>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</si>
  <si>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</si>
  <si>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</si>
  <si>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</si>
  <si>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</si>
  <si>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</si>
  <si>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</si>
  <si>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</si>
  <si>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</si>
  <si>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</si>
  <si>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</si>
  <si>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</si>
  <si>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</si>
  <si>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</si>
  <si>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</si>
  <si>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</si>
  <si>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</si>
  <si>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</si>
  <si>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</si>
  <si>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</si>
  <si>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</si>
  <si>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</si>
  <si>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</si>
  <si>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</si>
  <si>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</si>
  <si>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</si>
  <si>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</si>
  <si>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</si>
  <si>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</si>
  <si>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</si>
  <si>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</si>
  <si>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</si>
  <si>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</si>
  <si>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</si>
  <si>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</si>
  <si>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</si>
  <si>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</si>
  <si>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</si>
  <si>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</si>
  <si>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</si>
  <si>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</si>
  <si>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</si>
  <si>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</si>
  <si>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</si>
  <si>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</si>
  <si>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</si>
  <si>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</si>
  <si>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</si>
  <si>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</si>
  <si>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</si>
  <si>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</si>
  <si>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</si>
  <si>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</si>
  <si>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</si>
  <si>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</si>
  <si>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</si>
  <si>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</si>
  <si>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</si>
  <si>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</si>
  <si>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</si>
  <si>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</si>
  <si>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</si>
  <si>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</si>
  <si>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</si>
  <si>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</si>
  <si>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</si>
  <si>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</si>
  <si>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</si>
  <si>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</si>
  <si>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</si>
  <si>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</si>
  <si>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</si>
  <si>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</si>
  <si>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</si>
  <si>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</si>
  <si>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</si>
  <si>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</si>
  <si>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</si>
  <si>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</si>
  <si>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</si>
  <si>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</si>
  <si>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</si>
  <si>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</si>
  <si>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</si>
  <si>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</si>
  <si>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</si>
  <si>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</si>
  <si>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</si>
  <si>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</si>
  <si>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</si>
  <si>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</si>
  <si>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</si>
  <si>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</si>
  <si>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</si>
  <si>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</si>
  <si>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</si>
  <si>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</si>
  <si>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</si>
  <si>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</si>
  <si>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</si>
  <si>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</si>
  <si>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</si>
  <si>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</si>
  <si>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</si>
  <si>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</si>
  <si>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</si>
  <si>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</si>
  <si>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</si>
  <si>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</si>
  <si>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</si>
  <si>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</si>
  <si>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</si>
  <si>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</si>
  <si>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</si>
  <si>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</si>
  <si>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</si>
  <si>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</si>
  <si>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</si>
  <si>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</si>
  <si>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</si>
  <si>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</si>
  <si>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</si>
  <si>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</si>
  <si>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</si>
  <si>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</si>
  <si>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</si>
  <si>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</si>
  <si>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</si>
  <si>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</si>
  <si>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</si>
  <si>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</si>
  <si>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</si>
  <si>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</si>
  <si>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</si>
  <si>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</si>
  <si>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</si>
  <si>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</si>
  <si>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</si>
  <si>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</si>
  <si>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</si>
  <si>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</si>
  <si>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</si>
  <si>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</si>
  <si>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</si>
  <si>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</si>
  <si>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</si>
  <si>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</si>
  <si>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</si>
  <si>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</si>
  <si>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</si>
  <si>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</si>
  <si>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</si>
  <si>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</si>
  <si>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</si>
  <si>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</si>
  <si>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</si>
  <si>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</si>
  <si>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</si>
  <si>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</si>
  <si>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</si>
  <si>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</si>
  <si>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</si>
  <si>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</si>
  <si>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</si>
  <si>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</si>
  <si>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</si>
  <si>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</si>
  <si>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</si>
  <si>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</si>
  <si>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</si>
  <si>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</si>
  <si>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</si>
  <si>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</si>
  <si>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</si>
  <si>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</si>
  <si>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</si>
  <si>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</si>
  <si>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</si>
  <si>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</si>
  <si>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</si>
  <si>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</si>
  <si>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</si>
  <si>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</si>
  <si>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</si>
  <si>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</si>
  <si>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</si>
  <si>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</si>
  <si>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</si>
  <si>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</si>
  <si>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</si>
  <si>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</si>
  <si>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</si>
  <si>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</si>
  <si>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</si>
  <si>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</si>
  <si>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</si>
  <si>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</si>
  <si>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</si>
  <si>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</si>
  <si>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</si>
  <si>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</si>
  <si>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</si>
  <si>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</si>
  <si>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</si>
  <si>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</si>
  <si>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</si>
  <si>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</si>
  <si>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</si>
  <si>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</si>
  <si>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</si>
  <si>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</si>
  <si>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</si>
  <si>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</si>
  <si>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</si>
  <si>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</si>
  <si>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</si>
  <si>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</si>
  <si>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</si>
  <si>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</si>
  <si>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</si>
  <si>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</si>
  <si>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</si>
  <si>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</si>
  <si>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</si>
  <si>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</si>
  <si>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</si>
  <si>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</si>
  <si>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</si>
  <si>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</si>
  <si>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</si>
  <si>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</si>
  <si>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</si>
  <si>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</si>
  <si>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</si>
  <si>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</si>
  <si>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</si>
  <si>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</si>
  <si>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</si>
  <si>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</si>
  <si>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</si>
  <si>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</si>
  <si>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</si>
  <si>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</si>
  <si>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</si>
  <si>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</si>
  <si>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</si>
  <si>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</si>
  <si>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</si>
  <si>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</si>
  <si>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</si>
  <si>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</si>
  <si>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</si>
  <si>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</si>
  <si>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</si>
  <si>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</si>
  <si>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</si>
  <si>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</si>
  <si>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</si>
  <si>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</si>
  <si>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</si>
  <si>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</si>
  <si>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</si>
  <si>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</si>
  <si>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</si>
  <si>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</si>
  <si>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</si>
  <si>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</si>
  <si>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</si>
  <si>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</si>
  <si>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</si>
  <si>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</si>
  <si>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</si>
  <si>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</si>
  <si>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</si>
  <si>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</si>
  <si>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</si>
  <si>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</si>
  <si>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</si>
  <si>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</si>
  <si>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</si>
  <si>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</si>
  <si>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</si>
  <si>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</si>
  <si>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</si>
  <si>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</si>
  <si>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</si>
  <si>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</si>
  <si>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</si>
  <si>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</si>
  <si>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</si>
  <si>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</si>
  <si>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</si>
  <si>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</si>
  <si>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</si>
  <si>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</si>
  <si>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</si>
  <si>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</si>
  <si>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</si>
  <si>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</si>
  <si>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</si>
  <si>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</si>
  <si>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</si>
  <si>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</si>
  <si>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</si>
  <si>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</si>
  <si>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</si>
  <si>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</si>
  <si>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</si>
  <si>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</si>
  <si>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</si>
  <si>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</si>
  <si>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</si>
  <si>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</si>
  <si>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</si>
  <si>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</si>
  <si>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</si>
  <si>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</si>
  <si>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</si>
  <si>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</si>
  <si>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</si>
  <si>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</si>
  <si>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</si>
  <si>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</si>
  <si>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</si>
  <si>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</si>
  <si>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</si>
  <si>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</si>
  <si>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</si>
  <si>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</si>
  <si>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</si>
  <si>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</si>
  <si>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</si>
  <si>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</si>
  <si>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</si>
  <si>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</si>
  <si>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</si>
  <si>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</si>
  <si>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</si>
  <si>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</si>
  <si>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</si>
  <si>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</si>
  <si>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</si>
  <si>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</si>
  <si>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</si>
  <si>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</si>
  <si>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</si>
  <si>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</si>
  <si>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</si>
  <si>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</si>
  <si>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</si>
  <si>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</si>
  <si>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</si>
  <si>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</si>
  <si>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</si>
  <si>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</si>
  <si>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</si>
  <si>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</si>
  <si>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</si>
  <si>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</si>
  <si>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</si>
  <si>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</si>
  <si>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</si>
  <si>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</si>
  <si>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</si>
  <si>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</si>
  <si>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</si>
  <si>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</si>
  <si>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</si>
  <si>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</si>
  <si>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</si>
  <si>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</si>
  <si>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</si>
  <si>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</si>
  <si>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</si>
  <si>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</si>
  <si>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</si>
  <si>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</si>
  <si>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</si>
  <si>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</si>
  <si>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</si>
  <si>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</si>
  <si>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</si>
  <si>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</si>
  <si>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</si>
  <si>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</si>
  <si>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</si>
  <si>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</si>
  <si>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</si>
  <si>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</si>
  <si>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</si>
  <si>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</si>
  <si>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</si>
  <si>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</si>
  <si>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</si>
  <si>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</si>
  <si>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</si>
  <si>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</si>
  <si>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</si>
  <si>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</si>
  <si>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</si>
  <si>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</si>
  <si>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</si>
  <si>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</si>
  <si>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</si>
  <si>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</si>
  <si>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</si>
  <si>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</si>
  <si>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</si>
  <si>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</si>
  <si>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</si>
  <si>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</si>
  <si>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</si>
  <si>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</si>
  <si>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</si>
  <si>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</si>
  <si>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</si>
  <si>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</si>
  <si>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</si>
  <si>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</si>
  <si>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</si>
  <si>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</si>
  <si>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</si>
  <si>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</si>
  <si>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</si>
  <si>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</si>
  <si>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</si>
  <si>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</si>
  <si>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</si>
  <si>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</si>
  <si>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</si>
  <si>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</si>
  <si>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</si>
  <si>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</si>
  <si>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</si>
  <si>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</si>
  <si>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</si>
  <si>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</si>
  <si>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</si>
  <si>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</si>
  <si>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</si>
  <si>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</si>
  <si>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</si>
  <si>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</si>
  <si>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</si>
  <si>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</si>
  <si>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</si>
  <si>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</si>
  <si>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</si>
  <si>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</si>
  <si>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</si>
  <si>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</si>
  <si>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</si>
  <si>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</si>
  <si>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</si>
  <si>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</si>
  <si>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</si>
  <si>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</si>
  <si>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</si>
  <si>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</si>
  <si>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</si>
  <si>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</si>
  <si>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</si>
  <si>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</si>
  <si>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</si>
  <si>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</si>
  <si>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</si>
  <si>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</si>
  <si>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</si>
  <si>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</si>
  <si>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</si>
  <si>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</si>
  <si>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</si>
  <si>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</si>
  <si>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</si>
  <si>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</si>
  <si>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</si>
  <si>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</si>
  <si>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</si>
  <si>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</si>
  <si>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</si>
  <si>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</si>
  <si>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</si>
  <si>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</si>
  <si>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</si>
  <si>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</si>
  <si>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</si>
  <si>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</si>
  <si>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</si>
  <si>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</si>
  <si>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</si>
  <si>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</si>
  <si>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</si>
  <si>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</si>
  <si>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</si>
  <si>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</si>
  <si>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</si>
  <si>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</si>
  <si>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</si>
  <si>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</si>
  <si>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</si>
  <si>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</si>
  <si>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</si>
  <si>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</si>
  <si>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</si>
  <si>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</si>
  <si>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</si>
  <si>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</si>
  <si>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</si>
  <si>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</si>
  <si>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</si>
  <si>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</si>
  <si>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</si>
  <si>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</si>
  <si>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</si>
  <si>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</si>
  <si>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</si>
  <si>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</si>
  <si>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</si>
  <si>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</si>
  <si>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</si>
  <si>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</si>
  <si>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</si>
  <si>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</si>
  <si>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</si>
  <si>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</si>
  <si>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</si>
  <si>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</si>
  <si>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</si>
  <si>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</si>
  <si>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</si>
  <si>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</si>
  <si>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</si>
  <si>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</si>
  <si>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</si>
  <si>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</si>
  <si>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</si>
  <si>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</si>
  <si>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</si>
  <si>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</si>
  <si>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</si>
  <si>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</si>
  <si>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</si>
  <si>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</si>
  <si>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</si>
  <si>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</si>
  <si>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</si>
  <si>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</si>
  <si>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</si>
  <si>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</si>
  <si>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</si>
  <si>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</si>
  <si>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</si>
  <si>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</si>
  <si>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</si>
  <si>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</si>
  <si>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</si>
  <si>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</si>
  <si>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</si>
  <si>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</si>
  <si>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</si>
  <si>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</si>
  <si>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</si>
  <si>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</si>
  <si>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</si>
  <si>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</si>
  <si>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</si>
  <si>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</si>
  <si>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</si>
  <si>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</si>
  <si>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</si>
  <si>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</si>
  <si>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</si>
  <si>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</si>
  <si>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</si>
  <si>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</si>
  <si>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</si>
  <si>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</si>
  <si>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</si>
  <si>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</si>
  <si>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</si>
  <si>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</si>
  <si>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</si>
  <si>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</si>
  <si>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</si>
  <si>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</si>
  <si>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</si>
  <si>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</si>
  <si>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</si>
  <si>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</si>
  <si>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</si>
  <si>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</si>
  <si>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</si>
  <si>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</si>
  <si>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</si>
  <si>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</si>
  <si>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</si>
  <si>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</si>
  <si>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</si>
  <si>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</si>
  <si>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</si>
  <si>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</si>
  <si>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</si>
  <si>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</si>
  <si>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</si>
  <si>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</si>
  <si>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</si>
  <si>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</si>
  <si>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</si>
  <si>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</si>
  <si>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</si>
  <si>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</si>
  <si>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</si>
  <si>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</si>
  <si>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</si>
  <si>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</si>
  <si>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</si>
  <si>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</si>
  <si>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</si>
  <si>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</si>
  <si>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</si>
  <si>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</si>
  <si>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</si>
  <si>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</si>
  <si>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</si>
  <si>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</si>
  <si>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</si>
  <si>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</si>
  <si>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</si>
  <si>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</si>
  <si>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</si>
  <si>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</si>
  <si>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</si>
  <si>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</si>
  <si>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</si>
  <si>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</si>
  <si>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</si>
  <si>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</si>
  <si>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</si>
  <si>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</si>
  <si>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</si>
  <si>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</si>
  <si>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</si>
  <si>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</si>
  <si>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</si>
  <si>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</si>
  <si>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</si>
  <si>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</si>
  <si>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</si>
  <si>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</si>
  <si>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</si>
  <si>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</si>
  <si>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</si>
  <si>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</si>
  <si>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</si>
  <si>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</si>
  <si>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</si>
  <si>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</si>
  <si>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</si>
  <si>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</si>
  <si>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</si>
  <si>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</si>
  <si>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</si>
  <si>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</si>
  <si>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</si>
  <si>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</si>
  <si>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</si>
  <si>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</si>
  <si>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</si>
  <si>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</si>
  <si>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</si>
  <si>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</si>
  <si>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</si>
  <si>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</si>
  <si>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</si>
  <si>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</si>
  <si>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</si>
  <si>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</si>
  <si>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</si>
  <si>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</si>
  <si>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</si>
  <si>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</si>
  <si>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</si>
  <si>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</si>
  <si>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</si>
  <si>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</si>
  <si>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</si>
  <si>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</si>
  <si>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</si>
  <si>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</si>
  <si>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</si>
  <si>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</si>
  <si>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</si>
  <si>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</si>
  <si>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</si>
  <si>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</si>
  <si>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</si>
  <si>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</si>
  <si>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</si>
  <si>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</si>
  <si>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</si>
  <si>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</si>
  <si>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</si>
  <si>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</si>
  <si>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</si>
  <si>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</si>
  <si>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</si>
  <si>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</si>
  <si>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</si>
  <si>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</si>
  <si>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</si>
  <si>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</si>
  <si>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</si>
  <si>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</si>
  <si>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</si>
  <si>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</si>
  <si>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</si>
  <si>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</si>
  <si>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</si>
  <si>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</si>
  <si>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</si>
  <si>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</si>
  <si>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</si>
  <si>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</si>
  <si>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</si>
  <si>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</si>
  <si>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</si>
  <si>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</si>
  <si>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</si>
  <si>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</si>
  <si>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</si>
  <si>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</si>
  <si>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</si>
  <si>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</si>
  <si>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</si>
  <si>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</si>
  <si>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</si>
  <si>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</si>
  <si>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</si>
  <si>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</si>
  <si>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</si>
  <si>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</si>
  <si>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</si>
  <si>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</si>
  <si>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</si>
  <si>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</si>
  <si>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</si>
  <si>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</si>
  <si>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</si>
  <si>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</si>
  <si>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</si>
  <si>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</si>
  <si>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</si>
  <si>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</si>
  <si>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</si>
  <si>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</si>
  <si>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</si>
  <si>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</si>
  <si>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</si>
  <si>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</si>
  <si>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</si>
  <si>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</si>
  <si>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</si>
  <si>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</si>
  <si>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</si>
  <si>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</si>
  <si>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</si>
  <si>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</si>
  <si>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</si>
  <si>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</si>
  <si>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</si>
  <si>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</si>
  <si>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</si>
  <si>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</si>
  <si>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</si>
  <si>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</si>
  <si>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</si>
  <si>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</si>
  <si>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</si>
  <si>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</si>
  <si>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</si>
  <si>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</si>
  <si>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</si>
  <si>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</si>
  <si>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</si>
  <si>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</si>
  <si>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</si>
  <si>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</si>
  <si>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</si>
  <si>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</si>
  <si>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</si>
  <si>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</si>
  <si>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</si>
  <si>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</si>
  <si>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</si>
  <si>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</si>
  <si>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</si>
  <si>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</si>
  <si>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</si>
  <si>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</si>
  <si>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</si>
  <si>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</si>
  <si>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</si>
  <si>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</si>
  <si>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</si>
  <si>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</si>
  <si>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</si>
  <si>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</si>
  <si>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</si>
  <si>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</si>
  <si>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</si>
  <si>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</si>
  <si>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</si>
  <si>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</si>
  <si>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</si>
  <si>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</si>
  <si>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</si>
  <si>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</si>
  <si>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</si>
  <si>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</si>
  <si>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</si>
  <si>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</si>
  <si>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</si>
  <si>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</si>
  <si>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</si>
  <si>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</si>
  <si>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</si>
  <si>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</si>
  <si>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</si>
  <si>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</si>
  <si>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</si>
  <si>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</si>
  <si>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</si>
  <si>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</si>
  <si>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</si>
  <si>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</si>
  <si>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</si>
  <si>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</si>
  <si>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</si>
  <si>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</si>
  <si>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</si>
  <si>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</si>
  <si>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</si>
  <si>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</si>
  <si>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</si>
  <si>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</si>
  <si>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</si>
  <si>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</si>
  <si>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</si>
  <si>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</si>
  <si>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</si>
  <si>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</si>
  <si>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</si>
  <si>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</si>
  <si>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</si>
  <si>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</si>
  <si>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</si>
  <si>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</si>
  <si>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</si>
  <si>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</si>
  <si>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</si>
  <si>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</si>
  <si>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</si>
  <si>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</si>
  <si>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</si>
  <si>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</si>
  <si>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</si>
  <si>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</si>
  <si>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</si>
  <si>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</si>
  <si>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</si>
  <si>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</si>
  <si>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</si>
  <si>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</si>
  <si>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</si>
  <si>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</si>
  <si>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</si>
  <si>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</si>
  <si>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</si>
  <si>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</si>
  <si>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</si>
  <si>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</si>
  <si>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</si>
  <si>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</si>
  <si>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</si>
  <si>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</si>
  <si>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</si>
  <si>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</si>
  <si>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</si>
  <si>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</si>
  <si>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</si>
  <si>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</si>
  <si>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</si>
  <si>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</si>
  <si>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</si>
  <si>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</si>
  <si>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</si>
  <si>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</si>
  <si>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</si>
  <si>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</si>
  <si>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</si>
  <si>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</si>
  <si>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</si>
  <si>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</si>
  <si>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</si>
  <si>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</si>
  <si>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</si>
  <si>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</si>
  <si>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</si>
  <si>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</si>
  <si>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</si>
  <si>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</si>
  <si>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</si>
  <si>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</si>
  <si>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</si>
  <si>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</si>
  <si>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</si>
  <si>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</si>
  <si>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</si>
  <si>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</si>
  <si>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</si>
  <si>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</si>
  <si>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</si>
  <si>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</si>
  <si>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</si>
  <si>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</si>
  <si>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</si>
  <si>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</si>
  <si>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</si>
  <si>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</si>
  <si>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</si>
  <si>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</si>
  <si>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</si>
  <si>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</si>
  <si>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</si>
  <si>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</si>
  <si>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</si>
  <si>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</si>
  <si>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</si>
  <si>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</si>
  <si>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</si>
  <si>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</si>
  <si>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</si>
  <si>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</si>
  <si>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</si>
  <si>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</si>
  <si>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</si>
  <si>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</si>
  <si>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</si>
  <si>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</si>
  <si>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</si>
  <si>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</si>
  <si>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</si>
  <si>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</si>
  <si>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</si>
  <si>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</si>
  <si>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</si>
  <si>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</si>
  <si>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</si>
  <si>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</si>
  <si>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</si>
  <si>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</si>
  <si>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</si>
  <si>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</si>
  <si>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</si>
  <si>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</si>
  <si>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</si>
  <si>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</si>
  <si>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</si>
  <si>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</si>
  <si>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</si>
  <si>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</si>
  <si>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</si>
  <si>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</si>
  <si>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</si>
  <si>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</si>
  <si>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</si>
  <si>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</si>
  <si>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</si>
  <si>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</si>
  <si>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</si>
  <si>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</si>
  <si>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</si>
  <si>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</si>
  <si>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</si>
  <si>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</si>
  <si>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</si>
  <si>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</si>
  <si>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</si>
  <si>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</si>
  <si>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</si>
  <si>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</si>
  <si>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</si>
  <si>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</si>
  <si>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</si>
  <si>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</si>
  <si>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</si>
  <si>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</si>
  <si>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</si>
  <si>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</si>
  <si>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</si>
  <si>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</si>
  <si>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</si>
  <si>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</si>
  <si>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</si>
  <si>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</si>
  <si>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</si>
  <si>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</si>
  <si>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</si>
  <si>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</si>
  <si>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</si>
  <si>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</si>
  <si>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</si>
  <si>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</si>
  <si>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</si>
  <si>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</si>
  <si>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</si>
  <si>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</si>
  <si>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</si>
  <si>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</si>
  <si>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</si>
  <si>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</si>
  <si>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</si>
  <si>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</si>
  <si>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</si>
  <si>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</si>
  <si>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</si>
  <si>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</si>
  <si>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</si>
  <si>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</si>
  <si>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</si>
  <si>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</si>
  <si>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</si>
  <si>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</si>
  <si>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</si>
  <si>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</si>
  <si>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</si>
  <si>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</si>
  <si>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</si>
  <si>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</si>
  <si>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</si>
  <si>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</si>
  <si>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</si>
  <si>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</si>
  <si>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</si>
  <si>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</si>
  <si>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</si>
  <si>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</si>
  <si>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</si>
  <si>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</si>
  <si>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</si>
  <si>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</si>
  <si>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</si>
  <si>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</si>
  <si>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</si>
  <si>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</si>
  <si>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</si>
  <si>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</si>
  <si>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</si>
  <si>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</si>
  <si>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</si>
  <si>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</si>
  <si>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</si>
  <si>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</si>
  <si>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</si>
  <si>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</si>
  <si>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</si>
  <si>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</si>
  <si>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</si>
  <si>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</si>
  <si>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</si>
  <si>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</si>
  <si>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</si>
  <si>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</si>
  <si>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</si>
  <si>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</si>
  <si>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</si>
  <si>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</si>
  <si>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</si>
  <si>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</si>
  <si>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</si>
  <si>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</si>
  <si>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</si>
  <si>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</si>
  <si>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</si>
  <si>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</si>
  <si>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</si>
  <si>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</si>
  <si>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</si>
  <si>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</si>
  <si>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</si>
  <si>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</si>
  <si>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</si>
  <si>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</si>
  <si>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</si>
  <si>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</si>
  <si>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</si>
  <si>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</si>
  <si>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</si>
  <si>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</si>
  <si>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</si>
  <si>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</si>
  <si>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</si>
  <si>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</si>
  <si>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</si>
  <si>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</si>
  <si>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</si>
  <si>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</si>
  <si>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</si>
  <si>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</si>
  <si>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</si>
  <si>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</si>
  <si>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</si>
  <si>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</si>
  <si>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</si>
  <si>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</si>
  <si>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</si>
  <si>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</si>
  <si>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</si>
  <si>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</si>
  <si>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</si>
  <si>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</si>
  <si>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</si>
  <si>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</si>
  <si>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</si>
  <si>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</si>
  <si>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</si>
  <si>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</si>
  <si>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</si>
  <si>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</si>
  <si>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</si>
  <si>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</si>
  <si>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</si>
  <si>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</si>
  <si>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</si>
  <si>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</si>
  <si>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</si>
  <si>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</si>
  <si>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</si>
  <si>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</si>
  <si>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</si>
  <si>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</si>
  <si>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</si>
  <si>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</si>
  <si>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</si>
  <si>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</si>
  <si>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</si>
  <si>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</si>
  <si>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</si>
  <si>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</si>
  <si>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</si>
  <si>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</si>
  <si>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</si>
  <si>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</si>
  <si>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</si>
  <si>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</si>
  <si>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</si>
  <si>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</si>
  <si>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</si>
  <si>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</si>
  <si>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</si>
  <si>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</si>
  <si>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</si>
  <si>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</si>
  <si>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</si>
  <si>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</si>
  <si>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</si>
  <si>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</si>
  <si>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</si>
  <si>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</si>
  <si>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</si>
  <si>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</si>
  <si>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</si>
  <si>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</si>
  <si>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</si>
  <si>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</si>
  <si>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</si>
  <si>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</si>
  <si>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</si>
  <si>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</si>
  <si>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</si>
  <si>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</si>
  <si>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</si>
  <si>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</si>
  <si>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</si>
  <si>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</si>
  <si>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</si>
  <si>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</si>
  <si>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</si>
  <si>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</si>
  <si>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</si>
  <si>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</si>
  <si>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</si>
  <si>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</si>
  <si>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</si>
  <si>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</si>
  <si>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</si>
  <si>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</si>
  <si>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</si>
  <si>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</si>
  <si>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</si>
  <si>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</si>
  <si>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</si>
  <si>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</si>
  <si>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</si>
  <si>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</si>
  <si>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</si>
  <si>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</si>
  <si>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</si>
  <si>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</si>
  <si>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</si>
  <si>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</si>
  <si>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</si>
  <si>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</si>
  <si>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</si>
  <si>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</si>
  <si>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</si>
  <si>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</si>
  <si>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</si>
  <si>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</si>
  <si>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</si>
  <si>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</si>
  <si>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</si>
  <si>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</si>
  <si>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</si>
  <si>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</si>
  <si>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</si>
  <si>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</si>
  <si>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</si>
  <si>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</si>
  <si>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</si>
  <si>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</si>
  <si>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</si>
  <si>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</si>
  <si>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</si>
  <si>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</si>
  <si>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</si>
  <si>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</si>
  <si>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</si>
  <si>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</si>
  <si>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</si>
  <si>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</si>
  <si>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</si>
  <si>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</si>
  <si>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</si>
  <si>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</si>
  <si>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</si>
  <si>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</si>
  <si>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</si>
  <si>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</si>
  <si>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</si>
  <si>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</si>
  <si>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</si>
  <si>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</si>
  <si>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</si>
  <si>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</si>
  <si>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</si>
  <si>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</si>
  <si>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</si>
  <si>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</si>
  <si>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</si>
  <si>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</si>
  <si>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</si>
  <si>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</si>
  <si>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</si>
  <si>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</si>
  <si>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</si>
  <si>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</si>
  <si>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</si>
  <si>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</si>
  <si>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</si>
  <si>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</si>
  <si>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</si>
  <si>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</si>
  <si>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</si>
  <si>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</si>
  <si>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</si>
  <si>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</si>
  <si>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</si>
  <si>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</si>
  <si>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</si>
  <si>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</si>
  <si>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</si>
  <si>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</si>
  <si>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</si>
  <si>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</si>
  <si>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</si>
  <si>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</si>
  <si>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</si>
  <si>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</si>
  <si>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</si>
  <si>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</si>
  <si>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</si>
  <si>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</si>
  <si>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</si>
  <si>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</si>
  <si>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</si>
  <si>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</si>
  <si>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</si>
  <si>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</si>
  <si>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</si>
  <si>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</si>
  <si>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</si>
  <si>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</si>
  <si>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</si>
  <si>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</si>
  <si>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</si>
  <si>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</si>
  <si>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</si>
  <si>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</si>
  <si>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</si>
  <si>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</si>
  <si>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</si>
  <si>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</si>
  <si>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</si>
  <si>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</si>
  <si>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</si>
  <si>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</si>
  <si>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</si>
  <si>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</si>
  <si>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</si>
  <si>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</si>
  <si>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</si>
  <si>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</si>
  <si>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</si>
  <si>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</si>
  <si>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</si>
  <si>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</si>
  <si>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</si>
  <si>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</si>
  <si>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</si>
  <si>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</si>
  <si>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</si>
  <si>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</si>
  <si>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</si>
  <si>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</si>
  <si>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</si>
  <si>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</si>
  <si>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</si>
  <si>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</si>
  <si>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</si>
  <si>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</si>
  <si>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</si>
  <si>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</si>
  <si>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</si>
  <si>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</si>
  <si>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</si>
  <si>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</si>
  <si>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</si>
  <si>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</si>
  <si>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</si>
  <si>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</si>
  <si>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</si>
  <si>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</si>
  <si>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</si>
  <si>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</si>
  <si>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</si>
  <si>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</si>
  <si>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</si>
  <si>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</si>
  <si>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</si>
  <si>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</si>
  <si>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</si>
  <si>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</si>
  <si>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</si>
  <si>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</si>
  <si>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</si>
  <si>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</si>
  <si>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</si>
  <si>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</si>
  <si>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</si>
  <si>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</si>
  <si>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</si>
  <si>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</si>
  <si>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</si>
  <si>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</si>
  <si>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</si>
  <si>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</si>
  <si>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</si>
  <si>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</si>
  <si>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</si>
  <si>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</si>
  <si>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</si>
  <si>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</si>
  <si>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</si>
  <si>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</si>
  <si>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</si>
  <si>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</si>
  <si>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</si>
  <si>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</si>
  <si>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</si>
  <si>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</si>
  <si>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</si>
  <si>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</si>
  <si>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</si>
  <si>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</si>
  <si>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</si>
  <si>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</si>
  <si>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</si>
  <si>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</si>
  <si>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</si>
  <si>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</si>
  <si>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</si>
  <si>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</si>
  <si>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</si>
  <si>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</si>
  <si>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</si>
  <si>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</si>
  <si>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</si>
  <si>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</si>
  <si>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</si>
  <si>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</si>
  <si>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</si>
  <si>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</si>
  <si>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</si>
  <si>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</si>
  <si>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</si>
  <si>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</si>
  <si>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</si>
  <si>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</si>
  <si>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</si>
  <si>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</si>
  <si>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</si>
  <si>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</si>
  <si>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</si>
  <si>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</si>
  <si>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</si>
  <si>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</si>
  <si>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</si>
  <si>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</si>
  <si>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</si>
  <si>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</si>
  <si>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</si>
  <si>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</si>
  <si>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</si>
  <si>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</si>
  <si>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</si>
  <si>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</si>
  <si>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</si>
  <si>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</si>
  <si>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</si>
  <si>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</si>
  <si>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</si>
  <si>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</si>
  <si>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</si>
  <si>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</si>
  <si>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</si>
  <si>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</si>
  <si>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</si>
  <si>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</si>
  <si>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</si>
  <si>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</si>
  <si>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</si>
  <si>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</si>
  <si>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</si>
  <si>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</si>
  <si>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</si>
  <si>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</si>
  <si>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</si>
  <si>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</si>
  <si>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</si>
  <si>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</si>
  <si>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</si>
  <si>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</si>
  <si>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</si>
  <si>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</si>
  <si>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</si>
  <si>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</si>
  <si>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</si>
  <si>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</si>
  <si>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</si>
  <si>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</si>
  <si>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</si>
  <si>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</si>
  <si>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</si>
  <si>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</si>
  <si>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</si>
  <si>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</si>
  <si>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</si>
  <si>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</si>
  <si>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</si>
  <si>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</si>
  <si>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</si>
  <si>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</si>
  <si>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</si>
  <si>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</si>
  <si>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</si>
  <si>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</si>
  <si>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</si>
  <si>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</si>
  <si>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</si>
  <si>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</si>
  <si>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</si>
  <si>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</si>
  <si>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</si>
  <si>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</si>
  <si>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</si>
  <si>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</si>
  <si>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</si>
  <si>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</si>
  <si>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</si>
  <si>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</si>
  <si>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</si>
  <si>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</si>
  <si>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</si>
  <si>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</si>
  <si>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</si>
  <si>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</si>
  <si>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</si>
  <si>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</si>
  <si>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</si>
  <si>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</si>
  <si>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</si>
  <si>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</si>
  <si>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</si>
  <si>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</si>
  <si>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</si>
  <si>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</si>
  <si>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</si>
  <si>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</si>
  <si>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</si>
  <si>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</si>
  <si>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</si>
  <si>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</si>
  <si>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</si>
  <si>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</si>
  <si>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</si>
  <si>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</si>
  <si>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</si>
  <si>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</si>
  <si>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</si>
  <si>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</si>
  <si>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</si>
  <si>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</si>
  <si>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</si>
  <si>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</si>
  <si>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</si>
  <si>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</si>
  <si>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</si>
  <si>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</si>
  <si>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</si>
  <si>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</si>
  <si>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</si>
  <si>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</si>
  <si>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</si>
  <si>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</si>
  <si>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</si>
  <si>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</si>
  <si>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</si>
  <si>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</si>
  <si>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</si>
  <si>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</si>
  <si>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</si>
  <si>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</si>
  <si>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</si>
  <si>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</si>
  <si>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</si>
  <si>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</si>
  <si>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</si>
  <si>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</si>
  <si>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</si>
  <si>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</si>
  <si>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</si>
  <si>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</si>
  <si>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</si>
  <si>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</si>
  <si>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</si>
  <si>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</si>
  <si>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</si>
  <si>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</si>
  <si>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</si>
  <si>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</si>
  <si>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</si>
  <si>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</si>
  <si>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</si>
  <si>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</si>
  <si>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</si>
  <si>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</si>
  <si>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</si>
  <si>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</si>
  <si>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</si>
  <si>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</si>
  <si>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</si>
  <si>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</si>
  <si>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</si>
  <si>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</si>
  <si>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</si>
  <si>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</si>
  <si>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</si>
  <si>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</si>
  <si>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</si>
  <si>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</si>
  <si>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</si>
  <si>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</si>
  <si>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</si>
  <si>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</si>
  <si>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</si>
  <si>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</si>
  <si>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</si>
  <si>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</si>
  <si>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</si>
  <si>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</si>
  <si>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</si>
  <si>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</si>
  <si>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</si>
  <si>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</si>
  <si>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</si>
  <si>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</si>
  <si>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</si>
  <si>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</si>
  <si>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</si>
  <si>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</si>
  <si>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</si>
  <si>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</si>
  <si>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</si>
  <si>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</si>
  <si>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</si>
  <si>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</si>
  <si>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</si>
  <si>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</si>
  <si>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</si>
  <si>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</si>
  <si>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</si>
  <si>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</si>
  <si>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</si>
  <si>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</si>
  <si>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</si>
  <si>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</si>
  <si>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</si>
  <si>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</si>
  <si>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</si>
  <si>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</si>
  <si>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</si>
  <si>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</si>
  <si>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</si>
  <si>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</si>
  <si>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</si>
  <si>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</si>
  <si>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</si>
  <si>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</si>
  <si>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</si>
  <si>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</si>
  <si>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</si>
  <si>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</si>
  <si>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</si>
  <si>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</si>
  <si>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</si>
  <si>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</si>
  <si>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</si>
  <si>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</si>
  <si>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</si>
  <si>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</si>
  <si>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</si>
  <si>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</si>
  <si>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</si>
  <si>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</si>
  <si>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</si>
  <si>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</si>
  <si>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</si>
  <si>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</si>
  <si>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</si>
  <si>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</si>
  <si>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</si>
  <si>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</si>
  <si>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</si>
  <si>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</si>
  <si>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</si>
  <si>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</si>
  <si>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</si>
  <si>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</si>
  <si>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</si>
  <si>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</si>
  <si>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</si>
  <si>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</si>
  <si>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</si>
  <si>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</si>
  <si>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</si>
  <si>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</si>
  <si>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</si>
  <si>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</si>
  <si>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</si>
  <si>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</si>
  <si>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</si>
  <si>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</si>
  <si>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</si>
  <si>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</si>
  <si>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</si>
  <si>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</si>
  <si>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</si>
  <si>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</si>
  <si>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</si>
  <si>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</si>
  <si>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</si>
  <si>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</si>
  <si>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</si>
  <si>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</si>
  <si>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</si>
  <si>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</si>
  <si>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</si>
  <si>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</si>
  <si>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</si>
  <si>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</si>
  <si>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</si>
  <si>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</si>
  <si>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</si>
  <si>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</si>
  <si>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</si>
  <si>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</si>
  <si>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</si>
  <si>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</si>
  <si>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</si>
  <si>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</si>
  <si>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</si>
  <si>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</si>
  <si>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</si>
  <si>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</si>
  <si>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</si>
  <si>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</si>
  <si>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</si>
  <si>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</si>
  <si>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</si>
  <si>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</si>
  <si>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</si>
  <si>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</si>
  <si>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</si>
  <si>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</si>
  <si>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</si>
  <si>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</si>
  <si>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</si>
  <si>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</si>
  <si>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</si>
  <si>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</si>
  <si>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</si>
  <si>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</si>
  <si>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</si>
  <si>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</si>
  <si>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</si>
  <si>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</si>
  <si>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</si>
  <si>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</si>
  <si>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</si>
  <si>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</si>
  <si>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</si>
  <si>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</si>
  <si>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</si>
  <si>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</si>
  <si>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</si>
  <si>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</si>
  <si>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</si>
  <si>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</si>
  <si>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</si>
  <si>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</si>
  <si>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</si>
  <si>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</si>
  <si>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</si>
  <si>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</si>
  <si>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</si>
  <si>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</si>
  <si>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</si>
  <si>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</si>
  <si>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</si>
  <si>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</si>
  <si>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</si>
  <si>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</si>
  <si>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</si>
  <si>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</si>
  <si>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</si>
  <si>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</si>
  <si>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</si>
  <si>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</si>
  <si>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</si>
  <si>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</si>
  <si>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</si>
  <si>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</si>
  <si>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</si>
  <si>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</si>
  <si>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</si>
  <si>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</si>
  <si>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</si>
  <si>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</si>
  <si>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</si>
  <si>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</si>
  <si>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</si>
  <si>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</si>
  <si>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</si>
  <si>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</si>
  <si>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</si>
  <si>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</si>
  <si>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</si>
  <si>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</si>
  <si>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</si>
  <si>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</si>
  <si>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</si>
  <si>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</si>
  <si>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崔锴</t>
  </si>
  <si>
    <t>欧红伟</t>
  </si>
  <si>
    <t>当代节能置业股份有限公司</t>
  </si>
  <si>
    <t>抵押</t>
  </si>
  <si>
    <t>房地产抵押价值</t>
  </si>
  <si>
    <t>北京市</t>
  </si>
  <si>
    <t>企业</t>
  </si>
  <si>
    <t>出让</t>
  </si>
  <si>
    <r>
      <t>25.35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</si>
  <si>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007174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</si>
  <si>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2005</t>
    </r>
    <r>
      <rPr>
        <sz val="12"/>
        <color theme="9" tint="-0.249977111117893"/>
        <rFont val="宋体"/>
        <family val="3"/>
        <charset val="134"/>
      </rPr>
      <t>出）第更</t>
    </r>
    <r>
      <rPr>
        <sz val="12"/>
        <color theme="9" tint="-0.249977111117893"/>
        <rFont val="Arial"/>
        <family val="2"/>
      </rPr>
      <t>0029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、《房产抵押土地分摊面积计算》</t>
    </r>
    <phoneticPr fontId="6" type="noConversion"/>
  </si>
  <si>
    <t>是</t>
  </si>
  <si>
    <t>通路</t>
  </si>
  <si>
    <t>通电</t>
  </si>
  <si>
    <t>通讯</t>
  </si>
  <si>
    <t>通上水</t>
  </si>
  <si>
    <t>通下水</t>
  </si>
  <si>
    <t>燃气</t>
  </si>
  <si>
    <t>地上</t>
  </si>
  <si>
    <t>序号</t>
  </si>
  <si>
    <t>产权所属公司</t>
  </si>
  <si>
    <t>项目分期</t>
  </si>
  <si>
    <t xml:space="preserve"> 房产证号</t>
  </si>
  <si>
    <t>土地证号</t>
  </si>
  <si>
    <t>性质</t>
  </si>
  <si>
    <t>建筑面积</t>
  </si>
  <si>
    <t>当代节能置业</t>
  </si>
  <si>
    <t>万国城北区</t>
  </si>
  <si>
    <t>1#101</t>
  </si>
  <si>
    <t>X房权证东股字第007174号</t>
  </si>
  <si>
    <t>京东国用（2005出）字第更0029号</t>
  </si>
  <si>
    <t>面包房</t>
  </si>
  <si>
    <t>自营</t>
  </si>
  <si>
    <t>1#102</t>
  </si>
  <si>
    <t>1#106</t>
  </si>
  <si>
    <t>1#108</t>
  </si>
  <si>
    <t>1#210</t>
  </si>
  <si>
    <t>蔓兰家的四季餐厅</t>
  </si>
  <si>
    <t>1#211</t>
  </si>
  <si>
    <t>8#-101</t>
  </si>
  <si>
    <t>X房权证东股字第018957号</t>
  </si>
  <si>
    <t>蔓兰家的院子（职工餐厅）</t>
  </si>
  <si>
    <t>10#1807</t>
  </si>
  <si>
    <t>X房权证东股字第007339号</t>
  </si>
  <si>
    <t>博物馆、展会空间</t>
    <phoneticPr fontId="143" type="noConversion"/>
  </si>
  <si>
    <t>10#1907</t>
  </si>
  <si>
    <t>2#1907</t>
  </si>
  <si>
    <t>游泳池</t>
    <phoneticPr fontId="143" type="noConversion"/>
  </si>
  <si>
    <t>2#2007</t>
  </si>
  <si>
    <t>2#2107</t>
  </si>
  <si>
    <t>2#2206</t>
  </si>
  <si>
    <t>3#1908</t>
  </si>
  <si>
    <t>连廊</t>
  </si>
  <si>
    <t>3#2008</t>
  </si>
  <si>
    <t>健身房</t>
    <phoneticPr fontId="143" type="noConversion"/>
  </si>
  <si>
    <t>3#2108</t>
  </si>
  <si>
    <t>5#1907</t>
  </si>
  <si>
    <t>5#2007</t>
  </si>
  <si>
    <t>5#2107</t>
  </si>
  <si>
    <t>7#1203</t>
  </si>
  <si>
    <t>小型放映厅、博物馆、会客厅</t>
    <phoneticPr fontId="143" type="noConversion"/>
  </si>
  <si>
    <t>7#1205</t>
  </si>
  <si>
    <t>7#1206</t>
  </si>
  <si>
    <t>8#1505</t>
  </si>
  <si>
    <t>8#1506</t>
  </si>
  <si>
    <t>8#1507</t>
  </si>
  <si>
    <t>8#1605</t>
  </si>
  <si>
    <t>9#1707</t>
  </si>
  <si>
    <t>X京房权证东股字第008659号</t>
  </si>
  <si>
    <t>9#1807</t>
  </si>
  <si>
    <t>1#2106</t>
  </si>
  <si>
    <t>韩国美容</t>
  </si>
  <si>
    <t>1#2006</t>
  </si>
  <si>
    <t>自营合计</t>
  </si>
  <si>
    <t>1#103</t>
  </si>
  <si>
    <t>北京魔马便利商贸有限公司</t>
  </si>
  <si>
    <t>出租</t>
  </si>
  <si>
    <t>1#105</t>
  </si>
  <si>
    <t>北京润辰丰和生物科技有限公司(形象造型设计室)</t>
  </si>
  <si>
    <t>10#101</t>
  </si>
  <si>
    <t>绿色远航（北京）教育科技有限公司（魔法日托）</t>
  </si>
  <si>
    <t>10#102</t>
  </si>
  <si>
    <t>北京阳光万国商务咨询有限公司（SD红酒）</t>
  </si>
  <si>
    <t>10#103</t>
  </si>
  <si>
    <t>向婷、霍尔果斯星动九州品牌策划有限责任公司</t>
  </si>
  <si>
    <t>2#102</t>
  </si>
  <si>
    <t>北京库布里克书店有限公司</t>
  </si>
  <si>
    <t>2#105</t>
  </si>
  <si>
    <t>5#101</t>
  </si>
  <si>
    <t>中业万达（北京）建设工程有限公司(茶舍）</t>
  </si>
  <si>
    <t>5#102</t>
  </si>
  <si>
    <t>王林飞（飞宝藏花店）</t>
  </si>
  <si>
    <t>7#103</t>
  </si>
  <si>
    <t>北京瑞知金诚科技有限责任公司</t>
  </si>
  <si>
    <t>7#101</t>
  </si>
  <si>
    <t>北京晟庭教育咨询管理有限公司（金宝贝）</t>
  </si>
  <si>
    <t>7#102</t>
  </si>
  <si>
    <t>8#105</t>
  </si>
  <si>
    <t>北京晟庭教育咨询管理有限公司（金宝贝）</t>
    <phoneticPr fontId="143" type="noConversion"/>
  </si>
  <si>
    <t xml:space="preserve">太一明堂（北京）中医门诊部有限公司 </t>
    <phoneticPr fontId="143" type="noConversion"/>
  </si>
  <si>
    <t>8#101</t>
  </si>
  <si>
    <t>北京普瑞康鸿科技有限公司</t>
    <phoneticPr fontId="143" type="noConversion"/>
  </si>
  <si>
    <t>8#103</t>
  </si>
  <si>
    <t>8#102</t>
  </si>
  <si>
    <t>北京良易源文化发展有限公司</t>
    <phoneticPr fontId="143" type="noConversion"/>
  </si>
  <si>
    <t>8#-102</t>
  </si>
  <si>
    <t>北京斯芬克教育咨询有限公司105.7</t>
    <phoneticPr fontId="143" type="noConversion"/>
  </si>
  <si>
    <t>北巅科技文化（北京）有限公司60</t>
    <phoneticPr fontId="143" type="noConversion"/>
  </si>
  <si>
    <t>设计工作室（爱东）（九巷建设）60</t>
    <phoneticPr fontId="143" type="noConversion"/>
  </si>
  <si>
    <t>自营131.82蔓兰家的院子</t>
    <phoneticPr fontId="143" type="noConversion"/>
  </si>
  <si>
    <t>自营</t>
    <phoneticPr fontId="143" type="noConversion"/>
  </si>
  <si>
    <t>8#106</t>
  </si>
  <si>
    <t>北京恩廷文化传播有限公司（E.N.T造型工作室）</t>
  </si>
  <si>
    <t>9#102</t>
  </si>
  <si>
    <t>北京尚品世家寄卖中心(奢侈品旗舰店)</t>
  </si>
  <si>
    <t>9#103</t>
  </si>
  <si>
    <t>百嘉泽国际投资管理（北京）有限公司（装修）</t>
  </si>
  <si>
    <t>9#105</t>
  </si>
  <si>
    <t>梁迪威（暖 会议中心）</t>
  </si>
  <si>
    <t>9#106</t>
  </si>
  <si>
    <t>樊跃（跃上工作室）</t>
  </si>
  <si>
    <t>9#110</t>
  </si>
  <si>
    <t>曼公子（北京）文化传播有限公司（MSPEARL艺术收藏)</t>
  </si>
  <si>
    <t>出租合计</t>
  </si>
  <si>
    <t>房号</t>
  </si>
  <si>
    <t>对方单位</t>
  </si>
  <si>
    <t>经营类型</t>
  </si>
  <si>
    <t>实测面积（平米）</t>
  </si>
  <si>
    <t>持有/出租情况</t>
  </si>
  <si>
    <t>合同起始日</t>
  </si>
  <si>
    <t>合同到期日</t>
  </si>
  <si>
    <t>首年月租金</t>
    <phoneticPr fontId="257" type="noConversion"/>
  </si>
  <si>
    <t>第二年月租金</t>
    <phoneticPr fontId="257" type="noConversion"/>
  </si>
  <si>
    <t>第三年月租金</t>
    <phoneticPr fontId="257" type="noConversion"/>
  </si>
  <si>
    <t>合同金额</t>
  </si>
  <si>
    <t>第四年租金</t>
    <phoneticPr fontId="257" type="noConversion"/>
  </si>
  <si>
    <t>第五年租金</t>
    <phoneticPr fontId="257" type="noConversion"/>
  </si>
  <si>
    <t>当代MOMA</t>
  </si>
  <si>
    <t>当代MOMA小区S1-103</t>
  </si>
  <si>
    <t>便利店</t>
  </si>
  <si>
    <t>2018.10.1</t>
    <phoneticPr fontId="257" type="noConversion"/>
  </si>
  <si>
    <t>2019.9.30</t>
  </si>
  <si>
    <t>当代MOMA小区T1号楼1层第105号</t>
  </si>
  <si>
    <t>北京润辰丰和生物科技有限公司</t>
  </si>
  <si>
    <t>形象造型设计室</t>
  </si>
  <si>
    <t>2017.10.23</t>
  </si>
  <si>
    <t>2020.10.22</t>
  </si>
  <si>
    <t>当代摩码小区T2-102/105</t>
  </si>
  <si>
    <t>书店</t>
  </si>
  <si>
    <t>2009.5.1</t>
  </si>
  <si>
    <t>2028.11.30</t>
  </si>
  <si>
    <t>浮动型</t>
  </si>
  <si>
    <t>当代MOMA小区T5-101</t>
  </si>
  <si>
    <t>中业万达（北京）建设工程有限公司</t>
  </si>
  <si>
    <t>文化艺术茶馆</t>
  </si>
  <si>
    <t>2018.8.1</t>
  </si>
  <si>
    <t>2021.7.31</t>
  </si>
  <si>
    <t>当代MOMA小区T5-102</t>
    <phoneticPr fontId="257" type="noConversion"/>
  </si>
  <si>
    <t>王林飞</t>
  </si>
  <si>
    <t>花店</t>
  </si>
  <si>
    <t>2017.7.6</t>
  </si>
  <si>
    <t>2020.7.5</t>
  </si>
  <si>
    <t>7-101B</t>
    <phoneticPr fontId="257" type="noConversion"/>
  </si>
  <si>
    <t>北京晟庭教育咨询管理有限公司</t>
    <phoneticPr fontId="257" type="noConversion"/>
  </si>
  <si>
    <t>儿童早教</t>
  </si>
  <si>
    <t>2015.11.15</t>
  </si>
  <si>
    <t>2023.11.14</t>
  </si>
  <si>
    <t>当代MOMA小区T7-101、102；S8-101B</t>
    <phoneticPr fontId="257" type="noConversion"/>
  </si>
  <si>
    <t>当代MOMA小区T7号楼1层103号</t>
  </si>
  <si>
    <t>北京瑞知金诚科技有限责任公司</t>
    <phoneticPr fontId="257" type="noConversion"/>
  </si>
  <si>
    <t>儿童教育培训</t>
  </si>
  <si>
    <t>2017.5.16</t>
  </si>
  <si>
    <t>2020.5.15</t>
  </si>
  <si>
    <t>当代MOMA小区T8-101/102</t>
  </si>
  <si>
    <t>北京普瑞康鸿科技有限公司</t>
  </si>
  <si>
    <t>会客厅、茶室</t>
  </si>
  <si>
    <t>2018.7.5</t>
  </si>
  <si>
    <t>2021.7.4</t>
  </si>
  <si>
    <t>当代MOMA小区T8-103</t>
  </si>
  <si>
    <t>北京恩廷文化传播有限公司</t>
  </si>
  <si>
    <t>服装设计、体验、展览工作室</t>
  </si>
  <si>
    <t>2017.4.12</t>
  </si>
  <si>
    <t>2019.4.11</t>
  </si>
  <si>
    <t>当代MOMA小区S9-102</t>
  </si>
  <si>
    <t>北京尚品世家寄卖中心</t>
  </si>
  <si>
    <t>奢侈品旗舰店</t>
  </si>
  <si>
    <t>2016.2.23</t>
  </si>
  <si>
    <t>2019.2.22</t>
  </si>
  <si>
    <t>当代MOMA小区S9号楼1层第103号</t>
  </si>
  <si>
    <t>百嘉泽国际投资管理（北京）有限公司</t>
    <phoneticPr fontId="257" type="noConversion"/>
  </si>
  <si>
    <t>艺术品商店</t>
  </si>
  <si>
    <t>2017.12.10</t>
  </si>
  <si>
    <t>2020.12.9</t>
  </si>
  <si>
    <t>S9-105</t>
  </si>
  <si>
    <t>梁迪威</t>
  </si>
  <si>
    <t>文化交流中心</t>
  </si>
  <si>
    <t>2018.8.15</t>
  </si>
  <si>
    <t>2023.8.14</t>
  </si>
  <si>
    <t>当代MOMA小区T9-110</t>
  </si>
  <si>
    <t>曼公子（北京）文化传播有限公司</t>
  </si>
  <si>
    <t>艺术收藏</t>
  </si>
  <si>
    <t>2018.8.10</t>
  </si>
  <si>
    <t>2020.8.9</t>
  </si>
  <si>
    <t>当代MOMA小区T9号楼106</t>
  </si>
  <si>
    <t>樊跃</t>
    <phoneticPr fontId="257" type="noConversion"/>
  </si>
  <si>
    <t>工作室</t>
  </si>
  <si>
    <t>2017.4.20</t>
  </si>
  <si>
    <t>2020.4.19</t>
  </si>
  <si>
    <t>当代MOMA小区T10-102</t>
  </si>
  <si>
    <t>北京阳光万国商务咨询有限公司</t>
  </si>
  <si>
    <t>红酒销售</t>
  </si>
  <si>
    <t>2018.5.15</t>
  </si>
  <si>
    <t>2019.5.14</t>
  </si>
  <si>
    <t>当代MOMA小区T10-101</t>
  </si>
  <si>
    <t>绿色远航（北京）教育科技有限公司</t>
  </si>
  <si>
    <t>艺术教育培训</t>
  </si>
  <si>
    <t>2018.4.15</t>
  </si>
  <si>
    <t>2021.4.14</t>
  </si>
  <si>
    <t>当代MOMA小区T10-103-1</t>
  </si>
  <si>
    <t>霍尔果斯星动九州品牌策划有限责任公司</t>
    <phoneticPr fontId="257" type="noConversion"/>
  </si>
  <si>
    <t>2017.12.11</t>
  </si>
  <si>
    <t>2020.12.20</t>
  </si>
  <si>
    <t>S8B1-101</t>
    <phoneticPr fontId="257" type="noConversion"/>
  </si>
  <si>
    <t>北京斯芬克教育咨询有限公司</t>
    <phoneticPr fontId="257" type="noConversion"/>
  </si>
  <si>
    <t>音乐讲堂</t>
  </si>
  <si>
    <t>2018.6.10</t>
  </si>
  <si>
    <t>2019.6.9</t>
  </si>
  <si>
    <t>S8B1-102</t>
  </si>
  <si>
    <t>北巅科技文化（北京）有限公司</t>
    <phoneticPr fontId="257" type="noConversion"/>
  </si>
  <si>
    <t>2018.9.14</t>
    <phoneticPr fontId="257" type="noConversion"/>
  </si>
  <si>
    <t>2019.3.14</t>
    <phoneticPr fontId="257" type="noConversion"/>
  </si>
  <si>
    <t>S8B1-103</t>
  </si>
  <si>
    <t>设计工作室（爱东）</t>
  </si>
  <si>
    <t>2016.8.1</t>
  </si>
  <si>
    <t>2019.7.31</t>
  </si>
  <si>
    <t>S8-101A</t>
  </si>
  <si>
    <t>太一明堂（北京）中医门诊部有限公司</t>
    <phoneticPr fontId="257" type="noConversion"/>
  </si>
  <si>
    <t>2018.6.1</t>
  </si>
  <si>
    <t>2019.5.31</t>
  </si>
  <si>
    <t>S8-102A/102B</t>
    <phoneticPr fontId="257" type="noConversion"/>
  </si>
  <si>
    <t>北京良易源文化发展有限公司</t>
    <phoneticPr fontId="257" type="noConversion"/>
  </si>
  <si>
    <t>服装店</t>
    <phoneticPr fontId="257" type="noConversion"/>
  </si>
  <si>
    <t>2018.11.11</t>
    <phoneticPr fontId="257" type="noConversion"/>
  </si>
  <si>
    <t>2021.11.10</t>
    <phoneticPr fontId="257" type="noConversion"/>
  </si>
  <si>
    <t>自用</t>
  </si>
  <si>
    <t>批发零售用地</t>
  </si>
  <si>
    <t>不临58条商业街</t>
  </si>
  <si>
    <t>六通一平</t>
  </si>
  <si>
    <t>缺少</t>
  </si>
  <si>
    <t>通热</t>
  </si>
  <si>
    <t>容积率修正</t>
  </si>
  <si>
    <t>全部缴纳</t>
  </si>
  <si>
    <t>未包含在土地购买价格中</t>
  </si>
  <si>
    <t>已包含在土地取得成本中</t>
  </si>
  <si>
    <t>成新度</t>
  </si>
  <si>
    <t>商业</t>
    <phoneticPr fontId="31" type="noConversion"/>
  </si>
  <si>
    <t>20-30（含）</t>
  </si>
  <si>
    <t>临街</t>
  </si>
  <si>
    <t>临街</t>
    <phoneticPr fontId="31" type="noConversion"/>
  </si>
  <si>
    <t>不临街</t>
  </si>
  <si>
    <t>不临街</t>
    <phoneticPr fontId="31" type="noConversion"/>
  </si>
  <si>
    <t>餐饮</t>
    <phoneticPr fontId="31" type="noConversion"/>
  </si>
  <si>
    <t>1层</t>
    <phoneticPr fontId="143" type="noConversion"/>
  </si>
  <si>
    <t>2层</t>
    <phoneticPr fontId="143" type="noConversion"/>
  </si>
  <si>
    <r>
      <t>1</t>
    </r>
    <r>
      <rPr>
        <sz val="11"/>
        <color theme="1"/>
        <rFont val="宋体"/>
        <family val="3"/>
        <charset val="134"/>
        <scheme val="minor"/>
      </rPr>
      <t>9-22层</t>
    </r>
    <phoneticPr fontId="143" type="noConversion"/>
  </si>
  <si>
    <t>收益法-自用</t>
  </si>
  <si>
    <t>收益法-自用</t>
    <phoneticPr fontId="16" type="noConversion"/>
  </si>
  <si>
    <t>收益法-出租</t>
  </si>
  <si>
    <t>收益法-出租</t>
    <phoneticPr fontId="16" type="noConversion"/>
  </si>
  <si>
    <t>押一</t>
  </si>
  <si>
    <t>按租金收入计税</t>
  </si>
  <si>
    <t>出租</t>
    <phoneticPr fontId="7" type="noConversion"/>
  </si>
  <si>
    <t>自用</t>
    <phoneticPr fontId="7" type="noConversion"/>
  </si>
  <si>
    <t>钢混</t>
  </si>
  <si>
    <t>非生产用房</t>
  </si>
  <si>
    <t>成本法</t>
  </si>
  <si>
    <t>成本比率</t>
  </si>
  <si>
    <t>较好</t>
  </si>
  <si>
    <t>好</t>
  </si>
  <si>
    <t>估价对象位于东直门商圈，周边商业氛围成熟，人流量大，商业繁华度好</t>
    <phoneticPr fontId="25" type="noConversion"/>
  </si>
  <si>
    <t>估价对象周边2公里范围内有18路、123路、413路、635路、916路等公交线路，南距地铁二号线东直门站及东直门交通枢纽约1公里，公交便捷度较好、停车便捷程度较好，综合评价交通便捷度较好</t>
    <phoneticPr fontId="41" type="noConversion"/>
  </si>
  <si>
    <t>估价对象所在区域公共配套设施齐备情况较齐全（购物场所（华润万家便利超市等）、医院（左家庄医院、北京中医药大学东直门医院等）、银行（中国工商银行、中国建设银行、中国银行等）、学校（北京市东直门中学等））</t>
    <phoneticPr fontId="41" type="noConversion"/>
  </si>
  <si>
    <t>估价对象所在区域基础设施水平好（七通）</t>
    <phoneticPr fontId="25" type="noConversion"/>
  </si>
  <si>
    <t>区域自然环境：芳沁园、南馆公园；人文环境：北京电大朝阳分校等教育机构；综合评价环境状况较好</t>
    <phoneticPr fontId="41"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</si>
  <si>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机场高速</t>
    </r>
    <phoneticPr fontId="25" type="noConversion"/>
  </si>
  <si>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5</t>
    </r>
    <r>
      <rPr>
        <sz val="12"/>
        <color theme="9" tint="-0.249977111117893"/>
        <rFont val="宋体"/>
        <family val="3"/>
        <charset val="134"/>
      </rPr>
      <t>、</t>
    </r>
    <r>
      <rPr>
        <sz val="12"/>
        <color theme="9" tint="-0.249977111117893"/>
        <rFont val="Arial"/>
        <family val="2"/>
      </rPr>
      <t>10</t>
    </r>
    <r>
      <rPr>
        <sz val="12"/>
        <color theme="9" tint="-0.249977111117893"/>
        <rFont val="宋体"/>
        <family val="3"/>
        <charset val="134"/>
      </rPr>
      <t>号楼</t>
    </r>
    <phoneticPr fontId="6" type="noConversion"/>
  </si>
  <si>
    <t>2020-2</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</si>
  <si>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</si>
  <si>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2020-1</t>
    <phoneticPr fontId="3" type="noConversion"/>
  </si>
  <si>
    <t>2019-4</t>
    <phoneticPr fontId="3" type="noConversion"/>
  </si>
  <si>
    <t>2019-3</t>
    <phoneticPr fontId="3" type="noConversion"/>
  </si>
  <si>
    <t>2019-2</t>
    <phoneticPr fontId="3" type="noConversion"/>
  </si>
  <si>
    <t>2019-1</t>
    <phoneticPr fontId="3" type="noConversion"/>
  </si>
  <si>
    <t>售价</t>
  </si>
  <si>
    <t>连廊</t>
    <phoneticPr fontId="143" type="noConversion"/>
  </si>
  <si>
    <t>1层</t>
    <phoneticPr fontId="143" type="noConversion"/>
  </si>
  <si>
    <t>一般</t>
  </si>
  <si>
    <t>典型户型修正</t>
  </si>
  <si>
    <t>典型户型修正</t>
    <phoneticPr fontId="16" type="noConversion"/>
  </si>
  <si>
    <t>连廊</t>
    <phoneticPr fontId="25" type="noConversion"/>
  </si>
  <si>
    <t>七通</t>
  </si>
  <si>
    <t>好</t>
    <phoneticPr fontId="31" type="noConversion"/>
  </si>
  <si>
    <t>较好</t>
    <phoneticPr fontId="31" type="noConversion"/>
  </si>
  <si>
    <t>一般</t>
    <phoneticPr fontId="31" type="noConversion"/>
  </si>
  <si>
    <t>大</t>
    <phoneticPr fontId="31" type="noConversion"/>
  </si>
  <si>
    <t>较大</t>
  </si>
  <si>
    <t>较大</t>
    <phoneticPr fontId="31" type="noConversion"/>
  </si>
  <si>
    <t>国盛</t>
    <phoneticPr fontId="3" type="noConversion"/>
  </si>
  <si>
    <t>来福士</t>
    <phoneticPr fontId="3" type="noConversion"/>
  </si>
  <si>
    <t>东直门地铁</t>
    <phoneticPr fontId="3" type="noConversion"/>
  </si>
  <si>
    <t>底商</t>
  </si>
  <si>
    <t>底商</t>
    <phoneticPr fontId="31" type="noConversion"/>
  </si>
  <si>
    <t>精装修</t>
  </si>
  <si>
    <t>精装修</t>
    <phoneticPr fontId="31" type="noConversion"/>
  </si>
  <si>
    <t>七通</t>
    <phoneticPr fontId="31" type="noConversion"/>
  </si>
  <si>
    <t>六通</t>
  </si>
  <si>
    <t>六通</t>
    <phoneticPr fontId="31" type="noConversion"/>
  </si>
  <si>
    <t>标准</t>
  </si>
  <si>
    <t>标准</t>
    <phoneticPr fontId="31" type="noConversion"/>
  </si>
  <si>
    <t>普通装修</t>
  </si>
  <si>
    <t>普通装修</t>
    <phoneticPr fontId="31" type="noConversion"/>
  </si>
  <si>
    <t>钢混</t>
    <phoneticPr fontId="31" type="noConversion"/>
  </si>
  <si>
    <r>
      <t>1</t>
    </r>
    <r>
      <rPr>
        <sz val="11"/>
        <color indexed="8"/>
        <rFont val="宋体"/>
        <family val="3"/>
        <charset val="134"/>
      </rPr>
      <t>层</t>
    </r>
    <phoneticPr fontId="31"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</si>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</sst>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0"/>
      <name val="宋体"/>
      <family val="3"/>
      <charset val="134"/>
      <scheme val="minor"/>
    </font>
    <font>
      <sz val="12"/>
      <name val="Times New Roman"/>
      <family val="1"/>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alignment vertical="center"/>
    </xf>
    <xf numFmtId="0" fontId="256" fillId="0" borderId="0">
      <alignment vertical="center"/>
    </xf>
    <xf numFmtId="43" fontId="99" fillId="0" borderId="0" applyFont="0" applyFill="0" applyBorder="0" applyAlignment="0" applyProtection="0">
      <alignment vertical="center"/>
    </xf>
  </cellStyleXfs>
  <cellXfs count="33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0" fontId="108" fillId="14" borderId="0" xfId="9" applyFont="1" applyFill="1">
      <alignmen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49" fontId="230"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00" fillId="0" borderId="1" xfId="0" applyFont="1" applyFill="1" applyBorder="1" applyAlignment="1">
      <alignment horizontal="center"/>
    </xf>
    <xf numFmtId="0" fontId="100" fillId="0" borderId="1" xfId="0" applyFont="1" applyFill="1" applyBorder="1" applyAlignment="1"/>
    <xf numFmtId="0" fontId="254" fillId="0" borderId="1" xfId="0" applyFont="1" applyFill="1" applyBorder="1" applyAlignment="1"/>
    <xf numFmtId="0" fontId="100" fillId="0" borderId="0" xfId="0" applyFont="1" applyFill="1" applyAlignment="1">
      <alignment horizontal="center"/>
    </xf>
    <xf numFmtId="0" fontId="113" fillId="0" borderId="0" xfId="0" applyFont="1" applyFill="1" applyAlignment="1"/>
    <xf numFmtId="0" fontId="113" fillId="0" borderId="1" xfId="0" applyFont="1" applyFill="1" applyBorder="1" applyAlignment="1">
      <alignment horizontal="center"/>
    </xf>
    <xf numFmtId="0" fontId="113" fillId="0" borderId="5" xfId="0" applyFont="1" applyFill="1" applyBorder="1" applyAlignment="1">
      <alignment horizontal="center"/>
    </xf>
    <xf numFmtId="0" fontId="19" fillId="0" borderId="3" xfId="0" applyFont="1" applyFill="1" applyBorder="1" applyAlignment="1">
      <alignment horizontal="center" vertical="center" wrapText="1"/>
    </xf>
    <xf numFmtId="0" fontId="240"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55" fillId="0" borderId="0" xfId="0" applyFont="1" applyFill="1" applyBorder="1" applyAlignment="1"/>
    <xf numFmtId="0" fontId="113" fillId="0" borderId="58" xfId="0" applyFont="1" applyFill="1" applyBorder="1" applyAlignment="1"/>
    <xf numFmtId="0" fontId="0" fillId="0" borderId="0" xfId="0" applyFill="1" applyAlignment="1"/>
    <xf numFmtId="0" fontId="255" fillId="0" borderId="1" xfId="0" applyFont="1" applyFill="1" applyBorder="1" applyAlignment="1"/>
    <xf numFmtId="0" fontId="19" fillId="0" borderId="1" xfId="17" applyFont="1" applyFill="1" applyBorder="1" applyAlignment="1">
      <alignment vertical="center" wrapText="1"/>
    </xf>
    <xf numFmtId="0" fontId="19" fillId="0" borderId="1" xfId="17" applyFont="1" applyFill="1" applyBorder="1">
      <alignment vertical="center"/>
    </xf>
    <xf numFmtId="0" fontId="19" fillId="0" borderId="13" xfId="17" applyFont="1" applyFill="1" applyBorder="1" applyAlignment="1">
      <alignment vertical="center" wrapText="1"/>
    </xf>
    <xf numFmtId="0" fontId="113" fillId="0" borderId="0" xfId="0" applyFont="1" applyFill="1" applyAlignment="1">
      <alignment horizontal="center"/>
    </xf>
    <xf numFmtId="0" fontId="19" fillId="0" borderId="1" xfId="17" applyFont="1" applyFill="1" applyBorder="1" applyAlignment="1">
      <alignment horizontal="left" vertical="center" wrapText="1"/>
    </xf>
    <xf numFmtId="0" fontId="0" fillId="0" borderId="36" xfId="0" applyFill="1" applyBorder="1" applyAlignment="1"/>
    <xf numFmtId="0" fontId="254" fillId="0" borderId="0" xfId="0" applyFont="1" applyFill="1" applyAlignment="1"/>
    <xf numFmtId="0" fontId="0" fillId="0" borderId="0" xfId="0" applyFill="1" applyAlignment="1">
      <alignment horizontal="center"/>
    </xf>
    <xf numFmtId="0" fontId="113" fillId="0" borderId="0" xfId="0" applyFont="1" applyFill="1" applyBorder="1" applyAlignment="1">
      <alignment horizontal="center"/>
    </xf>
    <xf numFmtId="0" fontId="19" fillId="0" borderId="0" xfId="17" applyFont="1" applyFill="1">
      <alignment vertical="center"/>
    </xf>
    <xf numFmtId="0" fontId="19" fillId="0" borderId="0" xfId="17" applyFont="1" applyFill="1" applyAlignment="1">
      <alignment horizontal="left" vertical="center"/>
    </xf>
    <xf numFmtId="43" fontId="19" fillId="0" borderId="0" xfId="17" applyNumberFormat="1" applyFont="1" applyFill="1">
      <alignment vertical="center"/>
    </xf>
    <xf numFmtId="0" fontId="84" fillId="0" borderId="0" xfId="17" applyFont="1" applyFill="1">
      <alignment vertical="center"/>
    </xf>
    <xf numFmtId="0" fontId="84" fillId="0" borderId="1" xfId="18" applyFont="1" applyFill="1" applyBorder="1" applyAlignment="1">
      <alignment horizontal="center" vertical="center" wrapText="1"/>
    </xf>
    <xf numFmtId="43" fontId="84" fillId="0" borderId="1" xfId="19" applyFont="1" applyFill="1" applyBorder="1" applyAlignment="1">
      <alignment horizontal="center" vertical="center" wrapText="1"/>
    </xf>
    <xf numFmtId="0" fontId="19" fillId="0" borderId="1" xfId="18" applyFont="1" applyFill="1" applyBorder="1" applyAlignment="1">
      <alignment horizontal="center" vertical="center" wrapText="1"/>
    </xf>
    <xf numFmtId="0" fontId="19" fillId="0" borderId="1" xfId="18" applyFont="1" applyFill="1" applyBorder="1" applyAlignment="1">
      <alignment vertical="center" wrapText="1"/>
    </xf>
    <xf numFmtId="0" fontId="19" fillId="0" borderId="1" xfId="18" applyFont="1" applyFill="1" applyBorder="1" applyAlignment="1">
      <alignment horizontal="left" vertical="center" wrapText="1"/>
    </xf>
    <xf numFmtId="43" fontId="19" fillId="0" borderId="1" xfId="19" applyFont="1" applyFill="1" applyBorder="1" applyAlignment="1">
      <alignment vertical="center" wrapText="1"/>
    </xf>
    <xf numFmtId="43" fontId="19" fillId="0" borderId="13" xfId="19" applyFont="1" applyFill="1" applyBorder="1" applyAlignment="1">
      <alignment vertical="center" wrapText="1"/>
    </xf>
    <xf numFmtId="0" fontId="19" fillId="0" borderId="13" xfId="17" applyFont="1" applyFill="1" applyBorder="1" applyAlignment="1">
      <alignment horizontal="left" vertical="center" wrapText="1"/>
    </xf>
    <xf numFmtId="0" fontId="19" fillId="17" borderId="1" xfId="18" applyFont="1" applyFill="1" applyBorder="1" applyAlignment="1">
      <alignment horizontal="center" vertical="center" wrapText="1"/>
    </xf>
    <xf numFmtId="0" fontId="19" fillId="17" borderId="1" xfId="18" applyFont="1" applyFill="1" applyBorder="1" applyAlignment="1">
      <alignment vertical="center" wrapText="1"/>
    </xf>
    <xf numFmtId="0" fontId="19" fillId="17" borderId="1" xfId="17" applyFont="1" applyFill="1" applyBorder="1" applyAlignment="1">
      <alignment vertical="center" wrapText="1"/>
    </xf>
    <xf numFmtId="0" fontId="19" fillId="18" borderId="1" xfId="18" applyFont="1" applyFill="1" applyBorder="1" applyAlignment="1">
      <alignment horizontal="center" vertical="center" wrapText="1"/>
    </xf>
    <xf numFmtId="0" fontId="19" fillId="18" borderId="1" xfId="17" applyFont="1" applyFill="1" applyBorder="1" applyAlignment="1">
      <alignment vertical="center" wrapText="1"/>
    </xf>
    <xf numFmtId="0" fontId="19" fillId="10" borderId="1" xfId="18" applyFont="1" applyFill="1" applyBorder="1" applyAlignment="1">
      <alignment horizontal="center" vertical="center" wrapText="1"/>
    </xf>
    <xf numFmtId="0" fontId="19" fillId="10" borderId="1" xfId="17" applyFont="1" applyFill="1" applyBorder="1" applyAlignment="1">
      <alignment vertical="center" wrapText="1"/>
    </xf>
    <xf numFmtId="0" fontId="19" fillId="9" borderId="1" xfId="18" applyFont="1" applyFill="1" applyBorder="1" applyAlignment="1">
      <alignment horizontal="center" vertical="center" wrapText="1"/>
    </xf>
    <xf numFmtId="0" fontId="19" fillId="9" borderId="1" xfId="17" applyFont="1" applyFill="1" applyBorder="1" applyAlignment="1">
      <alignment vertical="center" wrapText="1"/>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43" fontId="47" fillId="0" borderId="23" xfId="0" applyNumberFormat="1" applyFont="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pplyFill="1" applyAlignment="1"/>
    <xf numFmtId="14" fontId="19" fillId="0" borderId="0" xfId="17" applyNumberFormat="1" applyFont="1" applyFill="1">
      <alignment vertical="center"/>
    </xf>
    <xf numFmtId="176" fontId="19" fillId="0" borderId="0" xfId="17" applyNumberFormat="1" applyFont="1" applyFill="1">
      <alignment vertical="center"/>
    </xf>
    <xf numFmtId="179" fontId="47"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3" fontId="0" fillId="0" borderId="0" xfId="0" applyNumberFormat="1" applyFill="1" applyAlignment="1"/>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49" fontId="56" fillId="6" borderId="1" xfId="16" applyNumberFormat="1" applyFont="1" applyFill="1" applyBorder="1" applyAlignment="1" applyProtection="1">
      <alignment horizontal="center" vertical="center" wrapText="1"/>
    </xf>
    <xf numFmtId="186" fontId="105" fillId="0" borderId="0" xfId="16" applyNumberFormat="1" applyFont="1" applyAlignment="1">
      <alignment horizontal="center"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05" fillId="0" borderId="0" xfId="16" applyFont="1">
      <alignment vertical="center"/>
    </xf>
    <xf numFmtId="10" fontId="105" fillId="0" borderId="122" xfId="16" applyNumberFormat="1" applyFont="1" applyBorder="1">
      <alignment vertical="center"/>
    </xf>
    <xf numFmtId="10" fontId="105" fillId="0" borderId="0" xfId="16" applyNumberFormat="1" applyFont="1">
      <alignment vertical="center"/>
    </xf>
    <xf numFmtId="177" fontId="105" fillId="0" borderId="0" xfId="16" applyNumberFormat="1" applyFont="1">
      <alignment vertical="center"/>
    </xf>
    <xf numFmtId="0" fontId="105" fillId="0" borderId="0" xfId="16" applyFont="1" applyFill="1">
      <alignment vertical="center"/>
    </xf>
    <xf numFmtId="0" fontId="105" fillId="0" borderId="0" xfId="16" applyFont="1" applyFill="1" applyAlignment="1">
      <alignment horizontal="center" vertical="center"/>
    </xf>
    <xf numFmtId="10" fontId="105" fillId="0" borderId="0" xfId="16" applyNumberFormat="1" applyFont="1" applyFill="1" applyAlignment="1">
      <alignment horizontal="center" vertical="center"/>
    </xf>
    <xf numFmtId="0" fontId="153" fillId="14" borderId="0" xfId="16" applyFont="1" applyFill="1">
      <alignment vertical="center"/>
    </xf>
    <xf numFmtId="43" fontId="63" fillId="0" borderId="1" xfId="0" applyNumberFormat="1" applyFont="1" applyFill="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101" fillId="0" borderId="0" xfId="0" applyFont="1" applyFill="1" applyAlignment="1"/>
    <xf numFmtId="0" fontId="254"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36" xfId="0" applyFill="1" applyBorder="1" applyAlignment="1">
      <alignment horizontal="center"/>
    </xf>
    <xf numFmtId="0" fontId="19" fillId="0" borderId="13"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13" fillId="0" borderId="5" xfId="0" applyFont="1" applyFill="1" applyBorder="1" applyAlignment="1">
      <alignment horizontal="center"/>
    </xf>
    <xf numFmtId="0" fontId="113" fillId="0" borderId="54" xfId="0" applyFont="1" applyFill="1" applyBorder="1" applyAlignment="1">
      <alignment horizontal="center"/>
    </xf>
    <xf numFmtId="0" fontId="113" fillId="0" borderId="3" xfId="0" applyFont="1" applyFill="1" applyBorder="1" applyAlignment="1">
      <alignment horizontal="center"/>
    </xf>
    <xf numFmtId="0" fontId="113" fillId="0" borderId="13" xfId="0" applyFont="1" applyFill="1" applyBorder="1" applyAlignment="1">
      <alignment horizontal="center"/>
    </xf>
    <xf numFmtId="0" fontId="113" fillId="0" borderId="2" xfId="0" applyFont="1" applyFill="1" applyBorder="1" applyAlignment="1">
      <alignment horizontal="center"/>
    </xf>
    <xf numFmtId="0" fontId="240" fillId="0" borderId="13" xfId="0" applyFont="1" applyFill="1" applyBorder="1" applyAlignment="1">
      <alignment horizontal="center" vertical="center"/>
    </xf>
    <xf numFmtId="0" fontId="240" fillId="0" borderId="2" xfId="0" applyFont="1" applyFill="1" applyBorder="1" applyAlignment="1">
      <alignment horizontal="center" vertical="center"/>
    </xf>
    <xf numFmtId="0" fontId="84" fillId="0" borderId="1" xfId="17" applyFont="1" applyFill="1" applyBorder="1" applyAlignment="1">
      <alignment horizontal="center" vertical="center"/>
    </xf>
    <xf numFmtId="0" fontId="84" fillId="0" borderId="1" xfId="18" applyFont="1" applyFill="1" applyBorder="1" applyAlignment="1">
      <alignment horizontal="center" vertical="center" wrapText="1"/>
    </xf>
    <xf numFmtId="43" fontId="84" fillId="0" borderId="1" xfId="19" applyFont="1" applyFill="1" applyBorder="1" applyAlignment="1">
      <alignment horizontal="center" vertical="center" wrapText="1"/>
    </xf>
  </cellXfs>
  <cellStyles count="20">
    <cellStyle name="百分比 2" xfId="14"/>
    <cellStyle name="常规" xfId="0" builtinId="0"/>
    <cellStyle name="常规 15"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收款合同 2" xfId="18"/>
    <cellStyle name="千位分隔 5 2" xfId="19"/>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581024</xdr:colOff>
      <xdr:row>19</xdr:row>
      <xdr:rowOff>76348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39024" cy="3333898"/>
        </a:xfrm>
        <a:prstGeom prst="rect">
          <a:avLst/>
        </a:prstGeom>
      </xdr:spPr>
    </xdr:pic>
    <xdr:clientData/>
  </xdr:twoCellAnchor>
  <xdr:twoCellAnchor editAs="oneCell">
    <xdr:from>
      <xdr:col>0</xdr:col>
      <xdr:colOff>57150</xdr:colOff>
      <xdr:row>7</xdr:row>
      <xdr:rowOff>78536</xdr:rowOff>
    </xdr:from>
    <xdr:to>
      <xdr:col>10</xdr:col>
      <xdr:colOff>581024</xdr:colOff>
      <xdr:row>26</xdr:row>
      <xdr:rowOff>24442</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1278686"/>
          <a:ext cx="7381874" cy="3203456"/>
        </a:xfrm>
        <a:prstGeom prst="rect">
          <a:avLst/>
        </a:prstGeom>
      </xdr:spPr>
    </xdr:pic>
    <xdr:clientData/>
  </xdr:twoCellAnchor>
  <xdr:twoCellAnchor editAs="oneCell">
    <xdr:from>
      <xdr:col>0</xdr:col>
      <xdr:colOff>19050</xdr:colOff>
      <xdr:row>16</xdr:row>
      <xdr:rowOff>26066</xdr:rowOff>
    </xdr:from>
    <xdr:to>
      <xdr:col>10</xdr:col>
      <xdr:colOff>657224</xdr:colOff>
      <xdr:row>35</xdr:row>
      <xdr:rowOff>87479</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2769266"/>
          <a:ext cx="7496174" cy="3318963"/>
        </a:xfrm>
        <a:prstGeom prst="rect">
          <a:avLst/>
        </a:prstGeom>
      </xdr:spPr>
    </xdr:pic>
    <xdr:clientData/>
  </xdr:twoCellAnchor>
  <xdr:twoCellAnchor editAs="oneCell">
    <xdr:from>
      <xdr:col>0</xdr:col>
      <xdr:colOff>0</xdr:colOff>
      <xdr:row>25</xdr:row>
      <xdr:rowOff>0</xdr:rowOff>
    </xdr:from>
    <xdr:to>
      <xdr:col>10</xdr:col>
      <xdr:colOff>682401</xdr:colOff>
      <xdr:row>44</xdr:row>
      <xdr:rowOff>104134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7540401" cy="33616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253;&#34903;1&#21495;&#38498;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21;&#27827;&#22253;&#34903;1&#21495;&#38498;9&#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86;&#31199;&#24773;&#20917;&#26680;&#2354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汇总）"/>
      <sheetName val="收益法-自用"/>
      <sheetName val="收益法-出租"/>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3788.92</v>
          </cell>
          <cell r="C14">
            <v>1067.73</v>
          </cell>
          <cell r="D14">
            <v>22233</v>
          </cell>
        </row>
      </sheetData>
      <sheetData sheetId="17">
        <row r="19">
          <cell r="D19">
            <v>20492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5">
          <cell r="H65">
            <v>747.32999999999993</v>
          </cell>
        </row>
        <row r="68">
          <cell r="H68">
            <v>1358.6000000000001</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汇总）"/>
      <sheetName val="收益法-自用"/>
      <sheetName val="收益法-出租"/>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2626.93</v>
          </cell>
          <cell r="C14">
            <v>740.3</v>
          </cell>
          <cell r="D14">
            <v>14580</v>
          </cell>
        </row>
      </sheetData>
      <sheetData sheetId="17">
        <row r="19">
          <cell r="D19">
            <v>13514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8">
          <cell r="H68">
            <v>1640.1399999999999</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清单"/>
      <sheetName val="出租清单"/>
      <sheetName val="Sheet3"/>
    </sheetNames>
    <sheetDataSet>
      <sheetData sheetId="0">
        <row r="60">
          <cell r="H60">
            <v>4459.7400000000007</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北京市东城区香河园街1号院5、10号楼出让国有建设用地使用权及在建建筑物房地产抵押价值预评估</v>
      </c>
    </row>
    <row r="3" spans="1:2" s="1593" customFormat="1">
      <c r="A3" s="1591" t="s">
        <v>1217</v>
      </c>
      <c r="B3" s="1592" t="str">
        <f>'预评函-封皮'!B40</f>
        <v>当代节能置业股份有限公司</v>
      </c>
    </row>
    <row r="4" spans="1:2" s="1593" customFormat="1">
      <c r="A4" s="1591" t="s">
        <v>1218</v>
      </c>
      <c r="B4" s="1592" t="str">
        <f ca="1">'预评函-封皮'!B46</f>
        <v>崔锴（注册号：0)、欧红伟（注册号：0)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受贵公司委托，我公司对北京市东城区香河园街1号院5、10号楼出让国有建设用地使用权及在建建筑物房地产抵押价值进行了预评估。</v>
      </c>
    </row>
    <row r="7" spans="1:2" s="1593" customFormat="1">
      <c r="A7" s="1591" t="s">
        <v>1260</v>
      </c>
      <c r="B7" s="1592" t="str">
        <f>'预评函-1'!A7</f>
        <v>估价对象为北京市东城区香河园街1号院5、10号楼出让国有建设用地使用权及在建建筑物房地产，为所有。根据《国有土地使用证》[京东国用（2005出）第更0029号]、《房产抵押土地分摊面积计算》，估价对象（分摊）出让国有建设用地使用权面积为711.96平方米，建筑面积为2526.41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东城区香河园街1号院5、10号楼出让国有建设用地使用权及在建建筑物房地产,属开发建设的，该项目尚在开发建设中。根据《国有土地使用证》[京东国用（2005出）第更0029号]、《房产抵押土地分摊面积计算》，估价对象（分摊）出让国有建设用地使用权面积为711.96平方米，规划建筑面积为2526.41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2020年5月6日（评估专业人员实地查勘之日）</v>
      </c>
    </row>
    <row r="13" spans="1:2" s="1593" customFormat="1">
      <c r="A13" s="1591" t="s">
        <v>1223</v>
      </c>
      <c r="B13" s="1592" t="str">
        <f>'预评函-1'!A18</f>
        <v>本次估价的“房地产价值”是指在正常市场情况下，在价值时点2020年5月6日，估价对象规划用途为，土地取得方式为出让，出让国有建设用地使用权剩余土地使用年限为25.35年，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25.35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13321</v>
      </c>
    </row>
    <row r="21" spans="1:2" s="1593" customFormat="1">
      <c r="A21" s="1591" t="s">
        <v>1231</v>
      </c>
      <c r="B21" s="1592">
        <f ca="1">'预评函-2'!D7</f>
        <v>52727</v>
      </c>
    </row>
    <row r="22" spans="1:2" s="1593" customFormat="1">
      <c r="A22" s="1591" t="s">
        <v>1232</v>
      </c>
      <c r="B22" s="1592" t="str">
        <f ca="1">'预评函-2'!D6</f>
        <v>壹亿叁仟叁佰贰拾壹万元整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13321</v>
      </c>
    </row>
    <row r="31" spans="1:2" s="1593" customFormat="1">
      <c r="A31" s="1591" t="s">
        <v>1270</v>
      </c>
      <c r="B31" s="1592">
        <f ca="1">'预评函-2'!D15</f>
        <v>52727</v>
      </c>
    </row>
    <row r="32" spans="1:2" s="1593" customFormat="1">
      <c r="A32" s="1591" t="s">
        <v>1237</v>
      </c>
      <c r="B32" s="1592" t="str">
        <f ca="1">'预评函-2'!D14</f>
        <v>壹亿叁仟叁佰贰拾壹万元整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北京市东城区香河园街1号院5、10号楼出让国有建设用地使用权及在建建筑物房地产</v>
      </c>
    </row>
    <row r="42" spans="1:2" s="1593" customFormat="1">
      <c r="A42" s="1591" t="s">
        <v>1284</v>
      </c>
      <c r="B42" s="1592" t="str">
        <f>'预评函-3'!B2</f>
        <v>建筑面积</v>
      </c>
    </row>
    <row r="43" spans="1:2" s="1593" customFormat="1">
      <c r="A43" s="1591" t="s">
        <v>1285</v>
      </c>
      <c r="B43" s="1592">
        <f>'预评函-3'!B4</f>
        <v>2526.41</v>
      </c>
    </row>
    <row r="44" spans="1:2" s="1593" customFormat="1">
      <c r="A44" s="1591" t="s">
        <v>1269</v>
      </c>
      <c r="B44" s="1592" t="str">
        <f>'预评函-3'!C2</f>
        <v>(分摊)土地面积</v>
      </c>
    </row>
    <row r="45" spans="1:2" s="1593" customFormat="1">
      <c r="A45" s="1591" t="s">
        <v>1241</v>
      </c>
      <c r="B45" s="1592">
        <f>'预评函-3'!C4</f>
        <v>711.96</v>
      </c>
    </row>
    <row r="46" spans="1:2" s="1593" customFormat="1">
      <c r="A46" s="1591" t="s">
        <v>1267</v>
      </c>
      <c r="B46" s="1592" t="str">
        <f>'预评函-3'!D2</f>
        <v>出让国有建设用地使用权价值</v>
      </c>
    </row>
    <row r="47" spans="1:2" s="1593" customFormat="1">
      <c r="A47" s="1591" t="s">
        <v>1242</v>
      </c>
      <c r="B47" s="1592">
        <f ca="1">'预评函-3'!D4</f>
        <v>11683</v>
      </c>
    </row>
    <row r="48" spans="1:2" s="1593" customFormat="1">
      <c r="A48" s="1591" t="s">
        <v>1243</v>
      </c>
      <c r="B48" s="1592">
        <f ca="1">'预评函-3'!E4</f>
        <v>46243</v>
      </c>
    </row>
    <row r="49" spans="1:2" s="1593" customFormat="1">
      <c r="A49" s="1591" t="s">
        <v>1244</v>
      </c>
      <c r="B49" s="1592" t="str">
        <f ca="1">'预评函-3'!D5</f>
        <v>壹亿壹仟陆佰捌拾叁万元整</v>
      </c>
    </row>
    <row r="50" spans="1:2" s="1593" customFormat="1">
      <c r="A50" s="1591" t="s">
        <v>1268</v>
      </c>
      <c r="B50" s="1592" t="str">
        <f>'预评函-3'!F2</f>
        <v>在建建筑物价值</v>
      </c>
    </row>
    <row r="51" spans="1:2" s="1593" customFormat="1">
      <c r="A51" s="1591" t="s">
        <v>1245</v>
      </c>
      <c r="B51" s="1592">
        <f ca="1">'预评函-3'!F4</f>
        <v>1638</v>
      </c>
    </row>
    <row r="52" spans="1:2" s="1593" customFormat="1">
      <c r="A52" s="1591" t="s">
        <v>1246</v>
      </c>
      <c r="B52" s="1592">
        <f ca="1">'预评函-3'!G4</f>
        <v>6484</v>
      </c>
    </row>
    <row r="53" spans="1:2" s="1593" customFormat="1">
      <c r="A53" s="1591" t="s">
        <v>1274</v>
      </c>
      <c r="B53" s="1592" t="str">
        <f ca="1">'预评函-3'!F5</f>
        <v>壹仟陆佰叁拾捌万元整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欧红伟</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008" t="s">
        <v>1728</v>
      </c>
      <c r="C5" s="2009" t="s">
        <v>763</v>
      </c>
      <c r="F5" s="2010" t="s">
        <v>1729</v>
      </c>
      <c r="H5" s="2010" t="s">
        <v>1730</v>
      </c>
      <c r="I5" s="2010" t="s">
        <v>1731</v>
      </c>
      <c r="K5" s="2010" t="s">
        <v>1732</v>
      </c>
      <c r="L5" s="2010" t="s">
        <v>1732</v>
      </c>
      <c r="M5" s="2010" t="s">
        <v>1732</v>
      </c>
      <c r="N5" s="2010" t="s">
        <v>1732</v>
      </c>
      <c r="O5" s="2010" t="s">
        <v>1732</v>
      </c>
      <c r="P5" s="2010" t="s">
        <v>1732</v>
      </c>
      <c r="Q5" s="2010" t="s">
        <v>1732</v>
      </c>
      <c r="R5" s="2010" t="s">
        <v>1139</v>
      </c>
      <c r="S5" s="2010" t="s">
        <v>1732</v>
      </c>
      <c r="T5" s="2010" t="s">
        <v>1733</v>
      </c>
      <c r="U5" s="2010" t="s">
        <v>1732</v>
      </c>
      <c r="W5" s="2010" t="s">
        <v>1732</v>
      </c>
    </row>
    <row r="6" spans="1:23">
      <c r="A6" s="2008" t="s">
        <v>1734</v>
      </c>
      <c r="B6" s="2011" t="s">
        <v>1143</v>
      </c>
      <c r="C6" s="2014" t="s">
        <v>30</v>
      </c>
      <c r="F6" s="2010" t="s">
        <v>1730</v>
      </c>
      <c r="H6" s="2010" t="s">
        <v>1735</v>
      </c>
      <c r="I6" s="2010" t="s">
        <v>1736</v>
      </c>
      <c r="K6" s="2010" t="s">
        <v>1737</v>
      </c>
      <c r="L6" s="2010" t="s">
        <v>1737</v>
      </c>
      <c r="M6" s="2010" t="s">
        <v>1737</v>
      </c>
      <c r="N6" s="2010" t="s">
        <v>1737</v>
      </c>
      <c r="O6" s="2010" t="s">
        <v>1737</v>
      </c>
      <c r="P6" s="2010" t="s">
        <v>1737</v>
      </c>
      <c r="Q6" s="2010" t="s">
        <v>1737</v>
      </c>
      <c r="R6" s="2010" t="s">
        <v>1140</v>
      </c>
      <c r="S6" s="2010" t="s">
        <v>1737</v>
      </c>
      <c r="T6" s="2010"/>
      <c r="U6" s="2010" t="s">
        <v>1737</v>
      </c>
      <c r="W6" s="2010" t="s">
        <v>1737</v>
      </c>
    </row>
    <row r="7" spans="1:23">
      <c r="A7" s="2008" t="s">
        <v>1738</v>
      </c>
      <c r="B7" s="2011" t="s">
        <v>1144</v>
      </c>
      <c r="C7" s="2009" t="s">
        <v>31</v>
      </c>
      <c r="F7" s="2010" t="s">
        <v>1739</v>
      </c>
      <c r="H7" s="2010" t="s">
        <v>1740</v>
      </c>
      <c r="I7" s="2010" t="s">
        <v>1741</v>
      </c>
    </row>
    <row r="8" spans="1:23">
      <c r="A8" s="2008" t="s">
        <v>1742</v>
      </c>
      <c r="B8" s="2008" t="s">
        <v>1743</v>
      </c>
      <c r="C8" s="2009" t="s">
        <v>764</v>
      </c>
      <c r="F8" s="2010" t="s">
        <v>1744</v>
      </c>
      <c r="H8" s="2010"/>
      <c r="I8" s="2010" t="s">
        <v>1745</v>
      </c>
    </row>
    <row r="9" spans="1:23">
      <c r="A9" s="2008" t="s">
        <v>1746</v>
      </c>
      <c r="B9" s="2008" t="s">
        <v>1747</v>
      </c>
      <c r="C9" s="2009" t="s">
        <v>765</v>
      </c>
      <c r="F9" s="2010" t="s">
        <v>1748</v>
      </c>
      <c r="H9" s="2010"/>
    </row>
    <row r="10" spans="1:23">
      <c r="A10" s="2008" t="s">
        <v>1749</v>
      </c>
      <c r="B10" s="2008" t="s">
        <v>1750</v>
      </c>
      <c r="C10" s="2009" t="s">
        <v>766</v>
      </c>
      <c r="F10" s="2010" t="s">
        <v>16</v>
      </c>
    </row>
    <row r="11" spans="1:23">
      <c r="A11" s="2008" t="s">
        <v>1751</v>
      </c>
      <c r="B11" s="2008" t="s">
        <v>1752</v>
      </c>
      <c r="C11" s="2009" t="s">
        <v>767</v>
      </c>
    </row>
    <row r="12" spans="1:23">
      <c r="A12" s="2008" t="s">
        <v>1753</v>
      </c>
      <c r="B12" s="2008" t="s">
        <v>1754</v>
      </c>
      <c r="C12" s="2009" t="s">
        <v>768</v>
      </c>
    </row>
    <row r="13" spans="1:23">
      <c r="A13" s="2008" t="s">
        <v>1755</v>
      </c>
      <c r="B13" s="2008" t="s">
        <v>1756</v>
      </c>
      <c r="C13" s="2009" t="s">
        <v>769</v>
      </c>
    </row>
    <row r="14" spans="1:23">
      <c r="A14" s="2008" t="s">
        <v>1757</v>
      </c>
      <c r="B14" s="2008" t="s">
        <v>1758</v>
      </c>
      <c r="C14" s="2010" t="s">
        <v>16</v>
      </c>
    </row>
    <row r="15" spans="1:23">
      <c r="A15" s="2008" t="s">
        <v>1759</v>
      </c>
      <c r="B15" s="2008" t="s">
        <v>1760</v>
      </c>
      <c r="C15" s="2009"/>
    </row>
    <row r="16" spans="1:23">
      <c r="A16" s="2008" t="s">
        <v>1761</v>
      </c>
      <c r="B16" s="2008" t="s">
        <v>756</v>
      </c>
      <c r="C16" s="2009"/>
    </row>
    <row r="17" spans="1:3">
      <c r="A17" s="2008" t="s">
        <v>1762</v>
      </c>
      <c r="B17" s="2008" t="s">
        <v>3315</v>
      </c>
      <c r="C17" s="2009"/>
    </row>
    <row r="18" spans="1:3">
      <c r="A18" s="2008" t="s">
        <v>1763</v>
      </c>
      <c r="B18" s="2008" t="s">
        <v>3317</v>
      </c>
      <c r="C18" s="2009"/>
    </row>
    <row r="19" spans="1:3">
      <c r="A19" s="2008" t="s">
        <v>1764</v>
      </c>
      <c r="B19" s="2008" t="s">
        <v>3347</v>
      </c>
      <c r="C19" s="2009"/>
    </row>
    <row r="20" spans="1:3">
      <c r="A20" s="2008" t="s">
        <v>1765</v>
      </c>
      <c r="B20" s="2008" t="s">
        <v>757</v>
      </c>
      <c r="C20" s="2009"/>
    </row>
    <row r="21" spans="1:3">
      <c r="A21" s="2008" t="s">
        <v>1766</v>
      </c>
      <c r="B21" s="2008" t="s">
        <v>757</v>
      </c>
      <c r="C21" s="2009"/>
    </row>
    <row r="22" spans="1:3">
      <c r="A22" s="2008" t="s">
        <v>1767</v>
      </c>
      <c r="B22" s="2008" t="s">
        <v>757</v>
      </c>
      <c r="C22" s="2009"/>
    </row>
    <row r="23" spans="1:3">
      <c r="A23" s="2008" t="s">
        <v>1768</v>
      </c>
      <c r="B23" s="2008" t="s">
        <v>757</v>
      </c>
      <c r="C23" s="2009"/>
    </row>
    <row r="24" spans="1:3">
      <c r="A24" s="2008" t="s">
        <v>1769</v>
      </c>
      <c r="B24" s="2008" t="s">
        <v>757</v>
      </c>
      <c r="C24" s="2009"/>
    </row>
    <row r="25" spans="1:3">
      <c r="A25" s="2008" t="s">
        <v>1770</v>
      </c>
      <c r="B25" s="2008" t="s">
        <v>757</v>
      </c>
      <c r="C25" s="2009"/>
    </row>
    <row r="26" spans="1:3">
      <c r="A26" s="2008" t="s">
        <v>1771</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5、10号楼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77"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16" t="s">
        <v>861</v>
      </c>
      <c r="C54" s="2013" t="s">
        <v>1277</v>
      </c>
    </row>
    <row r="55" spans="1:4">
      <c r="A55" s="3077"/>
      <c r="B55" s="2016" t="s">
        <v>862</v>
      </c>
      <c r="C55" s="2013" t="s">
        <v>1278</v>
      </c>
    </row>
    <row r="56" spans="1:4">
      <c r="A56" s="3077"/>
      <c r="B56" s="2016" t="s">
        <v>863</v>
      </c>
      <c r="C56" s="2013" t="s">
        <v>1282</v>
      </c>
    </row>
    <row r="57" spans="1:4">
      <c r="A57" s="3077"/>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1772</v>
      </c>
      <c r="B1" s="3078" t="str">
        <f>IF(B10="北京市","北京市",C10)&amp;F10&amp;IF(结果表!G1="在建","出让国有建设用地使用权及在建建筑物",IF(结果表!G1="土地","出让国有建设用地使用权",))&amp;B9&amp;"预评估"</f>
        <v>北京市东城区香河园街1号院5、10号楼出让国有建设用地使用权及在建建筑物房地产抵押价值预评估</v>
      </c>
      <c r="C1" s="3079"/>
      <c r="D1" s="3079"/>
      <c r="E1" s="3079"/>
      <c r="F1" s="3079"/>
      <c r="G1" s="3079"/>
      <c r="H1" s="3079"/>
      <c r="I1" s="3080"/>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北京市东城区香河园街1号院5、10号楼出让国有建设用地使用权及在建建筑物房地产抵押价值</v>
      </c>
    </row>
    <row r="2" spans="1:19" ht="18" customHeight="1">
      <c r="A2" s="2020" t="s">
        <v>1773</v>
      </c>
      <c r="B2" s="1041"/>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北京市东城区香河园街1号院5、10号楼出让国有建设用地使用权及在建建筑物房地产</v>
      </c>
    </row>
    <row r="3" spans="1:19" ht="18" customHeight="1">
      <c r="A3" s="2029" t="s">
        <v>1774</v>
      </c>
      <c r="B3" s="2030">
        <v>43957</v>
      </c>
      <c r="C3" s="2031" t="s">
        <v>1775</v>
      </c>
      <c r="D3" s="2030">
        <f>B3</f>
        <v>43957</v>
      </c>
      <c r="E3" s="2020"/>
      <c r="F3" s="2020"/>
      <c r="G3" s="2020"/>
      <c r="H3" s="2020"/>
      <c r="I3" s="2020"/>
      <c r="J3" s="2020"/>
      <c r="K3" s="2021"/>
      <c r="L3" s="2022"/>
      <c r="M3" s="2022"/>
      <c r="N3" s="2023"/>
      <c r="O3" s="2024"/>
      <c r="P3" s="2023"/>
      <c r="Q3" s="2023"/>
      <c r="R3" s="2023"/>
      <c r="S3" s="2025"/>
    </row>
    <row r="4" spans="1:19" ht="18" customHeight="1" thickBot="1">
      <c r="A4" s="2032" t="s">
        <v>1776</v>
      </c>
      <c r="B4" s="2033" t="s">
        <v>3049</v>
      </c>
      <c r="C4" s="1039">
        <f ca="1">SUMIF(注册房地产估价师,B4,估价师及机构信息!B3:B24)</f>
        <v>0</v>
      </c>
      <c r="D4" s="2033" t="s">
        <v>3050</v>
      </c>
      <c r="E4" s="1040">
        <f ca="1">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崔锴（注册号：0)、欧红伟（注册号：0)</v>
      </c>
      <c r="L4" s="2022"/>
      <c r="M4" s="2022"/>
      <c r="N4" s="2023"/>
      <c r="O4" s="2024"/>
      <c r="P4" s="2023"/>
      <c r="Q4" s="2023"/>
      <c r="R4" s="2023"/>
      <c r="S4" s="2025"/>
    </row>
    <row r="5" spans="1:19" ht="18" customHeight="1" thickTop="1">
      <c r="A5" s="2038" t="s">
        <v>1777</v>
      </c>
      <c r="B5" s="2945" t="s">
        <v>3051</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1778</v>
      </c>
      <c r="B6" s="2042"/>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1779</v>
      </c>
      <c r="B7" s="2046"/>
      <c r="C7" s="2043"/>
      <c r="D7" s="2044"/>
      <c r="E7" s="2028"/>
      <c r="F7" s="2036"/>
      <c r="G7" s="2036"/>
      <c r="H7" s="2036"/>
      <c r="I7" s="2036"/>
      <c r="J7" s="2036"/>
      <c r="K7" s="2047"/>
      <c r="L7" s="2022"/>
      <c r="M7" s="2022"/>
      <c r="N7" s="2023"/>
      <c r="O7" s="2024"/>
      <c r="P7" s="2023"/>
      <c r="Q7" s="2023"/>
      <c r="R7" s="2023"/>
    </row>
    <row r="8" spans="1:19" ht="18" customHeight="1">
      <c r="A8" s="2041" t="s">
        <v>1780</v>
      </c>
      <c r="B8" s="2048" t="s">
        <v>3052</v>
      </c>
      <c r="C8" s="2049"/>
      <c r="D8" s="3081" t="s">
        <v>1781</v>
      </c>
      <c r="E8" s="2050"/>
      <c r="F8" s="2051"/>
      <c r="G8" s="2020"/>
      <c r="H8" s="2020"/>
      <c r="I8" s="2020"/>
      <c r="J8" s="2036"/>
      <c r="K8" s="2037"/>
      <c r="L8" s="2022"/>
      <c r="M8" s="2022"/>
      <c r="N8" s="2023"/>
      <c r="O8" s="2024"/>
      <c r="P8" s="2023"/>
      <c r="Q8" s="2023"/>
      <c r="R8" s="2023"/>
    </row>
    <row r="9" spans="1:19" ht="18" customHeight="1" thickBot="1">
      <c r="A9" s="2034" t="s">
        <v>1782</v>
      </c>
      <c r="B9" s="2052" t="s">
        <v>3053</v>
      </c>
      <c r="C9" s="2053"/>
      <c r="D9" s="3082"/>
      <c r="E9" s="2052"/>
      <c r="F9" s="2054"/>
      <c r="G9" s="2055"/>
      <c r="H9" s="2055"/>
      <c r="I9" s="2055"/>
      <c r="J9" s="2036"/>
      <c r="K9" s="2047"/>
      <c r="L9" s="2022"/>
      <c r="M9" s="2022"/>
      <c r="N9" s="2023"/>
      <c r="O9" s="2024"/>
      <c r="P9" s="2023"/>
      <c r="Q9" s="2023"/>
      <c r="R9" s="2023"/>
    </row>
    <row r="10" spans="1:19" ht="18" customHeight="1" thickTop="1">
      <c r="A10" s="2056" t="s">
        <v>1783</v>
      </c>
      <c r="B10" s="2057" t="s">
        <v>3054</v>
      </c>
      <c r="C10" s="2058"/>
      <c r="D10" s="2040"/>
      <c r="E10" s="2059" t="s">
        <v>1784</v>
      </c>
      <c r="F10" s="2933" t="s">
        <v>3334</v>
      </c>
      <c r="G10" s="2060"/>
      <c r="H10" s="2061"/>
      <c r="I10" s="2040"/>
      <c r="J10" s="2036"/>
      <c r="K10" s="2047"/>
      <c r="L10" s="2022"/>
      <c r="M10" s="2022"/>
      <c r="N10" s="2023"/>
      <c r="O10" s="2024"/>
      <c r="P10" s="2023"/>
      <c r="Q10" s="2023"/>
      <c r="R10" s="2023"/>
    </row>
    <row r="11" spans="1:19" ht="18" customHeight="1">
      <c r="A11" s="2062" t="s">
        <v>1785</v>
      </c>
      <c r="B11" s="2063" t="s">
        <v>3055</v>
      </c>
      <c r="C11" s="2064"/>
      <c r="D11" s="2065"/>
      <c r="E11" s="2036"/>
      <c r="F11" s="2036"/>
      <c r="G11" s="2036"/>
      <c r="H11" s="2036"/>
      <c r="I11" s="2036"/>
      <c r="J11" s="2036"/>
      <c r="K11" s="2047"/>
      <c r="L11" s="2022"/>
      <c r="M11" s="2022"/>
      <c r="N11" s="2023"/>
      <c r="O11" s="2024"/>
      <c r="P11" s="2023"/>
      <c r="Q11" s="2023"/>
      <c r="R11" s="2023"/>
    </row>
    <row r="12" spans="1:19" ht="18" customHeight="1">
      <c r="A12" s="2066" t="s">
        <v>1786</v>
      </c>
      <c r="B12" s="2063" t="s">
        <v>3056</v>
      </c>
      <c r="C12" s="2067" t="s">
        <v>1787</v>
      </c>
      <c r="D12" s="2068" t="s">
        <v>1788</v>
      </c>
      <c r="E12" s="2068" t="s">
        <v>1789</v>
      </c>
      <c r="F12" s="2068" t="s">
        <v>1790</v>
      </c>
      <c r="G12" s="2068" t="s">
        <v>1791</v>
      </c>
      <c r="H12" s="2068" t="s">
        <v>1792</v>
      </c>
      <c r="I12" s="2068" t="s">
        <v>1793</v>
      </c>
      <c r="J12" s="2036"/>
      <c r="K12" s="2047"/>
      <c r="L12" s="2022"/>
      <c r="M12" s="2022"/>
      <c r="N12" s="2023"/>
      <c r="O12" s="2024"/>
      <c r="P12" s="2023"/>
      <c r="Q12" s="2023"/>
      <c r="R12" s="2023"/>
    </row>
    <row r="13" spans="1:19" ht="18" customHeight="1">
      <c r="A13" s="2069"/>
      <c r="B13" s="2070"/>
      <c r="C13" s="2071" t="s">
        <v>1794</v>
      </c>
      <c r="D13" s="2072"/>
      <c r="E13" s="2072">
        <v>52777</v>
      </c>
      <c r="F13" s="2072"/>
      <c r="G13" s="2072"/>
      <c r="H13" s="2072"/>
      <c r="I13" s="1049"/>
      <c r="J13" s="2036"/>
      <c r="K13" s="2047"/>
      <c r="L13" s="2022"/>
      <c r="M13" s="2022"/>
      <c r="N13" s="2023"/>
      <c r="O13" s="2024"/>
      <c r="P13" s="2023"/>
      <c r="Q13" s="2023"/>
      <c r="R13" s="2023"/>
    </row>
    <row r="14" spans="1:19" ht="18" customHeight="1">
      <c r="A14" s="2069"/>
      <c r="B14" s="2070"/>
      <c r="C14" s="2071" t="s">
        <v>1795</v>
      </c>
      <c r="D14" s="1052"/>
      <c r="E14" s="1052">
        <v>40</v>
      </c>
      <c r="F14" s="1052"/>
      <c r="G14" s="1052"/>
      <c r="H14" s="1052"/>
      <c r="I14" s="1052"/>
      <c r="J14" s="2036"/>
      <c r="K14" s="2073"/>
      <c r="L14" s="2022"/>
      <c r="M14" s="2022"/>
      <c r="N14" s="2023"/>
      <c r="O14" s="2024"/>
      <c r="P14" s="2023"/>
      <c r="Q14" s="2023"/>
      <c r="R14" s="2023"/>
    </row>
    <row r="15" spans="1:19" ht="18" customHeight="1">
      <c r="A15" s="2056"/>
      <c r="B15" s="2074"/>
      <c r="C15" s="2071" t="s">
        <v>1796</v>
      </c>
      <c r="D15" s="1051" t="str">
        <f>IF(B12="出让",IF(D13="","",ROUNDDOWN(MIN((D13-$D$3)/365,D14),2)),D14)</f>
        <v/>
      </c>
      <c r="E15" s="1051">
        <f>IF(B12="出让",IF(E13="","",ROUNDDOWN(MIN((E13-$D$3)/365,E14),2)),E14)</f>
        <v>24.16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36"/>
      <c r="K15" s="2075"/>
      <c r="L15" s="2076"/>
      <c r="M15" s="2076"/>
      <c r="N15" s="2077"/>
      <c r="O15" s="2076"/>
      <c r="P15" s="2077"/>
      <c r="Q15" s="2023"/>
      <c r="R15" s="2023"/>
    </row>
    <row r="16" spans="1:19" ht="30.75" customHeight="1">
      <c r="A16" s="2059" t="s">
        <v>1797</v>
      </c>
      <c r="B16" s="3088"/>
      <c r="C16" s="3089"/>
      <c r="D16" s="3090"/>
      <c r="E16" s="2078" t="s">
        <v>1798</v>
      </c>
      <c r="F16" s="3091" t="s">
        <v>3057</v>
      </c>
      <c r="G16" s="3092"/>
      <c r="H16" s="3092"/>
      <c r="I16" s="3093"/>
      <c r="J16" s="2023"/>
      <c r="K16" s="2075"/>
      <c r="L16" s="2076"/>
      <c r="M16" s="2076"/>
      <c r="N16" s="2077"/>
      <c r="O16" s="2076"/>
      <c r="P16" s="2077"/>
      <c r="Q16" s="2023"/>
      <c r="R16" s="2023"/>
    </row>
    <row r="17" spans="1:22" ht="18" customHeight="1">
      <c r="A17" s="2079" t="s">
        <v>1799</v>
      </c>
      <c r="B17" s="2029" t="s">
        <v>1800</v>
      </c>
      <c r="C17" s="1056">
        <f>'数据-汇总表'!E3</f>
        <v>2526.41</v>
      </c>
      <c r="D17" s="2080" t="s">
        <v>1801</v>
      </c>
      <c r="E17" s="3094" t="s">
        <v>3058</v>
      </c>
      <c r="F17" s="3095"/>
      <c r="G17" s="3095"/>
      <c r="H17" s="3095"/>
      <c r="I17" s="3096"/>
      <c r="J17" s="2023"/>
      <c r="K17" s="2081"/>
      <c r="L17" s="2076"/>
      <c r="M17" s="2076"/>
      <c r="N17" s="2077"/>
      <c r="O17" s="2076"/>
      <c r="P17" s="2077"/>
      <c r="Q17" s="2023"/>
      <c r="R17" s="2023"/>
      <c r="S17" s="2023"/>
      <c r="T17" s="2023"/>
      <c r="U17" s="2023"/>
      <c r="V17" s="2023"/>
    </row>
    <row r="18" spans="1:22" ht="36" customHeight="1" thickBot="1">
      <c r="A18" s="2082" t="s">
        <v>1802</v>
      </c>
      <c r="B18" s="2032" t="s">
        <v>1803</v>
      </c>
      <c r="C18" s="1446">
        <f>'数据-汇总表'!D3</f>
        <v>711.96</v>
      </c>
      <c r="D18" s="2083" t="s">
        <v>1801</v>
      </c>
      <c r="E18" s="3097" t="s">
        <v>3059</v>
      </c>
      <c r="F18" s="3098"/>
      <c r="G18" s="3098"/>
      <c r="H18" s="3098"/>
      <c r="I18" s="3099"/>
      <c r="J18" s="2023"/>
      <c r="K18" s="2081"/>
      <c r="L18" s="2076"/>
      <c r="M18" s="2076"/>
      <c r="N18" s="2077"/>
      <c r="O18" s="2076"/>
      <c r="P18" s="2077"/>
      <c r="Q18" s="2023"/>
      <c r="R18" s="2023"/>
      <c r="S18" s="2023"/>
      <c r="T18" s="2023"/>
      <c r="U18" s="2023"/>
      <c r="V18" s="2023"/>
    </row>
    <row r="19" spans="1:22" ht="37.5" customHeight="1" thickTop="1" thickBot="1">
      <c r="A19" s="373" t="s">
        <v>1804</v>
      </c>
      <c r="B19" s="352" t="s">
        <v>1805</v>
      </c>
      <c r="C19" s="2084" t="s">
        <v>3060</v>
      </c>
      <c r="D19" s="2085" t="s">
        <v>1806</v>
      </c>
      <c r="E19" s="2086" t="s">
        <v>3060</v>
      </c>
      <c r="F19" s="2087" t="str">
        <f>IF(AND(C19="是",E19="否"),"是否提供他项权证或相关说明","")</f>
        <v/>
      </c>
      <c r="G19" s="2088"/>
      <c r="H19" s="2036"/>
      <c r="I19" s="2036"/>
      <c r="J19" s="2036"/>
      <c r="K19" s="2047"/>
      <c r="L19" s="2022"/>
      <c r="M19" s="2022"/>
      <c r="N19" s="2077"/>
      <c r="O19" s="2076"/>
      <c r="P19" s="2077"/>
      <c r="Q19" s="2023"/>
      <c r="R19" s="2023"/>
      <c r="S19" s="2023"/>
      <c r="T19" s="2023"/>
      <c r="U19" s="2023"/>
      <c r="V19" s="2023"/>
    </row>
    <row r="20" spans="1:22" ht="18" customHeight="1">
      <c r="A20" s="2089" t="s">
        <v>1807</v>
      </c>
      <c r="B20" s="3084" t="s">
        <v>1808</v>
      </c>
      <c r="C20" s="3085"/>
      <c r="D20" s="3086" t="s">
        <v>1809</v>
      </c>
      <c r="E20" s="3087"/>
      <c r="F20" s="2090" t="s">
        <v>1810</v>
      </c>
      <c r="G20" s="2036"/>
      <c r="H20" s="2036"/>
      <c r="I20" s="2036"/>
      <c r="J20" s="2036"/>
      <c r="K20" s="3083"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1812</v>
      </c>
      <c r="C21" s="2092" t="s">
        <v>1813</v>
      </c>
      <c r="D21" s="2093" t="s">
        <v>1814</v>
      </c>
      <c r="E21" s="2094" t="s">
        <v>1813</v>
      </c>
      <c r="F21" s="2095"/>
      <c r="G21" s="2036"/>
      <c r="H21" s="2036"/>
      <c r="I21" s="2036"/>
      <c r="J21" s="2036"/>
      <c r="K21" s="308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1815</v>
      </c>
      <c r="C22" s="2092" t="s">
        <v>1816</v>
      </c>
      <c r="D22" s="2020"/>
      <c r="E22" s="2020"/>
      <c r="F22" s="2097"/>
      <c r="G22" s="2036"/>
      <c r="H22" s="2036"/>
      <c r="I22" s="2036"/>
      <c r="J22" s="2036"/>
      <c r="K22" s="308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1817</v>
      </c>
      <c r="B23" s="183" t="s">
        <v>1818</v>
      </c>
      <c r="C23" s="2099"/>
      <c r="D23" s="2100" t="s">
        <v>1818</v>
      </c>
      <c r="E23" s="2101"/>
      <c r="F23" s="2097"/>
      <c r="G23" s="2036"/>
      <c r="H23" s="2036"/>
      <c r="I23" s="2036"/>
      <c r="J23" s="2036"/>
      <c r="K23" s="2102"/>
      <c r="L23" s="747"/>
      <c r="M23" s="2022"/>
      <c r="N23" s="2077"/>
      <c r="O23" s="2076"/>
      <c r="P23" s="2077"/>
      <c r="Q23" s="2023"/>
      <c r="R23" s="2023"/>
      <c r="S23" s="2023"/>
      <c r="T23" s="2023"/>
      <c r="U23" s="2023"/>
      <c r="V23" s="2023"/>
    </row>
    <row r="24" spans="1:22" ht="18" customHeight="1">
      <c r="A24" s="2103"/>
      <c r="B24" s="183" t="s">
        <v>1819</v>
      </c>
      <c r="C24" s="2104"/>
      <c r="D24" s="2098" t="s">
        <v>1819</v>
      </c>
      <c r="E24" s="2105"/>
      <c r="F24" s="2097"/>
      <c r="G24" s="2036"/>
      <c r="H24" s="2036"/>
      <c r="I24" s="2036"/>
      <c r="J24" s="2036"/>
      <c r="K24" s="2102"/>
      <c r="L24" s="747"/>
      <c r="M24" s="2022"/>
      <c r="N24" s="2077"/>
      <c r="O24" s="2076"/>
      <c r="P24" s="2077"/>
      <c r="Q24" s="2023"/>
      <c r="R24" s="2023"/>
      <c r="S24" s="2023"/>
      <c r="T24" s="2023"/>
      <c r="U24" s="2023"/>
      <c r="V24" s="2023"/>
    </row>
    <row r="25" spans="1:22" ht="18" customHeight="1">
      <c r="A25" s="2103"/>
      <c r="B25" s="183" t="s">
        <v>1820</v>
      </c>
      <c r="C25" s="2104"/>
      <c r="D25" s="2098" t="s">
        <v>1820</v>
      </c>
      <c r="E25" s="2105"/>
      <c r="F25" s="2097"/>
      <c r="G25" s="2036"/>
      <c r="H25" s="2036"/>
      <c r="I25" s="2036"/>
      <c r="J25" s="2036"/>
      <c r="K25" s="2047"/>
      <c r="L25" s="2022"/>
      <c r="M25" s="2022"/>
      <c r="N25" s="2077"/>
      <c r="O25" s="2076"/>
      <c r="P25" s="2077"/>
      <c r="Q25" s="2023"/>
      <c r="R25" s="2023"/>
      <c r="S25" s="2023"/>
      <c r="T25" s="2023"/>
      <c r="U25" s="2023"/>
      <c r="V25" s="2023"/>
    </row>
    <row r="26" spans="1:22" ht="18" customHeight="1" thickBot="1">
      <c r="A26" s="2106"/>
      <c r="B26" s="2107" t="s">
        <v>1821</v>
      </c>
      <c r="C26" s="2108"/>
      <c r="D26" s="2109" t="s">
        <v>1822</v>
      </c>
      <c r="E26" s="2110"/>
      <c r="F26" s="2111"/>
      <c r="G26" s="2055"/>
      <c r="H26" s="2055"/>
      <c r="I26" s="2055"/>
      <c r="J26" s="2036"/>
      <c r="K26" s="2047"/>
      <c r="L26" s="2022"/>
      <c r="M26" s="2022"/>
      <c r="N26" s="2077"/>
      <c r="O26" s="2076"/>
      <c r="P26" s="2077"/>
      <c r="Q26" s="2023"/>
      <c r="R26" s="2023"/>
      <c r="S26" s="2023"/>
      <c r="T26" s="2023"/>
      <c r="U26" s="2023"/>
      <c r="V26" s="2023"/>
    </row>
    <row r="27" spans="1:22" ht="18" customHeight="1" thickTop="1">
      <c r="A27" s="3101" t="s">
        <v>1823</v>
      </c>
      <c r="B27" s="2056" t="s">
        <v>1824</v>
      </c>
      <c r="C27" s="2112"/>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101"/>
      <c r="B28" s="2029" t="s">
        <v>1825</v>
      </c>
      <c r="C28" s="2114"/>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101"/>
      <c r="B29" s="2029" t="s">
        <v>1826</v>
      </c>
      <c r="C29" s="2117"/>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102"/>
      <c r="B30" s="2029" t="s">
        <v>1827</v>
      </c>
      <c r="C30" s="3103"/>
      <c r="D30" s="3104"/>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105" t="s">
        <v>1828</v>
      </c>
      <c r="B31" s="2119"/>
      <c r="C31" s="2120" t="str">
        <f>IF(B31="现房","成新及维护状况正常否",IF(B31="在建","工程状态是否正常",IF(B31="土地","是否闲置","-")))</f>
        <v>-</v>
      </c>
      <c r="D31" s="2121"/>
      <c r="E31" s="2122"/>
      <c r="F31" s="2036"/>
      <c r="G31" s="2036"/>
      <c r="H31" s="2036"/>
      <c r="I31" s="2036"/>
      <c r="J31" s="2036"/>
      <c r="K31" s="2045"/>
      <c r="L31" s="2022"/>
      <c r="M31" s="2022"/>
      <c r="N31" s="2023"/>
      <c r="O31" s="2024"/>
      <c r="P31" s="2023"/>
      <c r="Q31" s="2023"/>
      <c r="R31" s="2023"/>
      <c r="S31" s="2023"/>
      <c r="T31" s="2023"/>
      <c r="U31" s="2023"/>
      <c r="V31" s="2023"/>
    </row>
    <row r="32" spans="1:22" ht="18" customHeight="1">
      <c r="A32" s="3106"/>
      <c r="B32" s="2119"/>
      <c r="C32" s="2120" t="str">
        <f>IF(B32="现房","成新及维护状况是否正常",IF(B32="在建","工程状态是否正常",IF(B32="土地","是否闲置","-")))</f>
        <v>-</v>
      </c>
      <c r="D32" s="2121"/>
      <c r="E32" s="2122"/>
      <c r="F32" s="2036"/>
      <c r="G32" s="2036"/>
      <c r="H32" s="2036"/>
      <c r="I32" s="2036"/>
      <c r="J32" s="2036"/>
      <c r="K32" s="2047"/>
      <c r="L32" s="2022"/>
      <c r="M32" s="2022"/>
      <c r="N32" s="2023"/>
      <c r="O32" s="2024"/>
      <c r="P32" s="2023"/>
      <c r="Q32" s="2023"/>
      <c r="R32" s="2023"/>
      <c r="S32" s="2023"/>
      <c r="T32" s="2023"/>
      <c r="U32" s="2023"/>
      <c r="V32" s="2023"/>
    </row>
    <row r="33" spans="1:22" ht="18" customHeight="1">
      <c r="A33" s="3106"/>
      <c r="B33" s="2123"/>
      <c r="C33" s="2062" t="str">
        <f>IF(B33="现房","成新及维护状况是否正常",IF(B33="在建","工程状态是否正常",IF(B33="土地","是否闲置","-")))</f>
        <v>-</v>
      </c>
      <c r="D33" s="2124"/>
      <c r="E33" s="2125"/>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1829</v>
      </c>
      <c r="B34" s="2126" t="s">
        <v>3061</v>
      </c>
      <c r="C34" s="2126" t="s">
        <v>3062</v>
      </c>
      <c r="D34" s="2126" t="s">
        <v>3063</v>
      </c>
      <c r="E34" s="2126" t="s">
        <v>3064</v>
      </c>
      <c r="F34" s="2126" t="s">
        <v>3065</v>
      </c>
      <c r="G34" s="2126" t="s">
        <v>3066</v>
      </c>
      <c r="H34" s="2126"/>
      <c r="I34" s="2036"/>
      <c r="J34" s="2036"/>
      <c r="K34" s="1789">
        <f>COUNTIF(B34:H34,"——")</f>
        <v>0</v>
      </c>
      <c r="L34" s="2067" t="s">
        <v>1830</v>
      </c>
      <c r="M34" s="2067" t="s">
        <v>1831</v>
      </c>
      <c r="N34" s="2067" t="s">
        <v>1832</v>
      </c>
      <c r="O34" s="2067" t="s">
        <v>1833</v>
      </c>
      <c r="P34" s="2067" t="s">
        <v>1834</v>
      </c>
      <c r="Q34" s="2067" t="s">
        <v>1835</v>
      </c>
      <c r="R34" s="2067" t="s">
        <v>1836</v>
      </c>
      <c r="S34" s="3100" t="s">
        <v>1837</v>
      </c>
      <c r="T34" s="2127" t="str">
        <f>NUMBERSTRING(7-K34,1)&amp;"通"</f>
        <v>七通</v>
      </c>
      <c r="U34" s="2023"/>
      <c r="V34" s="2023"/>
    </row>
    <row r="35" spans="1:22" ht="18" customHeight="1">
      <c r="A35" s="2128"/>
      <c r="B35" s="3107" t="s">
        <v>1838</v>
      </c>
      <c r="C35" s="3107"/>
      <c r="D35" s="3107"/>
      <c r="E35" s="3107"/>
      <c r="F35" s="2129">
        <f>C10</f>
        <v>0</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0"/>
      <c r="T35" s="48" t="str">
        <f>IF(T34="一通",L35,IF(T34="二通",M35,IF(T34="三通",N35,IF(T34="四通",O35,IF(T34="五通",P35,IF(T34="六通",Q35,R35))))))</f>
        <v>通路、通电、通讯、通上水、通下水、燃气、</v>
      </c>
      <c r="U35" s="2023"/>
      <c r="V35" s="2023"/>
    </row>
    <row r="36" spans="1:22" ht="18" customHeight="1">
      <c r="A36" s="2130"/>
      <c r="B36" s="2129" t="s">
        <v>1839</v>
      </c>
      <c r="C36" s="2129" t="s">
        <v>1840</v>
      </c>
      <c r="D36" s="2129" t="s">
        <v>1841</v>
      </c>
      <c r="E36" s="2129" t="s">
        <v>1842</v>
      </c>
      <c r="F36" s="2131"/>
      <c r="G36" s="2036"/>
      <c r="H36" s="2036"/>
      <c r="I36" s="2036"/>
      <c r="J36" s="2036"/>
      <c r="K36" s="2047"/>
      <c r="L36" s="2022"/>
      <c r="M36" s="2022"/>
      <c r="N36" s="2023"/>
      <c r="O36" s="2024"/>
      <c r="P36" s="2023"/>
      <c r="Q36" s="2023"/>
      <c r="R36" s="2023"/>
      <c r="S36" s="2023"/>
      <c r="T36" s="2023"/>
      <c r="U36" s="2023"/>
      <c r="V36" s="2023"/>
    </row>
    <row r="37" spans="1:22" ht="18" customHeight="1">
      <c r="A37" s="2132" t="s">
        <v>1843</v>
      </c>
      <c r="B37" s="2133" t="s">
        <v>269</v>
      </c>
      <c r="C37" s="2133"/>
      <c r="D37" s="2133"/>
      <c r="E37" s="2133"/>
      <c r="F37" s="2131"/>
      <c r="G37" s="2036"/>
      <c r="H37" s="2036"/>
      <c r="I37" s="2036"/>
      <c r="J37" s="2036"/>
      <c r="K37" s="2047"/>
      <c r="L37" s="2022"/>
      <c r="M37" s="2022"/>
      <c r="N37" s="2023"/>
      <c r="O37" s="2024"/>
      <c r="P37" s="2023"/>
      <c r="Q37" s="2023"/>
      <c r="R37" s="2023"/>
      <c r="S37" s="2023"/>
      <c r="T37" s="2023"/>
      <c r="U37" s="2023"/>
      <c r="V37" s="2023"/>
    </row>
    <row r="38" spans="1:22" ht="18" customHeight="1" thickBot="1">
      <c r="A38" s="2134" t="s">
        <v>1844</v>
      </c>
      <c r="B38" s="2135" t="s">
        <v>322</v>
      </c>
      <c r="C38" s="2135"/>
      <c r="D38" s="2135"/>
      <c r="E38" s="2135"/>
      <c r="F38" s="2136"/>
      <c r="G38" s="2055"/>
      <c r="H38" s="2055"/>
      <c r="I38" s="2055"/>
      <c r="J38" s="2036"/>
      <c r="K38" s="2047"/>
      <c r="L38" s="2022"/>
      <c r="M38" s="2022"/>
      <c r="N38" s="2023"/>
      <c r="O38" s="2024"/>
      <c r="P38" s="2023"/>
      <c r="Q38" s="2023"/>
      <c r="R38" s="2023"/>
      <c r="S38" s="2023"/>
      <c r="T38" s="2023"/>
      <c r="U38" s="2023"/>
      <c r="V38" s="2023"/>
    </row>
    <row r="39" spans="1:22" s="2141" customFormat="1" ht="18" customHeight="1" thickTop="1" thickBot="1">
      <c r="A39" s="2137" t="s">
        <v>1845</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5"/>
      <c r="L40" s="2076"/>
      <c r="M40" s="2076"/>
      <c r="N40" s="2077"/>
      <c r="O40" s="2076"/>
      <c r="P40" s="2023"/>
      <c r="Q40" s="2023"/>
      <c r="R40" s="2023"/>
      <c r="S40" s="2023"/>
      <c r="T40" s="2023"/>
      <c r="U40" s="2023"/>
      <c r="V40" s="2023"/>
    </row>
    <row r="41" spans="1:22" ht="18" customHeight="1">
      <c r="A41" s="8" t="s">
        <v>1846</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1847</v>
      </c>
      <c r="B42" s="1789" t="s">
        <v>1848</v>
      </c>
      <c r="C42" s="1789" t="s">
        <v>1849</v>
      </c>
      <c r="D42" s="1789" t="s">
        <v>1850</v>
      </c>
      <c r="E42" s="1789" t="s">
        <v>1851</v>
      </c>
      <c r="F42" s="1789" t="s">
        <v>1852</v>
      </c>
      <c r="G42" s="1789" t="s">
        <v>1853</v>
      </c>
      <c r="H42" s="1789" t="s">
        <v>1854</v>
      </c>
      <c r="I42" s="1789" t="s">
        <v>1855</v>
      </c>
      <c r="J42" s="2145" t="s">
        <v>1856</v>
      </c>
      <c r="K42" s="2068" t="s">
        <v>1857</v>
      </c>
      <c r="L42" s="2068" t="s">
        <v>1858</v>
      </c>
      <c r="M42" s="2068" t="s">
        <v>1859</v>
      </c>
      <c r="N42" s="1789" t="s">
        <v>1860</v>
      </c>
      <c r="O42" s="1789" t="s">
        <v>1861</v>
      </c>
      <c r="P42" s="1789" t="s">
        <v>1862</v>
      </c>
      <c r="Q42" s="2067" t="s">
        <v>1863</v>
      </c>
      <c r="R42" s="2067" t="s">
        <v>1864</v>
      </c>
      <c r="S42" s="2023"/>
      <c r="T42" s="2023"/>
      <c r="U42" s="2023"/>
      <c r="V42" s="2023"/>
    </row>
    <row r="43" spans="1:22" s="2150" customFormat="1" ht="18" customHeight="1">
      <c r="A43" s="2146"/>
      <c r="B43" s="1274"/>
      <c r="C43" s="1274"/>
      <c r="D43" s="1274"/>
      <c r="E43" s="1274"/>
      <c r="F43" s="1274"/>
      <c r="G43" s="1274"/>
      <c r="H43" s="9"/>
      <c r="I43" s="9"/>
      <c r="J43" s="2147"/>
      <c r="K43" s="2148"/>
      <c r="L43" s="2148"/>
      <c r="M43" s="9"/>
      <c r="N43" s="1274"/>
      <c r="O43" s="9"/>
      <c r="P43" s="1274"/>
      <c r="Q43" s="1274"/>
      <c r="R43" s="1274"/>
      <c r="S43" s="2149"/>
      <c r="T43" s="2149"/>
      <c r="U43" s="2149"/>
      <c r="V43" s="2149"/>
    </row>
    <row r="44" spans="1:22" s="2150" customFormat="1" ht="18" customHeight="1">
      <c r="A44" s="2146"/>
      <c r="B44" s="2146"/>
      <c r="C44" s="1274"/>
      <c r="D44" s="1274"/>
      <c r="E44" s="1274"/>
      <c r="F44" s="1274"/>
      <c r="G44" s="1274"/>
      <c r="H44" s="9"/>
      <c r="I44" s="9"/>
      <c r="J44" s="2147"/>
      <c r="K44" s="2148"/>
      <c r="L44" s="2148"/>
      <c r="M44" s="9"/>
      <c r="N44" s="1274"/>
      <c r="O44" s="9"/>
      <c r="P44" s="1274"/>
      <c r="Q44" s="1274"/>
      <c r="R44" s="1274"/>
      <c r="S44" s="2149"/>
      <c r="T44" s="2149"/>
      <c r="U44" s="2149"/>
      <c r="V44" s="2149"/>
    </row>
    <row r="45" spans="1:22" s="2150" customFormat="1" ht="18" customHeight="1">
      <c r="A45" s="2146"/>
      <c r="B45" s="2146"/>
      <c r="C45" s="1274"/>
      <c r="D45" s="1274"/>
      <c r="E45" s="1274"/>
      <c r="F45" s="1274"/>
      <c r="G45" s="1274"/>
      <c r="H45" s="9"/>
      <c r="I45" s="9"/>
      <c r="J45" s="2147"/>
      <c r="K45" s="2148"/>
      <c r="L45" s="2148"/>
      <c r="M45" s="9"/>
      <c r="N45" s="1274"/>
      <c r="O45" s="9"/>
      <c r="P45" s="1274"/>
      <c r="Q45" s="1274"/>
      <c r="R45" s="1274"/>
      <c r="S45" s="2149"/>
      <c r="T45" s="2149"/>
      <c r="U45" s="2149"/>
      <c r="V45" s="2149"/>
    </row>
    <row r="46" spans="1:22" s="2150" customFormat="1" ht="18" customHeight="1">
      <c r="A46" s="2146"/>
      <c r="B46" s="2146"/>
      <c r="C46" s="1274"/>
      <c r="D46" s="1274"/>
      <c r="E46" s="1274"/>
      <c r="F46" s="1274"/>
      <c r="G46" s="1274"/>
      <c r="H46" s="9"/>
      <c r="I46" s="9"/>
      <c r="J46" s="2147"/>
      <c r="K46" s="2148"/>
      <c r="L46" s="2148"/>
      <c r="M46" s="9"/>
      <c r="N46" s="1274"/>
      <c r="O46" s="9"/>
      <c r="P46" s="1274"/>
      <c r="Q46" s="1274"/>
      <c r="R46" s="1274"/>
      <c r="S46" s="2149"/>
      <c r="T46" s="2149"/>
      <c r="U46" s="2149"/>
      <c r="V46" s="2149"/>
    </row>
    <row r="47" spans="1:22" s="2150" customFormat="1" ht="18" customHeight="1">
      <c r="A47" s="2146"/>
      <c r="B47" s="2146"/>
      <c r="C47" s="1274"/>
      <c r="D47" s="1274"/>
      <c r="E47" s="1274"/>
      <c r="F47" s="1274"/>
      <c r="G47" s="1274"/>
      <c r="H47" s="9"/>
      <c r="I47" s="9"/>
      <c r="J47" s="2147"/>
      <c r="K47" s="2148"/>
      <c r="L47" s="2148"/>
      <c r="M47" s="9"/>
      <c r="N47" s="1274"/>
      <c r="O47" s="9"/>
      <c r="P47" s="1274"/>
      <c r="Q47" s="1274"/>
      <c r="R47" s="1274"/>
      <c r="S47" s="2149"/>
      <c r="T47" s="2149"/>
      <c r="U47" s="2149"/>
      <c r="V47" s="2149"/>
    </row>
    <row r="48" spans="1:22" s="2150" customFormat="1" ht="18" customHeight="1">
      <c r="A48" s="2146"/>
      <c r="B48" s="2146"/>
      <c r="C48" s="1274"/>
      <c r="D48" s="1274"/>
      <c r="E48" s="1274"/>
      <c r="F48" s="1274"/>
      <c r="G48" s="1274"/>
      <c r="H48" s="9"/>
      <c r="I48" s="9"/>
      <c r="J48" s="2147"/>
      <c r="K48" s="2148"/>
      <c r="L48" s="2148"/>
      <c r="M48" s="9"/>
      <c r="N48" s="1274"/>
      <c r="O48" s="9"/>
      <c r="P48" s="1274"/>
      <c r="Q48" s="1274"/>
      <c r="R48" s="1274"/>
      <c r="S48" s="2149"/>
      <c r="T48" s="2149"/>
      <c r="U48" s="2149"/>
      <c r="V48" s="2149"/>
    </row>
    <row r="49" spans="1:22" s="2150" customFormat="1" ht="18" customHeight="1">
      <c r="A49" s="2146"/>
      <c r="B49" s="2146"/>
      <c r="C49" s="1274"/>
      <c r="D49" s="1274"/>
      <c r="E49" s="1274"/>
      <c r="F49" s="1274"/>
      <c r="G49" s="1274"/>
      <c r="H49" s="9"/>
      <c r="I49" s="9"/>
      <c r="J49" s="2147"/>
      <c r="K49" s="2148"/>
      <c r="L49" s="2148"/>
      <c r="M49" s="9"/>
      <c r="N49" s="1274"/>
      <c r="O49" s="9"/>
      <c r="P49" s="1274"/>
      <c r="Q49" s="1274"/>
      <c r="R49" s="1274"/>
      <c r="S49" s="2149"/>
      <c r="T49" s="2149"/>
      <c r="U49" s="2149"/>
      <c r="V49" s="2149"/>
    </row>
    <row r="50" spans="1:22" s="2150" customFormat="1" ht="18" customHeight="1">
      <c r="A50" s="2146"/>
      <c r="B50" s="2146"/>
      <c r="C50" s="1274"/>
      <c r="D50" s="1274"/>
      <c r="E50" s="1274"/>
      <c r="F50" s="1274"/>
      <c r="G50" s="1274"/>
      <c r="H50" s="9"/>
      <c r="I50" s="9"/>
      <c r="J50" s="2147"/>
      <c r="K50" s="2148"/>
      <c r="L50" s="2148"/>
      <c r="M50" s="9"/>
      <c r="N50" s="1274"/>
      <c r="O50" s="9"/>
      <c r="P50" s="1274"/>
      <c r="Q50" s="1274"/>
      <c r="R50" s="1274"/>
      <c r="S50" s="2149"/>
      <c r="T50" s="2149"/>
      <c r="U50" s="2149"/>
      <c r="V50" s="2149"/>
    </row>
    <row r="51" spans="1:22" s="2150" customFormat="1" ht="18" customHeight="1">
      <c r="A51" s="2146"/>
      <c r="B51" s="2146"/>
      <c r="C51" s="1274"/>
      <c r="D51" s="1274"/>
      <c r="E51" s="1274"/>
      <c r="F51" s="1274"/>
      <c r="G51" s="1274"/>
      <c r="H51" s="9"/>
      <c r="I51" s="9"/>
      <c r="J51" s="2147"/>
      <c r="K51" s="2148"/>
      <c r="L51" s="2148"/>
      <c r="M51" s="9"/>
      <c r="N51" s="1274"/>
      <c r="O51" s="9"/>
      <c r="P51" s="1274"/>
      <c r="Q51" s="1274"/>
      <c r="R51" s="1274"/>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1867</v>
      </c>
      <c r="B2" s="11" t="s">
        <v>1868</v>
      </c>
      <c r="C2" s="11" t="s">
        <v>1869</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71" t="s">
        <v>1870</v>
      </c>
      <c r="AZ2" s="1272" t="s">
        <v>1871</v>
      </c>
      <c r="BA2" s="11" t="s">
        <v>1872</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711.96</v>
      </c>
      <c r="B3" s="14">
        <f>IF(C3="否",G5-AT5,G5)</f>
        <v>2526.41</v>
      </c>
      <c r="C3" s="2161" t="s">
        <v>1873</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3"/>
      <c r="AZ3" s="1274"/>
      <c r="BA3" s="1275"/>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1874</v>
      </c>
      <c r="B5" s="1797"/>
      <c r="C5" s="1797"/>
      <c r="D5" s="1800"/>
      <c r="E5" s="16" t="s">
        <v>1</v>
      </c>
      <c r="F5" s="16">
        <f>SUM(F13:F587)</f>
        <v>0</v>
      </c>
      <c r="G5" s="16">
        <f>SUM(G13:G587)</f>
        <v>2526.41</v>
      </c>
      <c r="H5" s="16">
        <f t="shared" ref="H5:AT5" si="0">SUM(H13:H656)</f>
        <v>2526.41</v>
      </c>
      <c r="I5" s="16">
        <f t="shared" si="0"/>
        <v>2526.41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1874</v>
      </c>
      <c r="AW5" s="1797"/>
      <c r="AX5" s="1797"/>
      <c r="AY5" s="17" t="s">
        <v>3</v>
      </c>
      <c r="AZ5" s="18">
        <f t="shared" ref="AZ5:BT5" si="1">SUM(AZ13:AZ656)</f>
        <v>2526.41</v>
      </c>
      <c r="BA5" s="18">
        <f t="shared" si="1"/>
        <v>2526.41</v>
      </c>
      <c r="BB5" s="18">
        <f t="shared" si="1"/>
        <v>2526.41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1875</v>
      </c>
      <c r="B6" s="2167"/>
      <c r="C6" s="2167"/>
      <c r="D6" s="2168"/>
      <c r="E6" s="16">
        <f>H6+AC6+AT6</f>
        <v>711.96</v>
      </c>
      <c r="F6" s="16" t="s">
        <v>1</v>
      </c>
      <c r="G6" s="16" t="s">
        <v>2</v>
      </c>
      <c r="H6" s="20">
        <f>SUMIF(I$12:AB$12,"总值",I6:AB6)</f>
        <v>711.96</v>
      </c>
      <c r="I6" s="16">
        <f t="shared" ref="I6:AB6" si="2">ROUND($A$3*I5/$B$3,2)</f>
        <v>711.96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1875</v>
      </c>
      <c r="AW6" s="2167"/>
      <c r="AX6" s="2167"/>
      <c r="AY6" s="21">
        <f>IF(AY3&gt;0,AY3,ROUND($A$3*AZ5/$B$3,2))</f>
        <v>711.96</v>
      </c>
      <c r="AZ6" s="16" t="s">
        <v>3</v>
      </c>
      <c r="BA6" s="16">
        <f>ROUND($AY$6*BA5/$AZ$5,2)</f>
        <v>711.96</v>
      </c>
      <c r="BB6" s="16">
        <f>ROUND($AY$6*BB5/$AZ$5,2)</f>
        <v>711.96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1876</v>
      </c>
      <c r="B7" s="2102" t="s">
        <v>1877</v>
      </c>
      <c r="C7" s="2102" t="s">
        <v>1878</v>
      </c>
      <c r="D7" s="2102" t="s">
        <v>1879</v>
      </c>
      <c r="E7" s="2102" t="s">
        <v>1880</v>
      </c>
      <c r="F7" s="2102" t="s">
        <v>1881</v>
      </c>
      <c r="G7" s="2171" t="s">
        <v>1882</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1883</v>
      </c>
      <c r="AV7" s="23" t="s">
        <v>1884</v>
      </c>
      <c r="AW7" s="2159" t="s">
        <v>1885</v>
      </c>
      <c r="AX7" s="23" t="s">
        <v>1878</v>
      </c>
      <c r="AY7" s="1797" t="s">
        <v>1886</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1887</v>
      </c>
      <c r="H8" s="2177" t="s">
        <v>1888</v>
      </c>
      <c r="I8" s="2178"/>
      <c r="J8" s="1812"/>
      <c r="K8" s="1812"/>
      <c r="L8" s="1812"/>
      <c r="M8" s="1812"/>
      <c r="N8" s="1812"/>
      <c r="O8" s="1812"/>
      <c r="P8" s="1812"/>
      <c r="Q8" s="1812"/>
      <c r="R8" s="1812"/>
      <c r="S8" s="1812"/>
      <c r="T8" s="1812"/>
      <c r="U8" s="1812"/>
      <c r="V8" s="2179"/>
      <c r="W8" s="1812"/>
      <c r="X8" s="1812"/>
      <c r="Y8" s="1812"/>
      <c r="Z8" s="1812"/>
      <c r="AA8" s="2179"/>
      <c r="AB8" s="2180"/>
      <c r="AC8" s="983" t="s">
        <v>1889</v>
      </c>
      <c r="AD8" s="2181"/>
      <c r="AE8" s="2173"/>
      <c r="AF8" s="1812"/>
      <c r="AG8" s="1812"/>
      <c r="AH8" s="1812"/>
      <c r="AI8" s="1812"/>
      <c r="AJ8" s="1812"/>
      <c r="AK8" s="1812"/>
      <c r="AL8" s="1812"/>
      <c r="AM8" s="1812"/>
      <c r="AN8" s="1812"/>
      <c r="AO8" s="1812"/>
      <c r="AP8" s="1812"/>
      <c r="AQ8" s="1812"/>
      <c r="AR8" s="1812"/>
      <c r="AS8" s="1812"/>
      <c r="AT8" s="1294" t="s">
        <v>1890</v>
      </c>
      <c r="AU8" s="2175" t="s">
        <v>1891</v>
      </c>
      <c r="AV8" s="1294"/>
      <c r="AW8" s="2158"/>
      <c r="AX8" s="1294"/>
      <c r="AY8" s="2159" t="s">
        <v>1892</v>
      </c>
      <c r="AZ8" s="1811" t="s">
        <v>1893</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94"/>
      <c r="H9" s="2183" t="s">
        <v>1894</v>
      </c>
      <c r="I9" s="2184" t="s">
        <v>3067</v>
      </c>
      <c r="J9" s="983"/>
      <c r="K9" s="2184"/>
      <c r="L9" s="983"/>
      <c r="M9" s="2184"/>
      <c r="N9" s="983"/>
      <c r="O9" s="2184"/>
      <c r="P9" s="983"/>
      <c r="Q9" s="2184"/>
      <c r="R9" s="983"/>
      <c r="S9" s="2184"/>
      <c r="T9" s="983"/>
      <c r="U9" s="2184"/>
      <c r="V9" s="983"/>
      <c r="W9" s="2184"/>
      <c r="X9" s="2185"/>
      <c r="Y9" s="2184"/>
      <c r="Z9" s="983"/>
      <c r="AA9" s="2184"/>
      <c r="AB9" s="983"/>
      <c r="AC9" s="2176"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86"/>
      <c r="AT9" s="2175"/>
      <c r="AU9" s="2175" t="s">
        <v>1897</v>
      </c>
      <c r="AV9" s="1294"/>
      <c r="AW9" s="2158"/>
      <c r="AX9" s="1294"/>
      <c r="AY9" s="28"/>
      <c r="AZ9" s="28" t="s">
        <v>1887</v>
      </c>
      <c r="BA9" s="2187" t="s">
        <v>1898</v>
      </c>
      <c r="BB9" s="2188"/>
      <c r="BC9" s="1340"/>
      <c r="BD9" s="1340"/>
      <c r="BE9" s="1340"/>
      <c r="BF9" s="1340"/>
      <c r="BG9" s="1340"/>
      <c r="BH9" s="1340"/>
      <c r="BI9" s="1340"/>
      <c r="BJ9" s="1340"/>
      <c r="BK9" s="2189"/>
      <c r="BL9" s="15" t="s">
        <v>1899</v>
      </c>
      <c r="BM9" s="1812"/>
      <c r="BN9" s="2178"/>
      <c r="BO9" s="1812"/>
      <c r="BP9" s="1812"/>
      <c r="BQ9" s="1812"/>
      <c r="BR9" s="1812"/>
      <c r="BS9" s="1812"/>
      <c r="BT9" s="26"/>
    </row>
    <row r="10" spans="1:72" s="2182" customFormat="1" ht="12.75">
      <c r="A10" s="2175"/>
      <c r="B10" s="2175"/>
      <c r="C10" s="2175"/>
      <c r="D10" s="2175"/>
      <c r="E10" s="2175"/>
      <c r="F10" s="2175"/>
      <c r="G10" s="1294"/>
      <c r="H10" s="28"/>
      <c r="I10" s="2184" t="s">
        <v>1373</v>
      </c>
      <c r="J10" s="983"/>
      <c r="K10" s="2190"/>
      <c r="L10" s="983"/>
      <c r="M10" s="2190"/>
      <c r="N10" s="983"/>
      <c r="O10" s="2190"/>
      <c r="P10" s="983"/>
      <c r="Q10" s="2190"/>
      <c r="R10" s="983"/>
      <c r="S10" s="2190"/>
      <c r="T10" s="983"/>
      <c r="U10" s="2190"/>
      <c r="V10" s="983"/>
      <c r="W10" s="2190"/>
      <c r="X10" s="983"/>
      <c r="Y10" s="2190"/>
      <c r="Z10" s="983"/>
      <c r="AA10" s="2190"/>
      <c r="AB10" s="983"/>
      <c r="AC10" s="1294"/>
      <c r="AD10" s="15" t="s">
        <v>1900</v>
      </c>
      <c r="AE10" s="2191"/>
      <c r="AF10" s="15" t="s">
        <v>1900</v>
      </c>
      <c r="AG10" s="2191"/>
      <c r="AH10" s="15" t="s">
        <v>1901</v>
      </c>
      <c r="AI10" s="2191"/>
      <c r="AJ10" s="15" t="s">
        <v>1901</v>
      </c>
      <c r="AK10" s="2191"/>
      <c r="AL10" s="15" t="s">
        <v>1902</v>
      </c>
      <c r="AM10" s="1300"/>
      <c r="AN10" s="15" t="s">
        <v>1902</v>
      </c>
      <c r="AO10" s="1300"/>
      <c r="AP10" s="15" t="s">
        <v>1903</v>
      </c>
      <c r="AQ10" s="1300"/>
      <c r="AR10" s="15" t="s">
        <v>1903</v>
      </c>
      <c r="AS10" s="1300"/>
      <c r="AT10" s="2175"/>
      <c r="AU10" s="2175"/>
      <c r="AV10" s="1294"/>
      <c r="AW10" s="2158"/>
      <c r="AX10" s="1294"/>
      <c r="AY10" s="28"/>
      <c r="AZ10" s="28"/>
      <c r="BA10" s="2192" t="s">
        <v>1894</v>
      </c>
      <c r="BB10" s="2193" t="str">
        <f>I9</f>
        <v>地上</v>
      </c>
      <c r="BC10" s="29">
        <f>K9</f>
        <v>0</v>
      </c>
      <c r="BD10" s="29">
        <f>M9</f>
        <v>0</v>
      </c>
      <c r="BE10" s="29">
        <f>O9</f>
        <v>0</v>
      </c>
      <c r="BF10" s="29">
        <f>Q9</f>
        <v>0</v>
      </c>
      <c r="BG10" s="29">
        <f>S9</f>
        <v>0</v>
      </c>
      <c r="BH10" s="29">
        <f>U9</f>
        <v>0</v>
      </c>
      <c r="BI10" s="29">
        <f>W9</f>
        <v>0</v>
      </c>
      <c r="BJ10" s="29">
        <f>Y9</f>
        <v>0</v>
      </c>
      <c r="BK10" s="29">
        <f>AA9</f>
        <v>0</v>
      </c>
      <c r="BL10" s="25" t="s">
        <v>1894</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94"/>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4"/>
      <c r="AD11" s="2197" t="s">
        <v>1904</v>
      </c>
      <c r="AE11" s="1813"/>
      <c r="AF11" s="2197" t="s">
        <v>1904</v>
      </c>
      <c r="AG11" s="1813"/>
      <c r="AH11" s="2197" t="s">
        <v>1905</v>
      </c>
      <c r="AI11" s="2198"/>
      <c r="AJ11" s="2197" t="s">
        <v>1905</v>
      </c>
      <c r="AK11" s="1813"/>
      <c r="AL11" s="1811"/>
      <c r="AM11" s="1813"/>
      <c r="AN11" s="1811"/>
      <c r="AO11" s="1813"/>
      <c r="AP11" s="1811"/>
      <c r="AQ11" s="1813"/>
      <c r="AR11" s="1811"/>
      <c r="AS11" s="1813"/>
      <c r="AT11" s="2158"/>
      <c r="AU11" s="2175"/>
      <c r="AV11" s="1294"/>
      <c r="AW11" s="2158"/>
      <c r="AX11" s="1294"/>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94"/>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6" t="s">
        <v>1907</v>
      </c>
      <c r="W12" s="11" t="s">
        <v>1906</v>
      </c>
      <c r="X12" s="11" t="s">
        <v>1907</v>
      </c>
      <c r="Y12" s="11" t="s">
        <v>1906</v>
      </c>
      <c r="Z12" s="11" t="s">
        <v>1907</v>
      </c>
      <c r="AA12" s="11" t="s">
        <v>1906</v>
      </c>
      <c r="AB12" s="11" t="s">
        <v>1907</v>
      </c>
      <c r="AC12" s="2202"/>
      <c r="AD12" s="180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0" t="s">
        <v>1907</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4"/>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74"/>
      <c r="B13" s="1274"/>
      <c r="C13" s="1274"/>
      <c r="D13" s="2206" t="s">
        <v>3060</v>
      </c>
      <c r="E13" s="16">
        <f>IF($C$3="是",ROUND($A$3*G13/$B$3,2),ROUND($A$3*(G13-AT13)/$B$3,2))</f>
        <v>711.96</v>
      </c>
      <c r="F13" s="32"/>
      <c r="G13" s="33">
        <f>H13+AC13+AT13</f>
        <v>2526.41</v>
      </c>
      <c r="H13" s="20">
        <f>SUMIF(I$12:AB$12,"总值",I13:AB13)</f>
        <v>2526.41</v>
      </c>
      <c r="I13" s="2207">
        <v>2526.41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711.96</v>
      </c>
      <c r="AZ13" s="16">
        <f>BA13+BL13</f>
        <v>2526.41</v>
      </c>
      <c r="BA13" s="16">
        <f>SUM(BB13:BK13)</f>
        <v>2526.41</v>
      </c>
      <c r="BB13" s="16">
        <f>IF($D13="是",I13-J13,0)</f>
        <v>2526.41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4"/>
      <c r="B14" s="1274"/>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4"/>
      <c r="B15" s="1274"/>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4"/>
      <c r="B16" s="1274"/>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4"/>
      <c r="B17" s="1274"/>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3" sqref="F23"/>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1933</v>
      </c>
      <c r="B1" s="1394"/>
      <c r="C1" s="1394"/>
      <c r="D1" s="1394"/>
      <c r="E1" s="1394"/>
      <c r="F1" s="1394"/>
      <c r="G1" s="1394"/>
      <c r="H1" s="1394"/>
      <c r="I1" s="1394"/>
      <c r="J1" s="1394"/>
      <c r="K1" s="1394"/>
      <c r="L1" s="1394"/>
      <c r="M1" s="1394"/>
      <c r="N1" s="1394"/>
      <c r="O1" s="1394"/>
      <c r="P1" s="1394"/>
    </row>
    <row r="2" spans="1:16" ht="15">
      <c r="A2" s="3119" t="s">
        <v>1934</v>
      </c>
      <c r="B2" s="3119"/>
      <c r="C2" s="3119"/>
      <c r="D2" s="969" t="s">
        <v>1910</v>
      </c>
      <c r="E2" s="2220" t="s">
        <v>1911</v>
      </c>
      <c r="F2" s="1394"/>
      <c r="G2" s="2221"/>
      <c r="H2" s="2222"/>
      <c r="I2" s="2223" t="s">
        <v>1935</v>
      </c>
      <c r="J2" s="1394"/>
      <c r="K2" s="1394"/>
      <c r="L2" s="1394"/>
      <c r="M2" s="1394"/>
      <c r="N2" s="1429"/>
      <c r="O2" s="1394"/>
      <c r="P2" s="1394"/>
    </row>
    <row r="3" spans="1:16" ht="15.75" thickBot="1">
      <c r="A3" s="3120" t="s">
        <v>1908</v>
      </c>
      <c r="B3" s="3120"/>
      <c r="C3" s="3120"/>
      <c r="D3" s="46">
        <f>'数据-基础表'!AY6</f>
        <v>711.96</v>
      </c>
      <c r="E3" s="46">
        <f>'数据-基础表'!AZ5</f>
        <v>2526.41</v>
      </c>
      <c r="F3" s="1394"/>
      <c r="G3" s="1401"/>
      <c r="H3" s="1249" t="s">
        <v>1909</v>
      </c>
      <c r="I3" s="55">
        <f>ROUND('数据-基础表'!B3/'数据-基础表'!A3,2)</f>
        <v>3.55</v>
      </c>
      <c r="J3" s="1394"/>
      <c r="K3" s="1394"/>
      <c r="L3" s="1394"/>
      <c r="M3" s="1394"/>
      <c r="N3" s="1429"/>
      <c r="O3" s="1394"/>
      <c r="P3" s="1394"/>
    </row>
    <row r="4" spans="1:16" ht="15">
      <c r="A4" s="3121"/>
      <c r="B4" s="3122"/>
      <c r="C4" s="3123"/>
      <c r="D4" s="2224" t="s">
        <v>1910</v>
      </c>
      <c r="E4" s="2225" t="s">
        <v>1911</v>
      </c>
      <c r="F4" s="1394"/>
      <c r="G4" s="2226" t="s">
        <v>1936</v>
      </c>
      <c r="H4" s="1249" t="s">
        <v>1916</v>
      </c>
      <c r="I4" s="55">
        <f>ROUND(SUMIF('数据-基础表'!I9:AS9,"地上",'数据-基础表'!I5:AS5)/'数据-基础表'!A3,2)</f>
        <v>3.55</v>
      </c>
      <c r="J4" s="1394"/>
      <c r="K4" s="1394"/>
      <c r="L4" s="1394"/>
      <c r="M4" s="1394"/>
      <c r="N4" s="1429"/>
      <c r="O4" s="1394"/>
      <c r="P4" s="1394"/>
    </row>
    <row r="5" spans="1:16">
      <c r="A5" s="47" t="s">
        <v>1912</v>
      </c>
      <c r="B5" s="3124" t="s">
        <v>1913</v>
      </c>
      <c r="C5" s="3124"/>
      <c r="D5" s="48">
        <f>ROUND($D$3*E5/$E$3,2)</f>
        <v>0</v>
      </c>
      <c r="E5" s="49">
        <f>SUMIF('数据-基础表'!$11:$11,"住宅",'数据-基础表'!$5:$5)</f>
        <v>0</v>
      </c>
      <c r="F5" s="1394"/>
      <c r="G5" s="1401"/>
      <c r="H5" s="1249" t="s">
        <v>1909</v>
      </c>
      <c r="I5" s="55">
        <f>ROUND(E31/D31,2)</f>
        <v>3.55</v>
      </c>
      <c r="J5" s="1394"/>
      <c r="K5" s="1394"/>
      <c r="L5" s="1394"/>
      <c r="M5" s="1394"/>
      <c r="N5" s="1394"/>
      <c r="O5" s="1394"/>
      <c r="P5" s="1394"/>
    </row>
    <row r="6" spans="1:16" ht="15" thickBot="1">
      <c r="A6" s="2227"/>
      <c r="B6" s="3124" t="s">
        <v>1914</v>
      </c>
      <c r="C6" s="3124"/>
      <c r="D6" s="48">
        <f>ROUND($D$3*E6/$E$3,2)</f>
        <v>711.96</v>
      </c>
      <c r="E6" s="49">
        <f>E3-E5</f>
        <v>2526.41</v>
      </c>
      <c r="F6" s="1394"/>
      <c r="G6" s="2228" t="s">
        <v>1915</v>
      </c>
      <c r="H6" s="1401" t="s">
        <v>1916</v>
      </c>
      <c r="I6" s="941">
        <f>ROUND(F31/D31,2)</f>
        <v>3.55</v>
      </c>
      <c r="J6" s="1394"/>
      <c r="K6" s="1394"/>
      <c r="L6" s="1394"/>
      <c r="M6" s="1394"/>
      <c r="N6" s="1394"/>
      <c r="O6" s="1394"/>
      <c r="P6" s="1394"/>
    </row>
    <row r="7" spans="1:16" ht="15">
      <c r="A7" s="3116"/>
      <c r="B7" s="3117"/>
      <c r="C7" s="3118"/>
      <c r="D7" s="2224" t="s">
        <v>1910</v>
      </c>
      <c r="E7" s="2229" t="s">
        <v>1917</v>
      </c>
      <c r="F7" s="1394"/>
      <c r="G7" s="2221" t="s">
        <v>1918</v>
      </c>
      <c r="H7" s="64"/>
      <c r="I7" s="420"/>
      <c r="J7" s="1394"/>
      <c r="K7" s="1394"/>
      <c r="L7" s="1394"/>
      <c r="M7" s="1394"/>
      <c r="N7" s="1394"/>
      <c r="O7" s="1394"/>
      <c r="P7" s="1394"/>
    </row>
    <row r="8" spans="1:16">
      <c r="A8" s="47" t="s">
        <v>1919</v>
      </c>
      <c r="B8" s="50" t="s">
        <v>1920</v>
      </c>
      <c r="C8" s="48" t="s">
        <v>1921</v>
      </c>
      <c r="D8" s="48">
        <f t="shared" ref="D8:D15" si="0">ROUND($D$3*E8/$E$3,2)</f>
        <v>711.96</v>
      </c>
      <c r="E8" s="51">
        <f>SUMIF('数据-基础表'!BB10:BK10,"地上",'数据-基础表'!BB5:BK5)</f>
        <v>2526.41</v>
      </c>
      <c r="F8" s="1394"/>
      <c r="G8" s="2230"/>
      <c r="H8" s="2230"/>
      <c r="I8" s="1394"/>
      <c r="J8" s="1394"/>
      <c r="K8" s="1394"/>
      <c r="L8" s="1394"/>
      <c r="M8" s="1394"/>
      <c r="N8" s="1394"/>
      <c r="O8" s="1394"/>
      <c r="P8" s="1394"/>
    </row>
    <row r="9" spans="1:16">
      <c r="A9" s="2231"/>
      <c r="B9" s="2232"/>
      <c r="C9" s="48" t="s">
        <v>1922</v>
      </c>
      <c r="D9" s="48">
        <f t="shared" si="0"/>
        <v>0</v>
      </c>
      <c r="E9" s="52">
        <v>0</v>
      </c>
      <c r="F9" s="1394"/>
      <c r="G9" s="2230"/>
      <c r="H9" s="2230"/>
      <c r="I9" s="1394"/>
      <c r="J9" s="1394"/>
      <c r="K9" s="1394"/>
      <c r="L9" s="1394"/>
      <c r="M9" s="1394"/>
      <c r="N9" s="1394"/>
      <c r="O9" s="1394"/>
      <c r="P9" s="1394"/>
    </row>
    <row r="10" spans="1:16">
      <c r="A10" s="2231"/>
      <c r="B10" s="2232"/>
      <c r="C10" s="48" t="s">
        <v>1931</v>
      </c>
      <c r="D10" s="48">
        <f t="shared" si="0"/>
        <v>0</v>
      </c>
      <c r="E10" s="51">
        <f>SUMPRODUCT(('数据-基础表'!BB10:BK10="地下")*('数据-基础表'!BB11:BK11="商业")*('数据-基础表'!BB5:BK5))</f>
        <v>0</v>
      </c>
      <c r="F10" s="1394"/>
      <c r="G10" s="2230"/>
      <c r="H10" s="2230"/>
      <c r="I10" s="1394"/>
      <c r="J10" s="1394"/>
      <c r="K10" s="1394"/>
      <c r="L10" s="1394"/>
      <c r="M10" s="1394"/>
      <c r="N10" s="1394"/>
      <c r="O10" s="1394"/>
      <c r="P10" s="1394"/>
    </row>
    <row r="11" spans="1:16">
      <c r="A11" s="2231"/>
      <c r="B11" s="2232"/>
      <c r="C11" s="48" t="s">
        <v>1923</v>
      </c>
      <c r="D11" s="48">
        <f t="shared" si="0"/>
        <v>0</v>
      </c>
      <c r="E11" s="51">
        <f>SUMPRODUCT(('数据-基础表'!BB10:BK10="地下")*('数据-基础表'!BB11:BK11="办公")*('数据-基础表'!BB5:BK5))+'数据-基础表'!BP5</f>
        <v>0</v>
      </c>
      <c r="F11" s="1394"/>
      <c r="G11" s="2230"/>
      <c r="H11" s="2230"/>
      <c r="I11" s="1394"/>
      <c r="J11" s="1394"/>
      <c r="K11" s="1394"/>
      <c r="L11" s="1394"/>
      <c r="M11" s="1394"/>
      <c r="N11" s="1394"/>
      <c r="O11" s="1394"/>
      <c r="P11" s="1394"/>
    </row>
    <row r="12" spans="1:16">
      <c r="A12" s="2231"/>
      <c r="B12" s="2232"/>
      <c r="C12" s="48" t="s">
        <v>1924</v>
      </c>
      <c r="D12" s="48">
        <f t="shared" si="0"/>
        <v>0</v>
      </c>
      <c r="E12" s="51">
        <f>SUMPRODUCT(('数据-基础表'!BB10:BK10="地下")*('数据-基础表'!BB11:BK11="仓储")*('数据-基础表'!BB5:BK5))</f>
        <v>0</v>
      </c>
      <c r="F12" s="1394"/>
      <c r="G12" s="2230"/>
      <c r="H12" s="2230"/>
      <c r="I12" s="1394"/>
      <c r="J12" s="1394"/>
      <c r="K12" s="1394"/>
      <c r="L12" s="1394"/>
      <c r="M12" s="1394"/>
      <c r="N12" s="1394"/>
      <c r="O12" s="1394"/>
      <c r="P12" s="1394"/>
    </row>
    <row r="13" spans="1:16">
      <c r="A13" s="2231"/>
      <c r="B13" s="2232"/>
      <c r="C13" s="48" t="s">
        <v>1925</v>
      </c>
      <c r="D13" s="48">
        <f t="shared" si="0"/>
        <v>0</v>
      </c>
      <c r="E13" s="51">
        <f>SUMPRODUCT(('数据-基础表'!BB10:BK10="地下")*('数据-基础表'!BB11:BK11="车库")*('数据-基础表'!BB5:BK5))</f>
        <v>0</v>
      </c>
      <c r="F13" s="1394"/>
      <c r="G13" s="2230"/>
      <c r="H13" s="2230"/>
      <c r="I13" s="1394"/>
      <c r="J13" s="1394"/>
      <c r="K13" s="1394"/>
      <c r="L13" s="1394"/>
      <c r="M13" s="1394"/>
      <c r="N13" s="1394"/>
      <c r="O13" s="1394"/>
      <c r="P13" s="1394"/>
    </row>
    <row r="14" spans="1:16">
      <c r="A14" s="2231"/>
      <c r="B14" s="2232"/>
      <c r="C14" s="48" t="s">
        <v>1937</v>
      </c>
      <c r="D14" s="48">
        <f t="shared" si="0"/>
        <v>0</v>
      </c>
      <c r="E14" s="51">
        <f>SUMPRODUCT(('数据-基础表'!BB10:BK10="地下")*('数据-基础表'!BB11:BK11="车库—商业")*('数据-基础表'!BB5:BK5))</f>
        <v>0</v>
      </c>
      <c r="F14" s="1394"/>
      <c r="G14" s="2230"/>
      <c r="H14" s="2230"/>
      <c r="I14" s="1394"/>
      <c r="J14" s="1394"/>
      <c r="K14" s="1394"/>
      <c r="L14" s="1394"/>
      <c r="M14" s="1394"/>
      <c r="N14" s="1394"/>
      <c r="O14" s="1394"/>
      <c r="P14" s="1394"/>
    </row>
    <row r="15" spans="1:16" ht="15" thickBot="1">
      <c r="A15" s="2231"/>
      <c r="B15" s="2232"/>
      <c r="C15" s="48" t="s">
        <v>1932</v>
      </c>
      <c r="D15" s="48">
        <f t="shared" si="0"/>
        <v>0</v>
      </c>
      <c r="E15" s="51">
        <f>SUMPRODUCT(('数据-基础表'!BB10:BK10="地下")*('数据-基础表'!BB11:BK11="车库—办公")*('数据-基础表'!BB5:BK5))</f>
        <v>0</v>
      </c>
      <c r="F15" s="1394"/>
      <c r="G15" s="2230"/>
      <c r="H15" s="2230"/>
      <c r="I15" s="1394"/>
      <c r="J15" s="1394"/>
      <c r="K15" s="1394"/>
      <c r="L15" s="1394"/>
      <c r="M15" s="1394"/>
      <c r="N15" s="1394"/>
      <c r="O15" s="1394"/>
      <c r="P15" s="1394"/>
    </row>
    <row r="16" spans="1:16" ht="15.75" thickBot="1">
      <c r="A16" s="2227"/>
      <c r="B16" s="2232"/>
      <c r="C16" s="50" t="s">
        <v>1926</v>
      </c>
      <c r="D16" s="50">
        <f>SUM(D8:D15)</f>
        <v>711.96</v>
      </c>
      <c r="E16" s="53">
        <f>SUM(E8:E15)</f>
        <v>2526.41</v>
      </c>
      <c r="F16" s="1394"/>
      <c r="G16" s="2230"/>
      <c r="H16" s="2233" t="s">
        <v>1938</v>
      </c>
      <c r="I16" s="2234"/>
      <c r="J16" s="1394"/>
      <c r="K16" s="3113" t="s">
        <v>1938</v>
      </c>
      <c r="L16" s="3114"/>
      <c r="M16" s="3114"/>
      <c r="N16" s="3114"/>
      <c r="O16" s="3114"/>
      <c r="P16" s="3115"/>
    </row>
    <row r="17" spans="1:19" ht="15">
      <c r="A17" s="2235" t="s">
        <v>1939</v>
      </c>
      <c r="B17" s="2236" t="s">
        <v>1940</v>
      </c>
      <c r="C17" s="2237" t="s">
        <v>1941</v>
      </c>
      <c r="D17" s="2238" t="s">
        <v>1929</v>
      </c>
      <c r="E17" s="2239" t="s">
        <v>1930</v>
      </c>
      <c r="F17" s="2240"/>
      <c r="G17" s="2241"/>
      <c r="H17" s="2242" t="s">
        <v>1942</v>
      </c>
      <c r="I17" s="2243" t="s">
        <v>1927</v>
      </c>
      <c r="J17" s="1394"/>
      <c r="K17" s="3110" t="s">
        <v>1943</v>
      </c>
      <c r="L17" s="3111"/>
      <c r="M17" s="3112"/>
      <c r="N17" s="3110" t="s">
        <v>1944</v>
      </c>
      <c r="O17" s="3111"/>
      <c r="P17" s="3112"/>
      <c r="R17" s="2221" t="s">
        <v>1945</v>
      </c>
      <c r="S17" s="64"/>
    </row>
    <row r="18" spans="1:19" ht="15">
      <c r="A18" s="2231"/>
      <c r="B18" s="2244"/>
      <c r="C18" s="2245"/>
      <c r="D18" s="2246"/>
      <c r="E18" s="2247" t="s">
        <v>1946</v>
      </c>
      <c r="F18" s="2248" t="s">
        <v>1947</v>
      </c>
      <c r="G18" s="2249" t="s">
        <v>1948</v>
      </c>
      <c r="H18" s="1264" t="s">
        <v>1949</v>
      </c>
      <c r="I18" s="2250" t="s">
        <v>1950</v>
      </c>
      <c r="J18" s="1394"/>
      <c r="K18" s="1264" t="s">
        <v>1951</v>
      </c>
      <c r="L18" s="2251" t="s">
        <v>1952</v>
      </c>
      <c r="M18" s="1048" t="s">
        <v>1953</v>
      </c>
      <c r="N18" s="1264" t="s">
        <v>1951</v>
      </c>
      <c r="O18" s="2251" t="s">
        <v>1952</v>
      </c>
      <c r="P18" s="1048" t="s">
        <v>1953</v>
      </c>
      <c r="R18" s="1249" t="s">
        <v>1954</v>
      </c>
      <c r="S18" s="1249" t="s">
        <v>1955</v>
      </c>
    </row>
    <row r="19" spans="1:19">
      <c r="A19" s="2252"/>
      <c r="B19" s="50" t="s">
        <v>1928</v>
      </c>
      <c r="C19" s="2990" t="s">
        <v>3320</v>
      </c>
      <c r="D19" s="48">
        <f>ROUND($D$3*E19/$E$3,2)</f>
        <v>0</v>
      </c>
      <c r="E19" s="56">
        <f t="shared" ref="E19:E26" si="1">SUM(F19:G19)</f>
        <v>0</v>
      </c>
      <c r="F19" s="2991"/>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4"/>
      <c r="O19" s="2255"/>
      <c r="P19" s="1405">
        <f>N19+O19</f>
        <v>0</v>
      </c>
      <c r="R19" s="1249">
        <f t="shared" ref="R19:S26" si="5">D19+H19</f>
        <v>0</v>
      </c>
      <c r="S19" s="1250">
        <f t="shared" si="5"/>
        <v>0</v>
      </c>
    </row>
    <row r="20" spans="1:19">
      <c r="A20" s="2256"/>
      <c r="B20" s="50" t="s">
        <v>1956</v>
      </c>
      <c r="C20" s="2990" t="s">
        <v>3321</v>
      </c>
      <c r="D20" s="48">
        <f t="shared" ref="D20:D26" si="6">ROUND($D$3*E20/$E$3,2)</f>
        <v>711.96</v>
      </c>
      <c r="E20" s="56">
        <f t="shared" si="1"/>
        <v>2526.41</v>
      </c>
      <c r="F20" s="2991">
        <f>'数据-基础表'!I5-'数据-汇总表'!F19</f>
        <v>2526.41</v>
      </c>
      <c r="G20" s="58"/>
      <c r="H20" s="722">
        <f t="shared" ref="H20:H26" si="7">ROUND($D$3*I20/$E$3,2)</f>
        <v>0</v>
      </c>
      <c r="I20" s="51">
        <f t="shared" si="2"/>
        <v>0</v>
      </c>
      <c r="J20" s="1394"/>
      <c r="K20" s="1393">
        <f t="shared" si="3"/>
        <v>0</v>
      </c>
      <c r="L20" s="1249">
        <f t="shared" si="4"/>
        <v>0</v>
      </c>
      <c r="M20" s="1405">
        <f t="shared" ref="M20:M26" si="8">K20+L20</f>
        <v>0</v>
      </c>
      <c r="N20" s="2254"/>
      <c r="O20" s="2255"/>
      <c r="P20" s="1405">
        <f t="shared" ref="P20:P26" si="9">N20+O20</f>
        <v>0</v>
      </c>
      <c r="R20" s="1249">
        <f t="shared" si="5"/>
        <v>711.96</v>
      </c>
      <c r="S20" s="1250">
        <f t="shared" si="5"/>
        <v>2526.41</v>
      </c>
    </row>
    <row r="21" spans="1:19">
      <c r="A21" s="2256"/>
      <c r="B21" s="50" t="s">
        <v>1956</v>
      </c>
      <c r="C21" s="2253"/>
      <c r="D21" s="48">
        <f t="shared" si="6"/>
        <v>0</v>
      </c>
      <c r="E21" s="56">
        <f t="shared" si="1"/>
        <v>0</v>
      </c>
      <c r="F21" s="57"/>
      <c r="G21" s="58"/>
      <c r="H21" s="722">
        <f t="shared" si="7"/>
        <v>0</v>
      </c>
      <c r="I21" s="51">
        <f t="shared" si="2"/>
        <v>0</v>
      </c>
      <c r="J21" s="1394"/>
      <c r="K21" s="1393">
        <f t="shared" si="3"/>
        <v>0</v>
      </c>
      <c r="L21" s="1249">
        <f t="shared" si="4"/>
        <v>0</v>
      </c>
      <c r="M21" s="1405">
        <f t="shared" si="8"/>
        <v>0</v>
      </c>
      <c r="N21" s="2254"/>
      <c r="O21" s="2255"/>
      <c r="P21" s="1405">
        <f t="shared" si="9"/>
        <v>0</v>
      </c>
      <c r="R21" s="1249">
        <f t="shared" si="5"/>
        <v>0</v>
      </c>
      <c r="S21" s="1250">
        <f t="shared" si="5"/>
        <v>0</v>
      </c>
    </row>
    <row r="22" spans="1:19">
      <c r="A22" s="2256"/>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4"/>
      <c r="O22" s="2255"/>
      <c r="P22" s="1405">
        <f t="shared" si="9"/>
        <v>0</v>
      </c>
      <c r="R22" s="1249">
        <f t="shared" si="5"/>
        <v>0</v>
      </c>
      <c r="S22" s="1250">
        <f t="shared" si="5"/>
        <v>0</v>
      </c>
    </row>
    <row r="23" spans="1:19">
      <c r="A23" s="2256"/>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4"/>
      <c r="O23" s="2255"/>
      <c r="P23" s="1405">
        <f t="shared" si="9"/>
        <v>0</v>
      </c>
      <c r="R23" s="1249">
        <f t="shared" si="5"/>
        <v>0</v>
      </c>
      <c r="S23" s="1250">
        <f t="shared" si="5"/>
        <v>0</v>
      </c>
    </row>
    <row r="24" spans="1:19">
      <c r="A24" s="2256"/>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4"/>
      <c r="O24" s="2255"/>
      <c r="P24" s="1405">
        <f t="shared" si="9"/>
        <v>0</v>
      </c>
      <c r="R24" s="1249">
        <f t="shared" si="5"/>
        <v>0</v>
      </c>
      <c r="S24" s="1250">
        <f t="shared" si="5"/>
        <v>0</v>
      </c>
    </row>
    <row r="25" spans="1:19">
      <c r="A25" s="2256"/>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4"/>
      <c r="O25" s="2255"/>
      <c r="P25" s="1405">
        <f t="shared" si="9"/>
        <v>0</v>
      </c>
      <c r="R25" s="1249">
        <f t="shared" si="5"/>
        <v>0</v>
      </c>
      <c r="S25" s="1250">
        <f t="shared" si="5"/>
        <v>0</v>
      </c>
    </row>
    <row r="26" spans="1:19">
      <c r="A26" s="2256"/>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7"/>
      <c r="O26" s="2258"/>
      <c r="P26" s="67">
        <f t="shared" si="9"/>
        <v>0</v>
      </c>
      <c r="R26" s="1249">
        <f t="shared" si="5"/>
        <v>0</v>
      </c>
      <c r="S26" s="1250">
        <f t="shared" si="5"/>
        <v>0</v>
      </c>
    </row>
    <row r="27" spans="1:19" ht="15.75" thickBot="1">
      <c r="A27" s="2256"/>
      <c r="B27" s="48"/>
      <c r="C27" s="2259" t="s">
        <v>1957</v>
      </c>
      <c r="D27" s="1395">
        <f>SUM(D19:D26)</f>
        <v>711.96</v>
      </c>
      <c r="E27" s="1396">
        <f>IF(SUM(E19:E26)='数据-基础表'!BA5,SUM(E19:E26),IF(F27="地上面积有误","面积有误","地下面积有误"))</f>
        <v>2526.41</v>
      </c>
      <c r="F27" s="1395">
        <f>IF(SUM(F19:F26)=E8,SUM(F19:F26),"地上面积有误")</f>
        <v>2526.41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711.96</v>
      </c>
      <c r="S27" s="1249">
        <f>IF(SUM(S19:S26)=$E$3,SUM(S19:S26),SUM(S19:S26)&amp;"误差"&amp;ROUND(SUM(S19:S26)-E3,2))</f>
        <v>2526.41</v>
      </c>
    </row>
    <row r="28" spans="1:19">
      <c r="A28" s="2256"/>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6"/>
      <c r="B29" s="50" t="s">
        <v>1958</v>
      </c>
      <c r="C29" s="2260"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6"/>
      <c r="B30" s="50"/>
      <c r="C30" s="2261"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2"/>
      <c r="B31" s="2263"/>
      <c r="C31" s="1009" t="s">
        <v>1961</v>
      </c>
      <c r="D31" s="728">
        <f>D27+D30</f>
        <v>711.96</v>
      </c>
      <c r="E31" s="728">
        <f>E27+E30</f>
        <v>2526.41</v>
      </c>
      <c r="F31" s="729">
        <f>F27+F30</f>
        <v>2526.41</v>
      </c>
      <c r="G31" s="730">
        <f>G27+G30</f>
        <v>0</v>
      </c>
      <c r="H31" s="1394"/>
      <c r="I31" s="1394"/>
      <c r="J31" s="1394"/>
      <c r="K31" s="1394"/>
      <c r="L31" s="1394"/>
      <c r="M31" s="1394"/>
      <c r="N31" s="1394"/>
      <c r="O31" s="1394"/>
      <c r="P31" s="1394"/>
    </row>
    <row r="32" spans="1:19">
      <c r="A32" s="2226"/>
      <c r="B32" s="2226" t="s">
        <v>1962</v>
      </c>
      <c r="C32" s="2226"/>
      <c r="D32" s="2226"/>
      <c r="E32" s="1276">
        <f>SUMIF(C19:C26,"*住宅*",E19:E26)</f>
        <v>0</v>
      </c>
      <c r="F32" s="2226"/>
      <c r="G32" s="2226"/>
      <c r="H32" s="1394"/>
      <c r="I32" s="1394"/>
      <c r="J32" s="1394"/>
      <c r="K32" s="1394"/>
      <c r="L32" s="1394"/>
      <c r="M32" s="1394"/>
      <c r="N32" s="1394"/>
      <c r="O32" s="1394"/>
      <c r="P32" s="1394"/>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1963</v>
      </c>
      <c r="B1" s="731"/>
      <c r="C1" s="1581"/>
      <c r="D1" s="2266"/>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5" customFormat="1" ht="15.75" thickBot="1">
      <c r="A2" s="2269" t="s">
        <v>1964</v>
      </c>
      <c r="B2" s="1268">
        <f>项目基本情况!D3</f>
        <v>43957</v>
      </c>
      <c r="C2" s="2270"/>
      <c r="D2" s="2271"/>
      <c r="E2" s="2270"/>
      <c r="F2" s="2270"/>
      <c r="G2" s="2270"/>
      <c r="H2" s="2270"/>
      <c r="I2" s="2270"/>
      <c r="J2" s="2270"/>
      <c r="K2" s="1429"/>
      <c r="L2" s="1429"/>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9"/>
      <c r="L3" s="1429"/>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1965</v>
      </c>
      <c r="B4" s="2274"/>
      <c r="C4" s="2275"/>
      <c r="D4" s="2276"/>
      <c r="E4" s="2275" t="s">
        <v>1966</v>
      </c>
      <c r="F4" s="2275"/>
      <c r="G4" s="2275"/>
      <c r="H4" s="2275"/>
      <c r="I4" s="2275"/>
      <c r="J4" s="2277"/>
      <c r="K4" s="2278"/>
      <c r="L4" s="2279"/>
      <c r="M4" s="2275"/>
      <c r="N4" s="2275" t="s">
        <v>1967</v>
      </c>
      <c r="O4" s="2275"/>
      <c r="P4" s="2275"/>
      <c r="Q4" s="2275"/>
      <c r="R4" s="2275"/>
      <c r="S4" s="2277"/>
      <c r="T4" s="2280" t="str">
        <f>'数据-汇总表'!I17</f>
        <v>按面积比例</v>
      </c>
      <c r="U4" s="2274" t="s">
        <v>1968</v>
      </c>
      <c r="V4" s="2275"/>
      <c r="W4" s="2275"/>
      <c r="X4" s="2275"/>
      <c r="Y4" s="2277"/>
      <c r="Z4" s="2237" t="s">
        <v>1969</v>
      </c>
      <c r="AA4" s="2237"/>
      <c r="AB4" s="2237"/>
      <c r="AC4" s="2237"/>
      <c r="AD4" s="2237"/>
      <c r="AE4" s="2235" t="s">
        <v>1970</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1971</v>
      </c>
      <c r="B5" s="2283" t="s">
        <v>1972</v>
      </c>
      <c r="C5" s="2284" t="s">
        <v>1973</v>
      </c>
      <c r="D5" s="2285" t="s">
        <v>1974</v>
      </c>
      <c r="E5" s="1270" t="s">
        <v>1975</v>
      </c>
      <c r="F5" s="2286" t="s">
        <v>1976</v>
      </c>
      <c r="G5" s="1270" t="s">
        <v>1977</v>
      </c>
      <c r="H5" s="1270" t="s">
        <v>1978</v>
      </c>
      <c r="I5" s="1270" t="s">
        <v>1979</v>
      </c>
      <c r="J5" s="2287" t="s">
        <v>1980</v>
      </c>
      <c r="K5" s="2288" t="s">
        <v>1981</v>
      </c>
      <c r="L5" s="2289" t="s">
        <v>1982</v>
      </c>
      <c r="M5" s="2290" t="s">
        <v>1983</v>
      </c>
      <c r="N5" s="2291" t="s">
        <v>3303</v>
      </c>
      <c r="O5" s="2289" t="s">
        <v>1984</v>
      </c>
      <c r="P5" s="2292" t="s">
        <v>1985</v>
      </c>
      <c r="Q5" s="69" t="s">
        <v>1986</v>
      </c>
      <c r="R5" s="2293" t="s">
        <v>1987</v>
      </c>
      <c r="S5" s="2294" t="s">
        <v>1988</v>
      </c>
      <c r="T5" s="2295" t="s">
        <v>1989</v>
      </c>
      <c r="U5" s="1269" t="s">
        <v>1990</v>
      </c>
      <c r="V5" s="1270" t="s">
        <v>1991</v>
      </c>
      <c r="W5" s="1270" t="s">
        <v>1992</v>
      </c>
      <c r="X5" s="71"/>
      <c r="Y5" s="70" t="s">
        <v>1993</v>
      </c>
      <c r="Z5" s="2296" t="s">
        <v>1990</v>
      </c>
      <c r="AA5" s="1270" t="s">
        <v>1991</v>
      </c>
      <c r="AB5" s="1270" t="s">
        <v>1992</v>
      </c>
      <c r="AC5" s="71"/>
      <c r="AD5" s="71" t="s">
        <v>1993</v>
      </c>
      <c r="AE5" s="1269" t="s">
        <v>1994</v>
      </c>
      <c r="AF5" s="1270" t="s">
        <v>1995</v>
      </c>
      <c r="AG5" s="70" t="s">
        <v>1996</v>
      </c>
      <c r="AH5" s="1269" t="s">
        <v>1997</v>
      </c>
      <c r="AI5" s="2296" t="s">
        <v>1998</v>
      </c>
      <c r="AJ5" s="2296" t="s">
        <v>1999</v>
      </c>
      <c r="AK5" s="1270" t="s">
        <v>2000</v>
      </c>
      <c r="AL5" s="1270" t="s">
        <v>2001</v>
      </c>
      <c r="AM5" s="70" t="s">
        <v>2002</v>
      </c>
      <c r="AN5" s="2297" t="s">
        <v>2003</v>
      </c>
      <c r="AO5" s="2067" t="s">
        <v>2004</v>
      </c>
      <c r="AP5" s="1251" t="s">
        <v>2005</v>
      </c>
      <c r="AQ5" s="2298" t="s">
        <v>2006</v>
      </c>
      <c r="AR5" s="2298" t="s">
        <v>2007</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出租</v>
      </c>
      <c r="B6" s="2300" t="str">
        <f>IF(A6=0,"","经营性")</f>
        <v>经营性</v>
      </c>
      <c r="C6" s="2301" t="s">
        <v>1373</v>
      </c>
      <c r="D6" s="1053">
        <f>SUMIF(项目基本情况!D$12:I$12,C6,项目基本情况!D$14:I$14)</f>
        <v>40</v>
      </c>
      <c r="E6" s="1050">
        <f>IF(B6="","",SUMIF(项目基本情况!D$12:I$12,C6,项目基本情况!D$13:I$13))</f>
        <v>52777</v>
      </c>
      <c r="F6" s="72">
        <f>SUMIF(项目基本情况!D$12:I$12,C6,项目基本情况!D$15:I$15)</f>
        <v>24.16</v>
      </c>
      <c r="G6" s="73">
        <f ca="1">IF(ISERROR(ROUND(POWER(1+H6,D6-F6)*(POWER(1+H6,F6)-1)/(POWER(1+H6,D6)-1),3)),0,ROUND(POWER(1+H6,D6-F6)*(POWER(1+H6,F6)-1)/(POWER(1+H6,D6)-1),3))</f>
        <v>0.81899999999999995</v>
      </c>
      <c r="H6" s="801">
        <f ca="1">基准地价修正!M17</f>
        <v>5.3999999999999999E-2</v>
      </c>
      <c r="I6" s="801">
        <v>5.5E-2</v>
      </c>
      <c r="J6" s="74">
        <v>8.5000000000000006E-2</v>
      </c>
      <c r="K6" s="1253">
        <f>SUMIF('数据-汇总表'!C$19:C$33,A6,'数据-汇总表'!E$19:E$33)</f>
        <v>0</v>
      </c>
      <c r="L6" s="802">
        <v>5000</v>
      </c>
      <c r="M6" s="75">
        <f t="shared" ref="M6:M14" si="0">ROUND(K6*L6/10000,0)</f>
        <v>0</v>
      </c>
      <c r="N6" s="800">
        <f>ROUND(1-(2020-2008)/60,2)</f>
        <v>0.8</v>
      </c>
      <c r="O6" s="75" t="str">
        <f>IF($N$5="成新度","——",ROUND(M6*N6,0))</f>
        <v>——</v>
      </c>
      <c r="P6" s="76" t="str">
        <f>IF($N$5="成新度","——",M6-O6)</f>
        <v>——</v>
      </c>
      <c r="Q6" s="803">
        <v>0.3</v>
      </c>
      <c r="R6" s="77">
        <f ca="1">SUMIF('数据-汇总表'!C$19:C$33,A6,'数据-汇总表'!R$19:R$27)</f>
        <v>0</v>
      </c>
      <c r="S6" s="54">
        <f>IF('数据-汇总表'!$I$17="按面积比例",SUMIF('数据-汇总表'!C$19:C$33,A6,'数据-汇总表'!K$19:K$33),SUMIF('数据-汇总表'!C$19:C$33,A6,'数据-汇总表'!N$19:N$33))</f>
        <v>0</v>
      </c>
      <c r="T6" s="1445">
        <f>ROUND($L$14*S6/10000,0)</f>
        <v>0</v>
      </c>
      <c r="U6" s="2992">
        <f>租金!N33</f>
        <v>7.26</v>
      </c>
      <c r="V6" s="79">
        <v>0</v>
      </c>
      <c r="W6" s="79">
        <v>0</v>
      </c>
      <c r="X6" s="1263"/>
      <c r="Y6" s="80">
        <f>N6</f>
        <v>0.8</v>
      </c>
      <c r="Z6" s="81">
        <f>ROUND(清单!I66*(1+V7)^AF6,2)</f>
        <v>16.309999999999999</v>
      </c>
      <c r="AA6" s="79">
        <v>3.5000000000000003E-2</v>
      </c>
      <c r="AB6" s="79">
        <v>0.05</v>
      </c>
      <c r="AC6" s="1263"/>
      <c r="AD6" s="82">
        <f>ROUND(1-(2021-2008)/60,2)</f>
        <v>0.78</v>
      </c>
      <c r="AE6" s="1264">
        <f ca="1">IF(AN6="",0,SUMIF(INDIRECT("'"&amp;AN6&amp;"'"&amp;"!E:E"),$AE$5,INDIRECT("'"&amp;AN6&amp;"'"&amp;"!F:F")))</f>
        <v>24.16</v>
      </c>
      <c r="AF6" s="3000">
        <f>租金!I33</f>
        <v>2.4300000000000002</v>
      </c>
      <c r="AG6" s="147">
        <f ca="1">IF(AF6="",0,AE6-AF6)</f>
        <v>21.73</v>
      </c>
      <c r="AH6" s="83"/>
      <c r="AI6" s="85">
        <v>365</v>
      </c>
      <c r="AJ6" s="86"/>
      <c r="AK6" s="87">
        <v>1.4999999999999999E-2</v>
      </c>
      <c r="AL6" s="88">
        <v>1.5E-3</v>
      </c>
      <c r="AM6" s="89">
        <v>0.01</v>
      </c>
      <c r="AN6" s="2302" t="s">
        <v>3316</v>
      </c>
      <c r="AO6" s="55">
        <f ca="1">SUMIF(INDIRECT("'"&amp;AN6&amp;"'"&amp;"!A:A"),"总价",INDIRECT("'"&amp;AN6&amp;"'"&amp;"!B:B"))</f>
        <v>0</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自用</v>
      </c>
      <c r="B7" s="2300" t="str">
        <f t="shared" ref="B7:B13" si="1">IF(A7=0,"","经营性")</f>
        <v>经营性</v>
      </c>
      <c r="C7" s="2301" t="s">
        <v>1373</v>
      </c>
      <c r="D7" s="1053">
        <f>SUMIF(项目基本情况!D$12:I$12,C7,项目基本情况!D$14:I$14)</f>
        <v>40</v>
      </c>
      <c r="E7" s="1050">
        <f>IF(B7="","",SUMIF(项目基本情况!D$12:I$12,C7,项目基本情况!D$13:I$13))</f>
        <v>52777</v>
      </c>
      <c r="F7" s="72">
        <f>SUMIF(项目基本情况!D$12:I$12,C7,项目基本情况!D$15:I$15)</f>
        <v>24.16</v>
      </c>
      <c r="G7" s="73">
        <f t="shared" ref="G7:G11" si="2">IF(ISERROR(ROUND(POWER(1+H7,D7-F7)*(POWER(1+H7,F7)-1)/(POWER(1+H7,D7)-1),3)),0,ROUND(POWER(1+H7,D7-F7)*(POWER(1+H7,F7)-1)/(POWER(1+H7,D7)-1),3))</f>
        <v>0.81899999999999995</v>
      </c>
      <c r="H7" s="801">
        <v>5.3999999999999999E-2</v>
      </c>
      <c r="I7" s="801">
        <v>5.5E-2</v>
      </c>
      <c r="J7" s="74">
        <v>8.5000000000000006E-2</v>
      </c>
      <c r="K7" s="1253">
        <f>SUMIF('数据-汇总表'!C$19:C$33,A7,'数据-汇总表'!E$19:E$33)</f>
        <v>2526.41</v>
      </c>
      <c r="L7" s="802">
        <v>5000</v>
      </c>
      <c r="M7" s="75">
        <f t="shared" si="0"/>
        <v>1263</v>
      </c>
      <c r="N7" s="800">
        <f>N6</f>
        <v>0.8</v>
      </c>
      <c r="O7" s="75" t="str">
        <f t="shared" ref="O7:O14" si="3">IF($N$5="成新度","——",ROUND(M7*N7,0))</f>
        <v>——</v>
      </c>
      <c r="P7" s="76" t="str">
        <f t="shared" ref="P7:P14" si="4">IF($N$5="成新度","——",M7-O7)</f>
        <v>——</v>
      </c>
      <c r="Q7" s="803">
        <v>0.3</v>
      </c>
      <c r="R7" s="77">
        <f ca="1">SUMIF('数据-汇总表'!C$19:C$33,A7,'数据-汇总表'!R$19:R$27)</f>
        <v>711.96</v>
      </c>
      <c r="S7" s="54">
        <f>IF('数据-汇总表'!$I$17="按面积比例",SUMIF('数据-汇总表'!C$19:C$33,A7,'数据-汇总表'!K$19:K$33),SUMIF('数据-汇总表'!C$19:C$33,A7,'数据-汇总表'!N$19:N$33))</f>
        <v>0</v>
      </c>
      <c r="T7" s="1445">
        <f t="shared" ref="T7:T13" si="5">ROUND($L$14*S7/10000,0)</f>
        <v>0</v>
      </c>
      <c r="U7" s="78">
        <f>清单!I70</f>
        <v>9.8000000000000007</v>
      </c>
      <c r="V7" s="79">
        <v>3.5000000000000003E-2</v>
      </c>
      <c r="W7" s="79">
        <v>0.05</v>
      </c>
      <c r="X7" s="1263"/>
      <c r="Y7" s="80">
        <f>Y6</f>
        <v>0.8</v>
      </c>
      <c r="Z7" s="81"/>
      <c r="AA7" s="74"/>
      <c r="AB7" s="74"/>
      <c r="AC7" s="1263"/>
      <c r="AD7" s="82"/>
      <c r="AE7" s="1264">
        <f t="shared" ref="AE7:AE13" ca="1" si="6">IF(AN7="",0,SUMIF(INDIRECT("'"&amp;AN7&amp;"'"&amp;"!E:E"),$AE$5,INDIRECT("'"&amp;AN7&amp;"'"&amp;"!F:F")))</f>
        <v>24.16</v>
      </c>
      <c r="AF7" s="1798"/>
      <c r="AG7" s="147">
        <f t="shared" ref="AG7:AG13" si="7">IF(AF7="",0,AE7-AF7)</f>
        <v>0</v>
      </c>
      <c r="AH7" s="83"/>
      <c r="AI7" s="85">
        <v>365</v>
      </c>
      <c r="AJ7" s="86"/>
      <c r="AK7" s="87">
        <v>1.4999999999999999E-2</v>
      </c>
      <c r="AL7" s="88">
        <v>1.5E-3</v>
      </c>
      <c r="AM7" s="89">
        <v>0.01</v>
      </c>
      <c r="AN7" s="2302" t="s">
        <v>3314</v>
      </c>
      <c r="AO7" s="55">
        <f t="shared" ref="AO7:AO13" ca="1" si="8">SUMIF(INDIRECT("'"&amp;AN7&amp;"'"&amp;"!A:A"),"总价",INDIRECT("'"&amp;AN7&amp;"'"&amp;"!B:B"))</f>
        <v>12329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f>'数据-汇总表'!C21</f>
        <v>0</v>
      </c>
      <c r="B8" s="2300" t="str">
        <f t="shared" si="1"/>
        <v/>
      </c>
      <c r="C8" s="2301"/>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798"/>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f>'数据-汇总表'!C22</f>
        <v>0</v>
      </c>
      <c r="B9" s="2300" t="str">
        <f t="shared" si="1"/>
        <v/>
      </c>
      <c r="C9" s="230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798"/>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f>'数据-汇总表'!C23</f>
        <v>0</v>
      </c>
      <c r="B10" s="2300" t="str">
        <f t="shared" si="1"/>
        <v/>
      </c>
      <c r="C10" s="230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798"/>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798"/>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798"/>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798"/>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2008</v>
      </c>
      <c r="B14" s="2300" t="s">
        <v>2009</v>
      </c>
      <c r="C14" s="2305"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09"/>
      <c r="AJ14" s="772"/>
      <c r="AK14" s="1265"/>
      <c r="AL14" s="1266"/>
      <c r="AM14" s="1267"/>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2010</v>
      </c>
      <c r="B15" s="2300" t="s">
        <v>2009</v>
      </c>
      <c r="C15" s="2305"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09"/>
      <c r="AJ15" s="772"/>
      <c r="AK15" s="1265"/>
      <c r="AL15" s="1266"/>
      <c r="AM15" s="1267"/>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2012</v>
      </c>
      <c r="B16" s="97"/>
      <c r="C16" s="1007"/>
      <c r="D16" s="2307"/>
      <c r="E16" s="97"/>
      <c r="F16" s="97"/>
      <c r="G16" s="98">
        <f ca="1">ROUND(SUMPRODUCT(G6:G13,K6:K13)/SUMPRODUCT((G6:G13&gt;0)*(K6:K13)),3)</f>
        <v>0.81899999999999995</v>
      </c>
      <c r="H16" s="99">
        <f ca="1">ROUND(SUMPRODUCT(H6:H13,K6:K13)/SUMPRODUCT((H6:H13&gt;0)*(K6:K13)),3)</f>
        <v>5.3999999999999999E-2</v>
      </c>
      <c r="I16" s="100"/>
      <c r="J16" s="100"/>
      <c r="K16" s="101">
        <f>SUM(K6:K15)</f>
        <v>2526.41</v>
      </c>
      <c r="L16" s="102">
        <f>ROUND(M16*10000/SUM(K6:K14),0)</f>
        <v>4999</v>
      </c>
      <c r="M16" s="102">
        <f>SUM(M6:M14)</f>
        <v>1263</v>
      </c>
      <c r="N16" s="103">
        <f>ROUND(SUMPRODUCT(M6:M14,N6:N14)/M16,3)</f>
        <v>0.8</v>
      </c>
      <c r="O16" s="102">
        <f>SUM(O6:O14)</f>
        <v>0</v>
      </c>
      <c r="P16" s="102">
        <f>SUM(P6:P14)</f>
        <v>0</v>
      </c>
      <c r="Q16" s="104">
        <f>ROUND(SUMPRODUCT(Q6:Q13,K6:K13)/SUMPRODUCT((Q6:Q13&gt;0)*(K6:K13)),2)</f>
        <v>0.3</v>
      </c>
      <c r="R16" s="1257">
        <f ca="1">SUM(R6:R13)</f>
        <v>711.96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1"/>
      <c r="D17" s="2266"/>
      <c r="E17" s="2266"/>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3"/>
      <c r="C18" s="2270"/>
      <c r="D18" s="2271"/>
      <c r="E18" s="2270"/>
      <c r="F18" s="2270"/>
      <c r="G18" s="2270"/>
      <c r="H18" s="2270"/>
      <c r="I18" s="2270"/>
      <c r="J18" s="2270"/>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9" t="s">
        <v>2014</v>
      </c>
      <c r="B19" s="112">
        <v>0</v>
      </c>
      <c r="C19" s="2270" t="s">
        <v>2015</v>
      </c>
      <c r="D19" s="2271"/>
      <c r="E19" s="2270"/>
      <c r="F19" s="2270"/>
      <c r="G19" s="2270"/>
      <c r="H19" s="2270"/>
      <c r="I19" s="2270"/>
      <c r="J19" s="2270"/>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0" t="s">
        <v>2016</v>
      </c>
      <c r="B20" s="113">
        <v>3</v>
      </c>
      <c r="C20" s="2270" t="s">
        <v>2017</v>
      </c>
      <c r="D20" s="2271"/>
      <c r="E20" s="2270"/>
      <c r="F20" s="2270"/>
      <c r="G20" s="2270"/>
      <c r="H20" s="2270"/>
      <c r="I20" s="2270"/>
      <c r="J20" s="2270"/>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1" t="s">
        <v>2018</v>
      </c>
      <c r="B21" s="113">
        <v>3</v>
      </c>
      <c r="C21" s="2270"/>
      <c r="D21" s="2271"/>
      <c r="E21" s="2270"/>
      <c r="F21" s="2270"/>
      <c r="G21" s="2270"/>
      <c r="H21" s="2270"/>
      <c r="I21" s="2270"/>
      <c r="J21" s="2270"/>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0" t="s">
        <v>2019</v>
      </c>
      <c r="B22" s="114">
        <f>B19+B20</f>
        <v>3</v>
      </c>
      <c r="C22" s="2270"/>
      <c r="D22" s="2271"/>
      <c r="E22" s="2270"/>
      <c r="F22" s="2270"/>
      <c r="G22" s="2270"/>
      <c r="H22" s="2270"/>
      <c r="I22" s="2270"/>
      <c r="J22" s="2270"/>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1" t="s">
        <v>2020</v>
      </c>
      <c r="B23" s="114">
        <f>B19+B21</f>
        <v>3</v>
      </c>
      <c r="C23" s="2270"/>
      <c r="D23" s="2271"/>
      <c r="E23" s="2270"/>
      <c r="F23" s="2270"/>
      <c r="G23" s="2270"/>
      <c r="H23" s="2270"/>
      <c r="I23" s="2270"/>
      <c r="J23" s="2270"/>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2" t="s">
        <v>2021</v>
      </c>
      <c r="B24" s="115">
        <f>B20-B21</f>
        <v>0</v>
      </c>
      <c r="C24" s="2270"/>
      <c r="D24" s="2271"/>
      <c r="E24" s="2270"/>
      <c r="F24" s="2270"/>
      <c r="G24" s="2270"/>
      <c r="H24" s="2270"/>
      <c r="I24" s="2270"/>
      <c r="J24" s="2270"/>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3"/>
      <c r="B25" s="2273"/>
      <c r="C25" s="2270"/>
      <c r="D25" s="2271"/>
      <c r="E25" s="2270"/>
      <c r="F25" s="2270"/>
      <c r="G25" s="2270"/>
      <c r="H25" s="2270"/>
      <c r="I25" s="2270"/>
      <c r="J25" s="2270"/>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9" t="s">
        <v>2022</v>
      </c>
      <c r="B26" s="2313" t="s">
        <v>2023</v>
      </c>
      <c r="C26" s="2314" t="s">
        <v>2024</v>
      </c>
      <c r="D26" s="2271"/>
      <c r="E26" s="2270"/>
      <c r="F26" s="2270"/>
      <c r="G26" s="2270"/>
      <c r="H26" s="2270"/>
      <c r="I26" s="2270"/>
      <c r="J26" s="2270"/>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7" customFormat="1" ht="27.75">
      <c r="A27" s="2315" t="s">
        <v>2025</v>
      </c>
      <c r="B27" s="116">
        <v>160</v>
      </c>
      <c r="C27" s="1759" t="s">
        <v>2026</v>
      </c>
      <c r="D27" s="2316"/>
      <c r="E27" s="1429"/>
      <c r="F27" s="1429"/>
      <c r="G27" s="2270"/>
      <c r="H27" s="2270"/>
      <c r="I27" s="2270"/>
      <c r="J27" s="2270"/>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7" customFormat="1" ht="27.75">
      <c r="A28" s="2318" t="s">
        <v>2027</v>
      </c>
      <c r="B28" s="119">
        <v>200</v>
      </c>
      <c r="C28" s="2319"/>
      <c r="D28" s="2316"/>
      <c r="E28" s="1429"/>
      <c r="F28" s="1429"/>
      <c r="G28" s="2270"/>
      <c r="H28" s="2270"/>
      <c r="I28" s="2270"/>
      <c r="J28" s="2270"/>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7" customFormat="1" ht="28.5" thickBot="1">
      <c r="A29" s="2320" t="s">
        <v>2028</v>
      </c>
      <c r="B29" s="121">
        <f>ROUND((B28*K16)/10000,2)</f>
        <v>50.53</v>
      </c>
      <c r="C29" s="1759" t="s">
        <v>2029</v>
      </c>
      <c r="D29" s="2316"/>
      <c r="E29" s="1429"/>
      <c r="F29" s="1429"/>
      <c r="G29" s="2270"/>
      <c r="H29" s="2270"/>
      <c r="I29" s="2270"/>
      <c r="J29" s="2270"/>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7" customFormat="1" ht="27">
      <c r="A30" s="2321" t="s">
        <v>2030</v>
      </c>
      <c r="B30" s="723">
        <v>200</v>
      </c>
      <c r="C30" s="2319"/>
      <c r="D30" s="2316"/>
      <c r="E30" s="1429"/>
      <c r="F30" s="1429"/>
      <c r="G30" s="2270"/>
      <c r="H30" s="2270"/>
      <c r="I30" s="2270"/>
      <c r="J30" s="2270"/>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7" customFormat="1" ht="27">
      <c r="A31" s="2318" t="s">
        <v>2031</v>
      </c>
      <c r="B31" s="120">
        <f>B30-B32</f>
        <v>200</v>
      </c>
      <c r="C31" s="1759"/>
      <c r="D31" s="2316"/>
      <c r="E31" s="1429"/>
      <c r="F31" s="1429"/>
      <c r="G31" s="2270"/>
      <c r="H31" s="2270"/>
      <c r="I31" s="2270"/>
      <c r="J31" s="2270"/>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7" customFormat="1" ht="27.75" thickBot="1">
      <c r="A32" s="2322" t="s">
        <v>2032</v>
      </c>
      <c r="B32" s="724">
        <v>0</v>
      </c>
      <c r="C32" s="2319"/>
      <c r="D32" s="2271"/>
      <c r="E32" s="2270"/>
      <c r="F32" s="2270"/>
      <c r="G32" s="2270"/>
      <c r="H32" s="2270"/>
      <c r="I32" s="2270"/>
      <c r="J32" s="2270"/>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7" customFormat="1" ht="14.25">
      <c r="A33" s="2315" t="s">
        <v>2033</v>
      </c>
      <c r="B33" s="725">
        <v>0.05</v>
      </c>
      <c r="C33" s="1758" t="s">
        <v>2034</v>
      </c>
      <c r="D33" s="2271"/>
      <c r="E33" s="2270"/>
      <c r="F33" s="2270"/>
      <c r="G33" s="2270"/>
      <c r="H33" s="2270"/>
      <c r="I33" s="2270"/>
      <c r="J33" s="2270"/>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7" customFormat="1" ht="14.25">
      <c r="A34" s="2318" t="s">
        <v>2035</v>
      </c>
      <c r="B34" s="122">
        <v>0</v>
      </c>
      <c r="C34" s="1758" t="s">
        <v>2036</v>
      </c>
      <c r="D34" s="2271" t="s">
        <v>2037</v>
      </c>
      <c r="E34" s="731"/>
      <c r="F34" s="2270"/>
      <c r="G34" s="2270"/>
      <c r="H34" s="2270"/>
      <c r="I34" s="2270"/>
      <c r="J34" s="2270"/>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7" customFormat="1" ht="14.25">
      <c r="A35" s="2318" t="s">
        <v>2038</v>
      </c>
      <c r="B35" s="119">
        <v>200</v>
      </c>
      <c r="C35" s="1758" t="s">
        <v>2039</v>
      </c>
      <c r="D35" s="2316"/>
      <c r="E35" s="1429"/>
      <c r="F35" s="1429"/>
      <c r="G35" s="2270"/>
      <c r="H35" s="2270"/>
      <c r="I35" s="2270"/>
      <c r="J35" s="2270"/>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0" t="s">
        <v>2040</v>
      </c>
      <c r="B36" s="123">
        <v>1.4999999999999999E-2</v>
      </c>
      <c r="C36" s="1758" t="s">
        <v>2041</v>
      </c>
      <c r="D36" s="2271"/>
      <c r="E36" s="2270"/>
      <c r="F36" s="2270"/>
      <c r="G36" s="2270"/>
      <c r="H36" s="2270"/>
      <c r="I36" s="2270"/>
      <c r="J36" s="2270"/>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1" t="s">
        <v>2042</v>
      </c>
      <c r="B37" s="124">
        <v>0.02</v>
      </c>
      <c r="C37" s="1758" t="s">
        <v>2043</v>
      </c>
      <c r="D37" s="2271"/>
      <c r="E37" s="2270"/>
      <c r="F37" s="2270"/>
      <c r="G37" s="2270"/>
      <c r="H37" s="2270"/>
      <c r="I37" s="2270"/>
      <c r="J37" s="2270"/>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8" t="s">
        <v>2044</v>
      </c>
      <c r="B38" s="122">
        <v>0.02</v>
      </c>
      <c r="C38" s="1758" t="s">
        <v>2043</v>
      </c>
      <c r="D38" s="2271"/>
      <c r="E38" s="2270"/>
      <c r="F38" s="2270"/>
      <c r="G38" s="2270"/>
      <c r="H38" s="2270"/>
      <c r="I38" s="2270"/>
      <c r="J38" s="2270"/>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2" t="s">
        <v>2045</v>
      </c>
      <c r="B39" s="362">
        <f ca="1">存贷款利率!I1</f>
        <v>1.4999999999999999E-2</v>
      </c>
      <c r="C39" s="1758"/>
      <c r="D39" s="2271"/>
      <c r="E39" s="2270"/>
      <c r="F39" s="2270"/>
      <c r="G39" s="2270"/>
      <c r="H39" s="2270"/>
      <c r="I39" s="2270"/>
      <c r="J39" s="2270"/>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2" t="s">
        <v>2046</v>
      </c>
      <c r="B40" s="1302">
        <f ca="1">存贷款利率!G1</f>
        <v>4.7500000000000001E-2</v>
      </c>
      <c r="C40" s="1758" t="s">
        <v>2047</v>
      </c>
      <c r="D40" s="1581"/>
      <c r="E40" s="2271"/>
      <c r="F40" s="2270"/>
      <c r="G40" s="2270"/>
      <c r="H40" s="2270"/>
      <c r="I40" s="2270"/>
      <c r="J40" s="2270"/>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5" t="s">
        <v>2048</v>
      </c>
      <c r="B41" s="125">
        <f>B42+B43</f>
        <v>5.6000000000000001E-2</v>
      </c>
      <c r="C41" s="1759"/>
      <c r="D41" s="1581"/>
      <c r="E41" s="2271"/>
      <c r="F41" s="2270"/>
      <c r="G41" s="2270"/>
      <c r="H41" s="2270"/>
      <c r="I41" s="2270"/>
      <c r="J41" s="2270"/>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3" t="s">
        <v>2049</v>
      </c>
      <c r="B42" s="126">
        <v>0.05</v>
      </c>
      <c r="C42" s="2324">
        <f>IF(B2&lt;DATE(2016,5,1),0,B42)</f>
        <v>0.05</v>
      </c>
      <c r="D42" s="2271"/>
      <c r="E42" s="2270"/>
      <c r="F42" s="2270"/>
      <c r="G42" s="2270"/>
      <c r="H42" s="2270"/>
      <c r="I42" s="2270"/>
      <c r="J42" s="2270"/>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3" t="s">
        <v>2050</v>
      </c>
      <c r="B43" s="127">
        <f>B42*(B44+B45+B46)+B47</f>
        <v>6.000000000000001E-3</v>
      </c>
      <c r="C43" s="1759"/>
      <c r="D43" s="2271"/>
      <c r="E43" s="2270"/>
      <c r="F43" s="2270"/>
      <c r="G43" s="2270"/>
      <c r="H43" s="2270"/>
      <c r="I43" s="2270"/>
      <c r="J43" s="2270"/>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5" t="s">
        <v>2051</v>
      </c>
      <c r="B44" s="128">
        <v>7.0000000000000007E-2</v>
      </c>
      <c r="C44" s="1758" t="s">
        <v>2052</v>
      </c>
      <c r="D44" s="2271"/>
      <c r="E44" s="2270"/>
      <c r="F44" s="2270"/>
      <c r="G44" s="2270"/>
      <c r="H44" s="2270"/>
      <c r="I44" s="2270"/>
      <c r="J44" s="2270"/>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5" t="s">
        <v>2053</v>
      </c>
      <c r="B45" s="126">
        <v>0.03</v>
      </c>
      <c r="C45" s="1759" t="s">
        <v>2054</v>
      </c>
      <c r="D45" s="2271"/>
      <c r="E45" s="2270"/>
      <c r="F45" s="2270"/>
      <c r="G45" s="2270"/>
      <c r="H45" s="2270"/>
      <c r="I45" s="2270"/>
      <c r="J45" s="2270"/>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5" t="s">
        <v>2055</v>
      </c>
      <c r="B46" s="126">
        <v>0.02</v>
      </c>
      <c r="C46" s="1759" t="s">
        <v>2056</v>
      </c>
      <c r="D46" s="2271"/>
      <c r="E46" s="2270"/>
      <c r="F46" s="2270"/>
      <c r="G46" s="2270"/>
      <c r="H46" s="2270"/>
      <c r="I46" s="2270"/>
      <c r="J46" s="2270"/>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6" t="s">
        <v>2057</v>
      </c>
      <c r="B47" s="129"/>
      <c r="C47" s="1759" t="s">
        <v>2058</v>
      </c>
      <c r="D47" s="2271"/>
      <c r="E47" s="2270"/>
      <c r="F47" s="2270"/>
      <c r="G47" s="2270"/>
      <c r="H47" s="2270"/>
      <c r="I47" s="2270"/>
      <c r="J47" s="2270"/>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7" t="s">
        <v>2059</v>
      </c>
      <c r="B48" s="130">
        <v>0.03</v>
      </c>
      <c r="C48" s="1766" t="s">
        <v>2060</v>
      </c>
      <c r="D48" s="2271"/>
      <c r="E48" s="2270"/>
      <c r="F48" s="2270"/>
      <c r="G48" s="2270"/>
      <c r="H48" s="2270"/>
      <c r="I48" s="2270"/>
      <c r="J48" s="2270"/>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2" t="s">
        <v>2061</v>
      </c>
      <c r="B49" s="126">
        <v>5.0000000000000001E-4</v>
      </c>
      <c r="C49" s="1766" t="s">
        <v>2062</v>
      </c>
      <c r="D49" s="2271"/>
      <c r="E49" s="2270"/>
      <c r="F49" s="2270"/>
      <c r="G49" s="2270"/>
      <c r="H49" s="2270"/>
      <c r="I49" s="2270"/>
      <c r="J49" s="2270"/>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8" t="s">
        <v>2063</v>
      </c>
      <c r="B50" s="131">
        <v>1.2E-2</v>
      </c>
      <c r="C50" s="1429"/>
      <c r="D50" s="2271"/>
      <c r="E50" s="2270"/>
      <c r="F50" s="2270"/>
      <c r="G50" s="2270"/>
      <c r="H50" s="2270"/>
      <c r="I50" s="2270"/>
      <c r="J50" s="2270"/>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0" t="s">
        <v>2064</v>
      </c>
      <c r="B51" s="132">
        <v>0.12</v>
      </c>
      <c r="C51" s="1429"/>
      <c r="D51" s="2271"/>
      <c r="E51" s="2270"/>
      <c r="F51" s="2270"/>
      <c r="G51" s="2270"/>
      <c r="H51" s="2270"/>
      <c r="I51" s="2270"/>
      <c r="J51" s="2270"/>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8" t="s">
        <v>2065</v>
      </c>
      <c r="B52" s="133">
        <f>SUMIF(A54:A63,B53,B54:B63)</f>
        <v>18</v>
      </c>
      <c r="C52" s="1429"/>
      <c r="D52" s="2271"/>
      <c r="E52" s="2270"/>
      <c r="F52" s="2270"/>
      <c r="G52" s="2270"/>
      <c r="H52" s="2270"/>
      <c r="I52" s="2270"/>
      <c r="J52" s="2270"/>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8" t="s">
        <v>2066</v>
      </c>
      <c r="B53" s="2329" t="s">
        <v>442</v>
      </c>
      <c r="C53" s="1429" t="s">
        <v>2067</v>
      </c>
      <c r="D53" s="2330" t="s">
        <v>2068</v>
      </c>
      <c r="E53" s="2270"/>
      <c r="F53" s="2270"/>
      <c r="G53" s="2270"/>
      <c r="H53" s="2270"/>
      <c r="I53" s="2270"/>
      <c r="J53" s="2270"/>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1" t="s">
        <v>2069</v>
      </c>
      <c r="B54" s="84"/>
      <c r="C54" s="1429">
        <v>30</v>
      </c>
      <c r="D54" s="2271"/>
      <c r="E54" s="2270"/>
      <c r="F54" s="2270"/>
      <c r="G54" s="2270"/>
      <c r="H54" s="2270"/>
      <c r="I54" s="2270"/>
      <c r="J54" s="2270"/>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1" t="s">
        <v>2070</v>
      </c>
      <c r="B55" s="84"/>
      <c r="C55" s="1429">
        <v>24</v>
      </c>
      <c r="D55" s="2271"/>
      <c r="E55" s="2270"/>
      <c r="F55" s="2270"/>
      <c r="G55" s="2270"/>
      <c r="H55" s="2270"/>
      <c r="I55" s="2332"/>
      <c r="J55" s="2270"/>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1" t="s">
        <v>2071</v>
      </c>
      <c r="B56" s="84">
        <v>18</v>
      </c>
      <c r="C56" s="1429">
        <v>18</v>
      </c>
      <c r="D56" s="2271"/>
      <c r="E56" s="2270"/>
      <c r="F56" s="2270"/>
      <c r="G56" s="2270"/>
      <c r="H56" s="2270"/>
      <c r="I56" s="2270"/>
      <c r="J56" s="2270"/>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1" t="s">
        <v>2072</v>
      </c>
      <c r="B57" s="84"/>
      <c r="C57" s="1429">
        <v>12</v>
      </c>
      <c r="D57" s="2271"/>
      <c r="E57" s="2270"/>
      <c r="F57" s="2270"/>
      <c r="G57" s="2270"/>
      <c r="H57" s="2270"/>
      <c r="I57" s="2270"/>
      <c r="J57" s="2270"/>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1" t="s">
        <v>2073</v>
      </c>
      <c r="B58" s="84"/>
      <c r="C58" s="1429">
        <v>3</v>
      </c>
      <c r="D58" s="2271"/>
      <c r="E58" s="2270"/>
      <c r="F58" s="2270"/>
      <c r="G58" s="2270"/>
      <c r="H58" s="2270"/>
      <c r="I58" s="2270"/>
      <c r="J58" s="2270"/>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1" t="s">
        <v>2074</v>
      </c>
      <c r="B59" s="84"/>
      <c r="C59" s="1429">
        <v>1.5</v>
      </c>
      <c r="D59" s="2271"/>
      <c r="E59" s="2270"/>
      <c r="F59" s="2270"/>
      <c r="G59" s="2270"/>
      <c r="H59" s="2270"/>
      <c r="I59" s="2270"/>
      <c r="J59" s="2270"/>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1" t="s">
        <v>2075</v>
      </c>
      <c r="B60" s="84"/>
      <c r="C60" s="2270"/>
      <c r="D60" s="2271"/>
      <c r="E60" s="2270"/>
      <c r="F60" s="2270"/>
      <c r="G60" s="2270"/>
      <c r="H60" s="2270"/>
      <c r="I60" s="2270"/>
      <c r="J60" s="2270"/>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1" t="s">
        <v>2076</v>
      </c>
      <c r="B61" s="84"/>
      <c r="C61" s="2270"/>
      <c r="D61" s="2271"/>
      <c r="E61" s="2270"/>
      <c r="F61" s="2270"/>
      <c r="G61" s="2270"/>
      <c r="H61" s="2270"/>
      <c r="I61" s="2270"/>
      <c r="J61" s="2270"/>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1" t="s">
        <v>2077</v>
      </c>
      <c r="B62" s="84"/>
      <c r="C62" s="2270"/>
      <c r="D62" s="2271"/>
      <c r="E62" s="2270"/>
      <c r="F62" s="2270"/>
      <c r="G62" s="2270"/>
      <c r="H62" s="2270"/>
      <c r="I62" s="2270"/>
      <c r="J62" s="2270"/>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3" t="s">
        <v>2078</v>
      </c>
      <c r="B63" s="134"/>
      <c r="C63" s="2270"/>
      <c r="D63" s="2271"/>
      <c r="E63" s="2270"/>
      <c r="F63" s="2270"/>
      <c r="G63" s="2270"/>
      <c r="H63" s="2270"/>
      <c r="I63" s="2270"/>
      <c r="J63" s="2270"/>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4"/>
      <c r="D64" s="2335"/>
      <c r="K64" s="797"/>
      <c r="L64" s="797"/>
    </row>
    <row r="65" spans="1:12" s="966" customFormat="1">
      <c r="A65" s="2334"/>
      <c r="D65" s="2335"/>
      <c r="K65" s="797"/>
      <c r="L65" s="797"/>
    </row>
    <row r="66" spans="1:12" s="966" customFormat="1">
      <c r="A66" s="2334"/>
      <c r="D66" s="2335"/>
      <c r="K66" s="797"/>
      <c r="L66" s="797"/>
    </row>
    <row r="67" spans="1:12" s="966" customFormat="1">
      <c r="A67" s="2334"/>
      <c r="D67" s="2335"/>
      <c r="K67" s="797"/>
      <c r="L67" s="797"/>
    </row>
    <row r="68" spans="1:12" s="966" customFormat="1">
      <c r="A68" s="2334"/>
      <c r="D68" s="2335"/>
      <c r="K68" s="797"/>
      <c r="L68" s="797"/>
    </row>
    <row r="69" spans="1:12" s="966" customFormat="1">
      <c r="A69" s="2334"/>
      <c r="D69" s="2335"/>
      <c r="K69" s="797"/>
      <c r="L69" s="797"/>
    </row>
    <row r="70" spans="1:12" s="966" customFormat="1">
      <c r="A70" s="2334"/>
      <c r="D70" s="2335"/>
      <c r="K70" s="797"/>
      <c r="L70" s="797"/>
    </row>
    <row r="71" spans="1:12" s="966" customFormat="1">
      <c r="A71" s="2334"/>
      <c r="D71" s="2335"/>
      <c r="K71" s="797"/>
      <c r="L71" s="797"/>
    </row>
    <row r="72" spans="1:12" s="966" customFormat="1">
      <c r="A72" s="2334"/>
      <c r="D72" s="2335"/>
      <c r="K72" s="797"/>
      <c r="L72" s="797"/>
    </row>
    <row r="73" spans="1:12" s="966" customFormat="1">
      <c r="A73" s="2334"/>
      <c r="D73" s="2335"/>
      <c r="K73" s="797"/>
      <c r="L73" s="797"/>
    </row>
    <row r="74" spans="1:12" s="966" customFormat="1">
      <c r="A74" s="2334"/>
      <c r="D74" s="2335"/>
      <c r="K74" s="797"/>
      <c r="L74" s="797"/>
    </row>
    <row r="75" spans="1:12" s="966" customFormat="1">
      <c r="A75" s="2334"/>
      <c r="D75" s="2335"/>
      <c r="K75" s="797"/>
      <c r="L75" s="797"/>
    </row>
    <row r="76" spans="1:12" s="966" customFormat="1">
      <c r="A76" s="2334"/>
      <c r="D76" s="2335"/>
      <c r="K76" s="797"/>
      <c r="L76" s="797"/>
    </row>
    <row r="77" spans="1:12" s="966" customFormat="1">
      <c r="A77" s="2334"/>
      <c r="D77" s="2335"/>
      <c r="K77" s="797"/>
      <c r="L77" s="797"/>
    </row>
    <row r="78" spans="1:12" s="966" customFormat="1">
      <c r="A78" s="2334"/>
      <c r="D78" s="2335"/>
      <c r="K78" s="797"/>
      <c r="L78" s="797"/>
    </row>
    <row r="79" spans="1:12" s="966" customFormat="1">
      <c r="A79" s="2334"/>
      <c r="D79" s="2335"/>
      <c r="K79" s="797"/>
      <c r="L79" s="797"/>
    </row>
    <row r="80" spans="1:12" s="966" customFormat="1">
      <c r="A80" s="2334"/>
      <c r="D80" s="2335"/>
      <c r="K80" s="797"/>
      <c r="L80" s="797"/>
    </row>
    <row r="81" spans="1:12" s="966" customFormat="1">
      <c r="A81" s="2334"/>
      <c r="D81" s="2335"/>
      <c r="K81" s="797"/>
      <c r="L81" s="797"/>
    </row>
    <row r="82" spans="1:12" s="966" customFormat="1">
      <c r="A82" s="2334"/>
      <c r="D82" s="2335"/>
      <c r="K82" s="797"/>
      <c r="L82" s="797"/>
    </row>
    <row r="83" spans="1:12" s="966" customFormat="1">
      <c r="A83" s="2334"/>
      <c r="D83" s="2335"/>
      <c r="K83" s="797"/>
      <c r="L83" s="797"/>
    </row>
    <row r="84" spans="1:12" s="966" customFormat="1">
      <c r="A84" s="2334"/>
      <c r="D84" s="2335"/>
      <c r="K84" s="797"/>
      <c r="L84" s="797"/>
    </row>
    <row r="85" spans="1:12" s="966" customFormat="1">
      <c r="A85" s="2334"/>
      <c r="D85" s="2335"/>
      <c r="K85" s="797"/>
      <c r="L85" s="797"/>
    </row>
    <row r="86" spans="1:12" s="966" customFormat="1">
      <c r="A86" s="2334"/>
      <c r="D86" s="2335"/>
      <c r="K86" s="797"/>
      <c r="L86" s="797"/>
    </row>
    <row r="87" spans="1:12" s="966" customFormat="1">
      <c r="A87" s="2334"/>
      <c r="D87" s="2335"/>
      <c r="K87" s="797"/>
      <c r="L87" s="797"/>
    </row>
    <row r="88" spans="1:12" s="966" customFormat="1">
      <c r="A88" s="2334"/>
      <c r="D88" s="2335"/>
      <c r="K88" s="797"/>
      <c r="L88" s="797"/>
    </row>
    <row r="89" spans="1:12" s="966" customFormat="1">
      <c r="A89" s="2334"/>
      <c r="D89" s="2335"/>
      <c r="K89" s="797"/>
      <c r="L89" s="797"/>
    </row>
    <row r="90" spans="1:12" s="966" customFormat="1">
      <c r="A90" s="2334"/>
      <c r="D90" s="2335"/>
      <c r="K90" s="797"/>
      <c r="L90" s="797"/>
    </row>
    <row r="91" spans="1:12" s="966" customFormat="1">
      <c r="A91" s="2334"/>
      <c r="D91" s="2335"/>
      <c r="K91" s="797"/>
      <c r="L91" s="797"/>
    </row>
    <row r="92" spans="1:12" s="966" customFormat="1">
      <c r="A92" s="2334"/>
      <c r="D92" s="2335"/>
      <c r="K92" s="797"/>
      <c r="L92" s="797"/>
    </row>
    <row r="93" spans="1:12" s="966" customFormat="1">
      <c r="A93" s="2334"/>
      <c r="D93" s="2335"/>
      <c r="K93" s="797"/>
      <c r="L93" s="797"/>
    </row>
    <row r="94" spans="1:12" s="966" customFormat="1">
      <c r="A94" s="2334"/>
      <c r="D94" s="2335"/>
      <c r="K94" s="797"/>
      <c r="L94" s="797"/>
    </row>
    <row r="95" spans="1:12" s="966" customFormat="1">
      <c r="A95" s="2334"/>
      <c r="D95" s="2335"/>
      <c r="K95" s="797"/>
      <c r="L95" s="797"/>
    </row>
    <row r="96" spans="1:12" s="966" customFormat="1">
      <c r="A96" s="2334"/>
      <c r="D96" s="2335"/>
      <c r="K96" s="797"/>
      <c r="L96" s="797"/>
    </row>
    <row r="97" spans="1:12" s="966" customFormat="1">
      <c r="A97" s="2334"/>
      <c r="D97" s="2335"/>
      <c r="K97" s="797"/>
      <c r="L97" s="797"/>
    </row>
    <row r="98" spans="1:12" s="966" customFormat="1">
      <c r="A98" s="2334"/>
      <c r="D98" s="2335"/>
      <c r="K98" s="797"/>
      <c r="L98" s="797"/>
    </row>
    <row r="99" spans="1:12" s="966" customFormat="1">
      <c r="A99" s="2334"/>
      <c r="D99" s="2335"/>
      <c r="K99" s="797"/>
      <c r="L99" s="797"/>
    </row>
    <row r="100" spans="1:12" s="966" customFormat="1">
      <c r="A100" s="2334"/>
      <c r="D100" s="2335"/>
      <c r="K100" s="797"/>
      <c r="L100" s="797"/>
    </row>
    <row r="101" spans="1:12" s="966" customFormat="1">
      <c r="A101" s="2334"/>
      <c r="D101" s="2335"/>
      <c r="K101" s="797"/>
      <c r="L101" s="797"/>
    </row>
    <row r="102" spans="1:12" s="966" customFormat="1">
      <c r="A102" s="2334"/>
      <c r="D102" s="2335"/>
      <c r="K102" s="797"/>
      <c r="L102" s="797"/>
    </row>
    <row r="103" spans="1:12" s="966" customFormat="1">
      <c r="A103" s="2334"/>
      <c r="D103" s="2335"/>
      <c r="K103" s="797"/>
      <c r="L103" s="797"/>
    </row>
    <row r="104" spans="1:12" s="966" customFormat="1">
      <c r="A104" s="2334"/>
      <c r="D104" s="2335"/>
      <c r="K104" s="797"/>
      <c r="L104" s="797"/>
    </row>
    <row r="105" spans="1:12" s="966" customFormat="1">
      <c r="A105" s="2334"/>
      <c r="D105" s="2335"/>
      <c r="K105" s="797"/>
      <c r="L105" s="797"/>
    </row>
    <row r="106" spans="1:12" s="966" customFormat="1">
      <c r="A106" s="2334"/>
      <c r="D106" s="2335"/>
      <c r="K106" s="797"/>
      <c r="L106" s="797"/>
    </row>
    <row r="107" spans="1:12" s="966" customFormat="1">
      <c r="A107" s="2334"/>
      <c r="D107" s="2335"/>
      <c r="K107" s="797"/>
      <c r="L107" s="797"/>
    </row>
    <row r="108" spans="1:12" s="966" customFormat="1">
      <c r="A108" s="2334"/>
      <c r="D108" s="2335"/>
      <c r="K108" s="797"/>
      <c r="L108" s="797"/>
    </row>
    <row r="109" spans="1:12" s="966" customFormat="1">
      <c r="A109" s="2334"/>
      <c r="D109" s="2335"/>
      <c r="K109" s="797"/>
      <c r="L109" s="797"/>
    </row>
    <row r="110" spans="1:12" s="966" customFormat="1">
      <c r="A110" s="2334"/>
      <c r="D110" s="2335"/>
      <c r="K110" s="797"/>
      <c r="L110" s="797"/>
    </row>
    <row r="111" spans="1:12" s="966" customFormat="1">
      <c r="A111" s="2334"/>
      <c r="D111" s="2335"/>
      <c r="K111" s="797"/>
      <c r="L111" s="797"/>
    </row>
    <row r="112" spans="1:12" s="966" customFormat="1">
      <c r="A112" s="2334"/>
      <c r="D112" s="2335"/>
      <c r="K112" s="797"/>
      <c r="L112" s="797"/>
    </row>
    <row r="113" spans="1:12" s="966" customFormat="1">
      <c r="A113" s="2334"/>
      <c r="D113" s="2335"/>
      <c r="K113" s="797"/>
      <c r="L113" s="797"/>
    </row>
    <row r="114" spans="1:12" s="966" customFormat="1">
      <c r="A114" s="2334"/>
      <c r="D114" s="2335"/>
      <c r="K114" s="797"/>
      <c r="L114" s="797"/>
    </row>
    <row r="115" spans="1:12" s="966" customFormat="1">
      <c r="A115" s="2334"/>
      <c r="D115" s="2335"/>
      <c r="K115" s="797"/>
      <c r="L115" s="797"/>
    </row>
    <row r="116" spans="1:12" s="966" customFormat="1">
      <c r="A116" s="2334"/>
      <c r="D116" s="2335"/>
      <c r="K116" s="797"/>
      <c r="L116" s="797"/>
    </row>
    <row r="117" spans="1:12" s="966" customFormat="1">
      <c r="A117" s="2334"/>
      <c r="D117" s="2335"/>
      <c r="K117" s="797"/>
      <c r="L117" s="797"/>
    </row>
    <row r="118" spans="1:12" s="966" customFormat="1">
      <c r="A118" s="2334"/>
      <c r="D118" s="2335"/>
      <c r="K118" s="797"/>
      <c r="L118" s="797"/>
    </row>
    <row r="119" spans="1:12" s="966" customFormat="1">
      <c r="A119" s="2334"/>
      <c r="D119" s="2335"/>
      <c r="K119" s="797"/>
      <c r="L119" s="797"/>
    </row>
    <row r="120" spans="1:12" s="966" customFormat="1">
      <c r="A120" s="2334"/>
      <c r="D120" s="2335"/>
      <c r="K120" s="797"/>
      <c r="L120" s="797"/>
    </row>
    <row r="121" spans="1:12" s="966" customFormat="1">
      <c r="A121" s="2334"/>
      <c r="D121" s="2335"/>
      <c r="K121" s="797"/>
      <c r="L121" s="797"/>
    </row>
    <row r="122" spans="1:12" s="966" customFormat="1">
      <c r="A122" s="2334"/>
      <c r="D122" s="2335"/>
      <c r="K122" s="797"/>
      <c r="L122" s="797"/>
    </row>
    <row r="123" spans="1:12" s="966" customFormat="1">
      <c r="A123" s="2334"/>
      <c r="D123" s="2335"/>
      <c r="K123" s="797"/>
      <c r="L123" s="797"/>
    </row>
    <row r="124" spans="1:12" s="966" customFormat="1">
      <c r="A124" s="2334"/>
      <c r="D124" s="2335"/>
      <c r="K124" s="797"/>
      <c r="L124" s="797"/>
    </row>
    <row r="125" spans="1:12" s="966" customFormat="1">
      <c r="A125" s="2334"/>
      <c r="D125" s="2335"/>
      <c r="K125" s="797"/>
      <c r="L125" s="797"/>
    </row>
    <row r="126" spans="1:12" s="966" customFormat="1">
      <c r="A126" s="2334"/>
      <c r="D126" s="2335"/>
      <c r="K126" s="797"/>
      <c r="L126" s="797"/>
    </row>
    <row r="127" spans="1:12" s="966" customFormat="1">
      <c r="A127" s="2334"/>
      <c r="D127" s="2335"/>
      <c r="K127" s="797"/>
      <c r="L127" s="797"/>
    </row>
    <row r="128" spans="1:12" s="966" customFormat="1">
      <c r="A128" s="2334"/>
      <c r="D128" s="2335"/>
      <c r="K128" s="797"/>
      <c r="L128" s="797"/>
    </row>
    <row r="129" spans="1:12" s="966" customFormat="1">
      <c r="A129" s="2334"/>
      <c r="D129" s="2335"/>
      <c r="K129" s="797"/>
      <c r="L129" s="797"/>
    </row>
    <row r="130" spans="1:12" s="966" customFormat="1">
      <c r="A130" s="2334"/>
      <c r="D130" s="2335"/>
      <c r="K130" s="797"/>
      <c r="L130" s="797"/>
    </row>
    <row r="131" spans="1:12" s="966" customFormat="1">
      <c r="A131" s="2334"/>
      <c r="D131" s="2335"/>
      <c r="K131" s="797"/>
      <c r="L131" s="797"/>
    </row>
    <row r="132" spans="1:12" s="966" customFormat="1">
      <c r="A132" s="2334"/>
      <c r="D132" s="2335"/>
      <c r="K132" s="797"/>
      <c r="L132" s="797"/>
    </row>
    <row r="133" spans="1:12" s="966"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25" t="s">
        <v>2079</v>
      </c>
      <c r="B1" s="3126"/>
      <c r="C1" s="3126"/>
      <c r="D1" s="3126"/>
      <c r="E1" s="3126"/>
      <c r="F1" s="3126"/>
      <c r="G1" s="312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79"/>
      <c r="G2" s="2358" t="s">
        <v>2081</v>
      </c>
      <c r="H2" s="2361"/>
      <c r="I2" s="2361"/>
      <c r="J2" s="2361"/>
      <c r="K2" s="2361"/>
      <c r="L2" s="2361"/>
      <c r="M2" s="2361"/>
      <c r="N2" s="2361"/>
      <c r="O2" s="2361"/>
      <c r="P2" s="2361"/>
      <c r="Q2" s="2361"/>
      <c r="R2" s="2361"/>
    </row>
    <row r="3" spans="1:29" ht="54" hidden="1">
      <c r="A3" s="415" t="s">
        <v>2082</v>
      </c>
      <c r="B3" s="1270" t="s">
        <v>2083</v>
      </c>
      <c r="C3" s="2363" t="s">
        <v>2084</v>
      </c>
      <c r="D3" s="2364"/>
      <c r="E3" s="431" t="s">
        <v>2082</v>
      </c>
      <c r="F3" s="2365" t="s">
        <v>2085</v>
      </c>
      <c r="G3" s="2366" t="s">
        <v>2086</v>
      </c>
      <c r="H3" s="2361"/>
      <c r="I3" s="2361"/>
      <c r="J3" s="2361"/>
      <c r="K3" s="2361"/>
      <c r="L3" s="2361"/>
      <c r="M3" s="2361"/>
      <c r="N3" s="2361"/>
      <c r="O3" s="2361"/>
      <c r="P3" s="2361"/>
      <c r="Q3" s="2361"/>
      <c r="R3" s="2361"/>
    </row>
    <row r="4" spans="1:29" ht="40.5">
      <c r="A4" s="431"/>
      <c r="B4" s="1789" t="s">
        <v>2087</v>
      </c>
      <c r="C4" s="3002" t="s">
        <v>3328</v>
      </c>
      <c r="D4" s="2364"/>
      <c r="E4" s="2368"/>
      <c r="F4" s="42" t="s">
        <v>2088</v>
      </c>
      <c r="G4" s="2369" t="s">
        <v>2089</v>
      </c>
      <c r="H4" s="2361"/>
      <c r="I4" s="2361"/>
      <c r="J4" s="2361"/>
      <c r="K4" s="2361"/>
      <c r="L4" s="2361"/>
      <c r="M4" s="2361"/>
      <c r="N4" s="2361"/>
      <c r="O4" s="2361"/>
      <c r="P4" s="2361"/>
      <c r="Q4" s="2361"/>
      <c r="R4" s="2361"/>
    </row>
    <row r="5" spans="1:29" ht="41.25" hidden="1">
      <c r="A5" s="431"/>
      <c r="B5" s="1789" t="s">
        <v>2090</v>
      </c>
      <c r="C5" s="2367" t="s">
        <v>2091</v>
      </c>
      <c r="D5" s="2364"/>
      <c r="E5" s="2368"/>
      <c r="F5" s="1789" t="s">
        <v>2092</v>
      </c>
      <c r="G5" s="2369" t="s">
        <v>2093</v>
      </c>
      <c r="H5" s="2361"/>
      <c r="I5" s="2361"/>
      <c r="J5" s="2361"/>
      <c r="K5" s="2361"/>
      <c r="L5" s="2361"/>
      <c r="M5" s="2361"/>
      <c r="N5" s="2361"/>
      <c r="O5" s="2361"/>
      <c r="P5" s="2361"/>
      <c r="Q5" s="2361"/>
      <c r="R5" s="2361"/>
    </row>
    <row r="6" spans="1:29" ht="108">
      <c r="A6" s="431"/>
      <c r="B6" s="1789" t="s">
        <v>2094</v>
      </c>
      <c r="C6" s="3003" t="s">
        <v>3329</v>
      </c>
      <c r="D6" s="2364"/>
      <c r="E6" s="2368"/>
      <c r="F6" s="1789" t="s">
        <v>2095</v>
      </c>
      <c r="G6" s="2369" t="s">
        <v>2096</v>
      </c>
      <c r="H6" s="2361"/>
      <c r="I6" s="2361"/>
      <c r="J6" s="2361"/>
      <c r="K6" s="2361"/>
      <c r="L6" s="2361"/>
      <c r="M6" s="2361"/>
      <c r="N6" s="2361"/>
      <c r="O6" s="2361"/>
      <c r="P6" s="2361"/>
      <c r="Q6" s="2361"/>
      <c r="R6" s="2361"/>
    </row>
    <row r="7" spans="1:29" ht="122.25" thickBot="1">
      <c r="A7" s="431"/>
      <c r="B7" s="1789" t="s">
        <v>2092</v>
      </c>
      <c r="C7" s="3003" t="s">
        <v>3330</v>
      </c>
      <c r="D7" s="2370"/>
      <c r="E7" s="2371"/>
      <c r="F7" s="2372" t="s">
        <v>2097</v>
      </c>
      <c r="G7" s="2373" t="s">
        <v>2098</v>
      </c>
      <c r="H7" s="2361"/>
      <c r="I7" s="2361"/>
      <c r="J7" s="2361"/>
      <c r="K7" s="2361"/>
      <c r="L7" s="2361"/>
      <c r="M7" s="2361"/>
      <c r="N7" s="2361"/>
      <c r="O7" s="2361"/>
      <c r="P7" s="2361"/>
      <c r="Q7" s="2361"/>
      <c r="R7" s="2361"/>
    </row>
    <row r="8" spans="1:29" ht="27">
      <c r="A8" s="431"/>
      <c r="B8" s="1789" t="s">
        <v>2095</v>
      </c>
      <c r="C8" s="3003" t="s">
        <v>3331</v>
      </c>
      <c r="D8" s="2370"/>
      <c r="E8" s="2370"/>
      <c r="F8" s="1135"/>
      <c r="G8" s="1135"/>
      <c r="H8" s="2361"/>
      <c r="I8" s="2361"/>
      <c r="J8" s="2361"/>
      <c r="K8" s="2361"/>
      <c r="L8" s="2361"/>
      <c r="M8" s="2361"/>
      <c r="N8" s="2361"/>
      <c r="O8" s="2361"/>
      <c r="P8" s="2361"/>
      <c r="Q8" s="2361"/>
      <c r="R8" s="2361"/>
    </row>
    <row r="9" spans="1:29" ht="54">
      <c r="A9" s="431"/>
      <c r="B9" s="1789" t="s">
        <v>2099</v>
      </c>
      <c r="C9" s="3002" t="s">
        <v>3332</v>
      </c>
      <c r="D9" s="2364"/>
      <c r="E9" s="2370"/>
      <c r="F9" s="1135"/>
      <c r="G9" s="1135"/>
      <c r="H9" s="2361"/>
      <c r="I9" s="2361"/>
      <c r="J9" s="2361"/>
      <c r="K9" s="2361"/>
      <c r="L9" s="2361"/>
      <c r="M9" s="2361"/>
      <c r="N9" s="2361"/>
      <c r="O9" s="2361"/>
      <c r="P9" s="2361"/>
      <c r="Q9" s="2361"/>
      <c r="R9" s="2361"/>
    </row>
    <row r="10" spans="1:29" s="117" customFormat="1" ht="15.75" thickBot="1">
      <c r="A10" s="2374"/>
      <c r="B10" s="2375" t="s">
        <v>2100</v>
      </c>
      <c r="C10" s="2376" t="s">
        <v>3333</v>
      </c>
      <c r="D10" s="2364"/>
      <c r="E10" s="2364"/>
      <c r="F10" s="1135"/>
      <c r="G10" s="1135"/>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3"/>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3"/>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2101</v>
      </c>
      <c r="B13" s="2381"/>
      <c r="C13" s="2381"/>
      <c r="D13" s="2388"/>
      <c r="E13" s="2381"/>
      <c r="F13" s="2381"/>
      <c r="G13" s="2381"/>
    </row>
    <row r="14" spans="1:29" ht="15.75" thickBot="1">
      <c r="A14" s="2392"/>
      <c r="B14" s="2393"/>
      <c r="C14" s="2394" t="s">
        <v>2102</v>
      </c>
      <c r="D14" s="2364"/>
      <c r="E14" s="2395"/>
      <c r="F14" s="2395"/>
      <c r="G14" s="2358" t="s">
        <v>2103</v>
      </c>
    </row>
    <row r="15" spans="1:29" ht="57">
      <c r="A15" s="68" t="s">
        <v>2104</v>
      </c>
      <c r="B15" s="1269" t="s">
        <v>2083</v>
      </c>
      <c r="C15" s="2396" t="str">
        <f>C3</f>
        <v>估价对象周边居住用地比例、居住小区规模和社区发展完善程度，综合评价居住社区成熟度一般</v>
      </c>
      <c r="D15" s="2364"/>
      <c r="E15" s="2397" t="s">
        <v>2105</v>
      </c>
      <c r="F15" s="1269" t="s">
        <v>2106</v>
      </c>
      <c r="G15" s="135" t="str">
        <f>G3</f>
        <v>估价对象位于XX开发区，园区建设成熟度XX，产业集聚程度XX</v>
      </c>
    </row>
    <row r="16" spans="1:29" ht="42.75">
      <c r="A16" s="644"/>
      <c r="B16" s="2398" t="s">
        <v>2087</v>
      </c>
      <c r="C16" s="2399" t="str">
        <f>C4</f>
        <v>估价对象位于东直门商圈，周边商业氛围成熟，人流量大，商业繁华度好</v>
      </c>
      <c r="D16" s="2364"/>
      <c r="E16" s="2400"/>
      <c r="F16" s="2401" t="s">
        <v>2088</v>
      </c>
      <c r="G16" s="136" t="str">
        <f>G4</f>
        <v>估价对象周边道路状况、公共交通通达情况、停车便捷程度，综合评价交通便捷度较好</v>
      </c>
    </row>
    <row r="17" spans="1:18" ht="42.75">
      <c r="A17" s="644"/>
      <c r="B17" s="2398" t="s">
        <v>2090</v>
      </c>
      <c r="C17" s="2399" t="str">
        <f>C5</f>
        <v>估价对象位于XX商圈，周边办公楼项目较多，入驻率高，办公集聚程度较好</v>
      </c>
      <c r="D17" s="2370"/>
      <c r="E17" s="2400"/>
      <c r="F17" s="2401" t="s">
        <v>2107</v>
      </c>
      <c r="G17" s="1569"/>
    </row>
    <row r="18" spans="1:18" ht="114">
      <c r="A18" s="644"/>
      <c r="B18" s="2401" t="s">
        <v>2094</v>
      </c>
      <c r="C18" s="136" t="str">
        <f>C6</f>
        <v>估价对象周边2公里范围内有18路、123路、413路、635路、916路等公交线路，南距地铁二号线东直门站及东直门交通枢纽约1公里，公交便捷度较好、停车便捷程度较好，综合评价交通便捷度较好</v>
      </c>
      <c r="D18" s="2370"/>
      <c r="E18" s="2400"/>
      <c r="F18" s="2401" t="s">
        <v>2097</v>
      </c>
      <c r="G18" s="136" t="str">
        <f>G7</f>
        <v>该园区内是否有污染型企业，绿化情况，卫生条件，整体环境状况判断</v>
      </c>
    </row>
    <row r="19" spans="1:18" ht="28.5">
      <c r="A19" s="644"/>
      <c r="B19" s="2401" t="s">
        <v>2108</v>
      </c>
      <c r="C19" s="1569"/>
      <c r="D19" s="2364"/>
      <c r="E19" s="2400"/>
      <c r="F19" s="1789" t="s">
        <v>2092</v>
      </c>
      <c r="G19" s="136" t="str">
        <f>G5</f>
        <v>估价对象所在区域公共配套设施齐备情况</v>
      </c>
    </row>
    <row r="20" spans="1:18" ht="57">
      <c r="A20" s="644"/>
      <c r="B20" s="2401" t="s">
        <v>2109</v>
      </c>
      <c r="C20" s="2399" t="str">
        <f>C9</f>
        <v>区域自然环境：芳沁园、南馆公园；人文环境：北京电大朝阳分校等教育机构；综合评价环境状况较好</v>
      </c>
      <c r="D20" s="2370"/>
      <c r="E20" s="2400"/>
      <c r="F20" s="1789" t="s">
        <v>2110</v>
      </c>
      <c r="G20" s="136" t="str">
        <f>G6</f>
        <v>估价对象所在区域基础设施水平</v>
      </c>
    </row>
    <row r="21" spans="1:18" ht="128.25">
      <c r="A21" s="644"/>
      <c r="B21" s="1789" t="s">
        <v>2092</v>
      </c>
      <c r="C21" s="136" t="str">
        <f>C7</f>
        <v>估价对象所在区域公共配套设施齐备情况较齐全（购物场所（华润万家便利超市等）、医院（左家庄医院、北京中医药大学东直门医院等）、银行（中国工商银行、中国建设银行、中国银行等）、学校（北京市东直门中学等））</v>
      </c>
      <c r="D21" s="2364"/>
      <c r="E21" s="2400"/>
      <c r="F21" s="2401" t="s">
        <v>2111</v>
      </c>
      <c r="G21" s="2402"/>
    </row>
    <row r="22" spans="1:18" ht="13.5" customHeight="1">
      <c r="A22" s="644"/>
      <c r="B22" s="1789" t="s">
        <v>2095</v>
      </c>
      <c r="C22" s="136" t="str">
        <f>C8</f>
        <v>估价对象所在区域基础设施水平好（七通）</v>
      </c>
      <c r="D22" s="2364"/>
      <c r="E22" s="2400"/>
      <c r="F22" s="2401" t="s">
        <v>2100</v>
      </c>
      <c r="G22" s="1569"/>
    </row>
    <row r="23" spans="1:18" s="2361" customFormat="1" ht="15.75" thickBot="1">
      <c r="A23" s="644"/>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75" thickBot="1">
      <c r="A24" s="2406"/>
      <c r="B24" s="2404" t="s">
        <v>2113</v>
      </c>
      <c r="C24" s="137" t="str">
        <f>C10</f>
        <v>高速路-机场高速</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1" sqref="G11"/>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8942.26</v>
      </c>
      <c r="C1" s="1737"/>
      <c r="D1" s="1737"/>
      <c r="E1" s="1737"/>
      <c r="F1" s="1737"/>
      <c r="G1" s="1735"/>
    </row>
    <row r="2" spans="1:10" ht="16.5">
      <c r="A2" s="1738" t="s">
        <v>1349</v>
      </c>
      <c r="B2" s="1738">
        <f>SUM(C14:C23)</f>
        <v>2519.9899999999998</v>
      </c>
      <c r="C2" s="1737"/>
      <c r="D2" s="1737"/>
      <c r="E2" s="1737"/>
      <c r="F2" s="1737"/>
      <c r="G2" s="1735"/>
    </row>
    <row r="3" spans="1:10" ht="16.5">
      <c r="A3" s="1738" t="s">
        <v>1358</v>
      </c>
      <c r="B3" s="1739">
        <f>项目基本情况!D3</f>
        <v>43957</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50134</v>
      </c>
      <c r="C5" s="1738">
        <f ca="1">ROUND(B5*10000/$B$1,0)</f>
        <v>56064</v>
      </c>
      <c r="D5" s="1738">
        <f ca="1">ROUND(B5*10000/$B$2,0)</f>
        <v>198945</v>
      </c>
      <c r="E5" s="1737"/>
      <c r="F5" s="1735"/>
      <c r="G5" s="1735"/>
    </row>
    <row r="6" spans="1:10" ht="16.5">
      <c r="A6" s="1738" t="s">
        <v>1352</v>
      </c>
      <c r="B6" s="1738">
        <f ca="1">SUM(G14:G23)</f>
        <v>50134</v>
      </c>
      <c r="C6" s="1738">
        <f ca="1">ROUND(B6*10000/$B$1,0)</f>
        <v>56064</v>
      </c>
      <c r="D6" s="1738">
        <f ca="1">ROUND(B6*10000/$B$2,0)</f>
        <v>198945</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2526.41</v>
      </c>
      <c r="C14" s="1736">
        <f>结果表!C118</f>
        <v>711.96</v>
      </c>
      <c r="D14" s="1736">
        <f ca="1">结果表!H118</f>
        <v>13321</v>
      </c>
      <c r="E14" s="1736">
        <f ca="1">ROUND(D14*10000/B14,0)</f>
        <v>52727</v>
      </c>
      <c r="F14" s="1736">
        <f ca="1">ROUND(D14*10000/C14,0)</f>
        <v>187103</v>
      </c>
      <c r="G14" s="1736">
        <f ca="1">结果表!D122</f>
        <v>13321</v>
      </c>
      <c r="H14" s="1736" t="str">
        <f>结果表!D124</f>
        <v>——</v>
      </c>
      <c r="I14" s="1736" t="str">
        <f>结果表!D126</f>
        <v>——</v>
      </c>
      <c r="J14" s="1735"/>
    </row>
    <row r="15" spans="1:10" ht="16.5">
      <c r="A15" s="1734" t="s">
        <v>1345</v>
      </c>
      <c r="B15" s="1741">
        <f>[1]系统读取表!$B$14</f>
        <v>3788.92</v>
      </c>
      <c r="C15" s="1741">
        <f>[1]系统读取表!$C$14</f>
        <v>1067.73</v>
      </c>
      <c r="D15" s="1741">
        <f ca="1">[1]系统读取表!$D$14</f>
        <v>22233</v>
      </c>
      <c r="E15" s="1736">
        <f t="shared" ref="E15:E23" ca="1" si="0">ROUND(D15*10000/B15,0)</f>
        <v>58679</v>
      </c>
      <c r="F15" s="1736">
        <f t="shared" ref="F15:F23" ca="1" si="1">ROUND(D15*10000/C15,0)</f>
        <v>208227</v>
      </c>
      <c r="G15" s="1742">
        <f ca="1">D15</f>
        <v>22233</v>
      </c>
      <c r="H15" s="1742"/>
      <c r="I15" s="1741"/>
      <c r="J15" s="1735"/>
    </row>
    <row r="16" spans="1:10" ht="16.5">
      <c r="A16" s="1734" t="s">
        <v>1344</v>
      </c>
      <c r="B16" s="1741">
        <f>[2]系统读取表!$B$14</f>
        <v>2626.93</v>
      </c>
      <c r="C16" s="1741">
        <f>[2]系统读取表!$C$14</f>
        <v>740.3</v>
      </c>
      <c r="D16" s="1741">
        <f ca="1">[2]系统读取表!$D$14</f>
        <v>14580</v>
      </c>
      <c r="E16" s="1736">
        <f t="shared" ca="1" si="0"/>
        <v>55502</v>
      </c>
      <c r="F16" s="1736">
        <f t="shared" ca="1" si="1"/>
        <v>196947</v>
      </c>
      <c r="G16" s="1742">
        <f ca="1">D16</f>
        <v>14580</v>
      </c>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1" sqref="I19:I21"/>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c r="D1" s="2412"/>
      <c r="E1" s="2412"/>
      <c r="F1" s="2414" t="s">
        <v>2115</v>
      </c>
      <c r="G1" s="2063" t="s">
        <v>2116</v>
      </c>
      <c r="H1" s="2415" t="str">
        <f>IF(G1="现房","——","估价对象范围")</f>
        <v>估价对象范围</v>
      </c>
      <c r="I1" s="2416"/>
    </row>
    <row r="2" spans="1:12" ht="21.75" customHeight="1" thickBot="1">
      <c r="A2" s="3199" t="str">
        <f>项目基本情况!S2</f>
        <v>北京市东城区香河园街1号院5、10号楼出让国有建设用地使用权及在建建筑物房地产</v>
      </c>
      <c r="B2" s="3200"/>
      <c r="C2" s="3200"/>
      <c r="D2" s="3200"/>
      <c r="E2" s="3200"/>
      <c r="F2" s="3200"/>
      <c r="G2" s="3200"/>
      <c r="H2" s="3200"/>
      <c r="I2" s="3201"/>
    </row>
    <row r="3" spans="1:12" ht="12.75">
      <c r="A3" s="3202" t="s">
        <v>2117</v>
      </c>
      <c r="B3" s="3203"/>
      <c r="C3" s="3203"/>
      <c r="D3" s="3203"/>
      <c r="E3" s="3203"/>
      <c r="F3" s="3203"/>
      <c r="G3" s="3203"/>
      <c r="H3" s="3203"/>
      <c r="I3" s="3203"/>
    </row>
    <row r="4" spans="1:12" ht="14.25">
      <c r="A4" s="2419" t="s">
        <v>2118</v>
      </c>
      <c r="B4" s="2420" t="s">
        <v>2119</v>
      </c>
      <c r="C4" s="2421" t="s">
        <v>3346</v>
      </c>
      <c r="D4" s="2421" t="s">
        <v>3314</v>
      </c>
      <c r="E4" s="3183" t="s">
        <v>2120</v>
      </c>
      <c r="F4" s="3196"/>
      <c r="G4" s="3196"/>
      <c r="H4" s="3196"/>
      <c r="I4" s="3184"/>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74" t="s">
        <v>2121</v>
      </c>
      <c r="B5" s="3100">
        <v>25</v>
      </c>
      <c r="C5" s="3204"/>
      <c r="D5" s="3192"/>
      <c r="E5" s="140" t="s">
        <v>2122</v>
      </c>
      <c r="F5" s="2423"/>
      <c r="G5" s="2423"/>
      <c r="H5" s="2423"/>
      <c r="I5" s="1825"/>
    </row>
    <row r="6" spans="1:12" ht="12.75">
      <c r="A6" s="3174"/>
      <c r="B6" s="3100"/>
      <c r="C6" s="3206"/>
      <c r="D6" s="3192"/>
      <c r="E6" s="140" t="s">
        <v>2123</v>
      </c>
      <c r="F6" s="2423"/>
      <c r="G6" s="2423"/>
      <c r="H6" s="2423"/>
      <c r="I6" s="1825"/>
    </row>
    <row r="7" spans="1:12" ht="12.75">
      <c r="A7" s="3174"/>
      <c r="B7" s="3100"/>
      <c r="C7" s="3205"/>
      <c r="D7" s="3192"/>
      <c r="E7" s="140" t="s">
        <v>2124</v>
      </c>
      <c r="F7" s="2423"/>
      <c r="G7" s="2423"/>
      <c r="H7" s="2423"/>
      <c r="I7" s="1825"/>
    </row>
    <row r="8" spans="1:12" ht="12.75">
      <c r="A8" s="3174" t="s">
        <v>2125</v>
      </c>
      <c r="B8" s="3100">
        <v>15</v>
      </c>
      <c r="C8" s="3204"/>
      <c r="D8" s="3192"/>
      <c r="E8" s="140" t="s">
        <v>2126</v>
      </c>
      <c r="F8" s="2423"/>
      <c r="G8" s="2423"/>
      <c r="H8" s="2423"/>
      <c r="I8" s="1825"/>
    </row>
    <row r="9" spans="1:12" ht="12.75">
      <c r="A9" s="3174"/>
      <c r="B9" s="3100"/>
      <c r="C9" s="3205"/>
      <c r="D9" s="3192"/>
      <c r="E9" s="140" t="s">
        <v>2127</v>
      </c>
      <c r="F9" s="2423"/>
      <c r="G9" s="2423"/>
      <c r="H9" s="2423"/>
      <c r="I9" s="1825"/>
    </row>
    <row r="10" spans="1:12" ht="12.75">
      <c r="A10" s="3174" t="s">
        <v>2128</v>
      </c>
      <c r="B10" s="3100">
        <v>15</v>
      </c>
      <c r="C10" s="3204"/>
      <c r="D10" s="3192"/>
      <c r="E10" s="140" t="s">
        <v>2129</v>
      </c>
      <c r="F10" s="2423"/>
      <c r="G10" s="2423"/>
      <c r="H10" s="2423"/>
      <c r="I10" s="1825"/>
    </row>
    <row r="11" spans="1:12" ht="12.75">
      <c r="A11" s="3174"/>
      <c r="B11" s="3100"/>
      <c r="C11" s="3205"/>
      <c r="D11" s="3192"/>
      <c r="E11" s="140" t="s">
        <v>2130</v>
      </c>
      <c r="F11" s="2423"/>
      <c r="G11" s="2423"/>
      <c r="H11" s="2423"/>
      <c r="I11" s="1825"/>
    </row>
    <row r="12" spans="1:12" ht="12.75">
      <c r="A12" s="3174" t="s">
        <v>2131</v>
      </c>
      <c r="B12" s="3100">
        <v>15</v>
      </c>
      <c r="C12" s="3204"/>
      <c r="D12" s="3192"/>
      <c r="E12" s="140" t="s">
        <v>2132</v>
      </c>
      <c r="F12" s="2423"/>
      <c r="G12" s="2423"/>
      <c r="H12" s="2423"/>
      <c r="I12" s="1825"/>
    </row>
    <row r="13" spans="1:12" ht="12.75">
      <c r="A13" s="3174"/>
      <c r="B13" s="3100"/>
      <c r="C13" s="3205"/>
      <c r="D13" s="3192"/>
      <c r="E13" s="140" t="s">
        <v>2133</v>
      </c>
      <c r="F13" s="2423"/>
      <c r="G13" s="2423"/>
      <c r="H13" s="2423"/>
      <c r="I13" s="1825"/>
    </row>
    <row r="14" spans="1:12" ht="12.75">
      <c r="A14" s="3174" t="s">
        <v>2134</v>
      </c>
      <c r="B14" s="3100">
        <v>30</v>
      </c>
      <c r="C14" s="3204">
        <v>5</v>
      </c>
      <c r="D14" s="3192">
        <v>5</v>
      </c>
      <c r="E14" s="140" t="s">
        <v>2135</v>
      </c>
      <c r="F14" s="2423"/>
      <c r="G14" s="2423"/>
      <c r="H14" s="2423"/>
      <c r="I14" s="1825"/>
    </row>
    <row r="15" spans="1:12" ht="12.75">
      <c r="A15" s="3174"/>
      <c r="B15" s="3100"/>
      <c r="C15" s="3206"/>
      <c r="D15" s="3192"/>
      <c r="E15" s="140" t="s">
        <v>2136</v>
      </c>
      <c r="F15" s="2423"/>
      <c r="G15" s="2423"/>
      <c r="H15" s="2423"/>
      <c r="I15" s="1825"/>
    </row>
    <row r="16" spans="1:12" ht="12.75">
      <c r="A16" s="3174"/>
      <c r="B16" s="3100"/>
      <c r="C16" s="3205"/>
      <c r="D16" s="3192"/>
      <c r="E16" s="140" t="s">
        <v>2137</v>
      </c>
      <c r="F16" s="2423"/>
      <c r="G16" s="2423"/>
      <c r="H16" s="2423"/>
      <c r="I16" s="1825"/>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K18" s="2422" t="s">
        <v>2142</v>
      </c>
      <c r="L18" s="2422">
        <f>IF(C1="",'数据-汇总表'!E3,SUMIF(项目类型,C1,'数据-汇总表'!E17:E26)+SUMIF(项目类型,C1,'数据-汇总表'!I17:I26))</f>
        <v>2526.41</v>
      </c>
      <c r="M18" s="2422">
        <f>IF(C1="",'数据-汇总表'!E3,SUMIF(项目类型,C1,'数据-汇总表'!E17:E26))</f>
        <v>2526.41</v>
      </c>
    </row>
    <row r="19" spans="1:35" ht="15">
      <c r="A19" s="2428" t="s">
        <v>2143</v>
      </c>
      <c r="B19" s="2429" t="s">
        <v>2144</v>
      </c>
      <c r="C19" s="143">
        <f ca="1">SUMIF(INDIRECT("'"&amp;C4&amp;"'"&amp;"!A:A"),结果表!B19,INDIRECT("'"&amp;C4&amp;"'"&amp;"!B:B"))</f>
        <v>14313</v>
      </c>
      <c r="D19" s="144">
        <f ca="1">SUMIF(INDIRECT("'"&amp;D4&amp;"'"&amp;"!A:A"),结果表!B19,INDIRECT("'"&amp;D4&amp;"'"&amp;"!B:B"))</f>
        <v>12329</v>
      </c>
      <c r="E19" s="2428" t="s">
        <v>2145</v>
      </c>
      <c r="F19" s="2429" t="s">
        <v>2144</v>
      </c>
      <c r="G19" s="145">
        <f ca="1">ROUND(C19*$C$18+D19*$D$18,0)</f>
        <v>13321</v>
      </c>
      <c r="H19" s="2430" t="s">
        <v>2146</v>
      </c>
      <c r="I19" s="138"/>
      <c r="K19" s="2422" t="s">
        <v>2147</v>
      </c>
      <c r="L19" s="2422">
        <f>IF(C1="",'数据-汇总表'!D3,SUMIF(项目类型,C1,'数据-汇总表'!D17:D26)+SUMIF(项目类型,C1,'数据-汇总表'!H17:H27))</f>
        <v>711.96</v>
      </c>
      <c r="M19" s="2422">
        <f>IF(C1="",'数据-汇总表'!D3,SUMIF(项目类型,C1,'数据-汇总表'!D17:D26))</f>
        <v>711.96</v>
      </c>
    </row>
    <row r="20" spans="1:35" ht="15">
      <c r="A20" s="2431"/>
      <c r="B20" s="1249" t="s">
        <v>2148</v>
      </c>
      <c r="C20" s="146">
        <f ca="1">SUMIF(INDIRECT("'"&amp;C4&amp;"'"&amp;"!A:A"),结果表!B20,INDIRECT("'"&amp;C4&amp;"'"&amp;"!B:B"))</f>
        <v>56654</v>
      </c>
      <c r="D20" s="147">
        <f ca="1">SUMIF(INDIRECT("'"&amp;D4&amp;"'"&amp;"!A:A"),结果表!B20,INDIRECT("'"&amp;D4&amp;"'"&amp;"!B:B"))</f>
        <v>48800</v>
      </c>
      <c r="E20" s="2431"/>
      <c r="F20" s="1249" t="s">
        <v>2148</v>
      </c>
      <c r="G20" s="148">
        <f ca="1">ROUND(C20*$C$18+D20*$D$18,0)</f>
        <v>52727</v>
      </c>
      <c r="H20" s="982" t="s">
        <v>2149</v>
      </c>
      <c r="I20" s="138"/>
    </row>
    <row r="21" spans="1:35" ht="15" customHeight="1" thickBot="1">
      <c r="A21" s="1002"/>
      <c r="B21" s="2432" t="s">
        <v>2150</v>
      </c>
      <c r="C21" s="788">
        <f ca="1">ROUND(C19*10000/L19,0)</f>
        <v>201037</v>
      </c>
      <c r="D21" s="789">
        <f ca="1">ROUND(D19*10000/L19,0)</f>
        <v>173170</v>
      </c>
      <c r="E21" s="1002"/>
      <c r="F21" s="2432" t="s">
        <v>2150</v>
      </c>
      <c r="G21" s="149">
        <f ca="1">ROUND(G19*10000/L19,0)</f>
        <v>187103</v>
      </c>
      <c r="H21" s="2433" t="s">
        <v>2149</v>
      </c>
      <c r="I21" s="138"/>
    </row>
    <row r="22" spans="1:35" ht="15" thickBot="1">
      <c r="A22" s="2274" t="s">
        <v>2151</v>
      </c>
      <c r="B22" s="2434"/>
      <c r="C22" s="2435"/>
      <c r="D22" s="790">
        <f ca="1">IF(C19&lt;D19,D19/C19-1,C19/D19-1)</f>
        <v>0.16092140481790906</v>
      </c>
      <c r="E22" s="138"/>
      <c r="F22" s="138"/>
      <c r="G22" s="138"/>
      <c r="H22" s="138"/>
      <c r="I22" s="138"/>
    </row>
    <row r="23" spans="1:35" ht="13.5" thickBot="1">
      <c r="A23" s="2412"/>
      <c r="B23" s="2412"/>
      <c r="C23" s="2412"/>
      <c r="D23" s="2412"/>
      <c r="E23" s="138"/>
      <c r="F23" s="138"/>
      <c r="G23" s="138"/>
      <c r="H23" s="138"/>
      <c r="I23" s="138"/>
    </row>
    <row r="24" spans="1:35" ht="14.25">
      <c r="A24" s="3213" t="s">
        <v>2152</v>
      </c>
      <c r="B24" s="2429" t="s">
        <v>2144</v>
      </c>
      <c r="C24" s="145">
        <f>IF(B30=0,0,D30)</f>
        <v>0</v>
      </c>
      <c r="D24" s="2436"/>
      <c r="E24" s="138"/>
      <c r="F24" s="138"/>
      <c r="G24" s="138"/>
      <c r="H24" s="138"/>
      <c r="I24" s="138"/>
    </row>
    <row r="25" spans="1:35" ht="14.25">
      <c r="A25" s="3214"/>
      <c r="B25" s="1249" t="s">
        <v>2148</v>
      </c>
      <c r="C25" s="150">
        <f>IF(B30=0,0,C30)</f>
        <v>0</v>
      </c>
      <c r="D25" s="2437"/>
      <c r="E25" s="138"/>
      <c r="F25" s="138"/>
      <c r="G25" s="138"/>
      <c r="H25" s="138"/>
      <c r="I25" s="138"/>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18" t="s">
        <v>3034</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2158</v>
      </c>
      <c r="B32" s="2442"/>
      <c r="C32" s="153">
        <f ca="1">IF(D32="总价",G19-C24,G20-C25)</f>
        <v>13321</v>
      </c>
      <c r="D32" s="2443" t="s">
        <v>2159</v>
      </c>
      <c r="E32" s="138"/>
      <c r="F32" s="138"/>
      <c r="G32" s="138"/>
      <c r="H32" s="138"/>
      <c r="I32" s="138"/>
    </row>
    <row r="33" spans="1:15" ht="15">
      <c r="A33" s="959" t="s">
        <v>2160</v>
      </c>
      <c r="B33" s="2444"/>
      <c r="C33" s="2445" t="s">
        <v>3325</v>
      </c>
      <c r="D33" s="2446" t="s">
        <v>3324</v>
      </c>
      <c r="E33" s="2447" t="s">
        <v>2161</v>
      </c>
      <c r="F33" s="2448" t="str">
        <f>IF(D32="楼面单价","取值（单价）","取值（总价）")</f>
        <v>取值（总价）</v>
      </c>
      <c r="G33" s="138"/>
      <c r="H33" s="138"/>
      <c r="I33" s="138"/>
    </row>
    <row r="34" spans="1:15" ht="15">
      <c r="A34" s="2449"/>
      <c r="B34" s="2450" t="s">
        <v>2162</v>
      </c>
      <c r="C34" s="157">
        <f ca="1">IF(C33="自定义",F34,C32-C35)</f>
        <v>11683</v>
      </c>
      <c r="D34" s="1057">
        <f ca="1">IF(C33="自定义",ROUND(C34/C32,3),IF(C33="收益比率",SUMIF(INDIRECT("'"&amp;D33&amp;"'"&amp;"!b:b"),"土地收益比率",INDIRECT("'"&amp;D33&amp;"'"&amp;"!c:c")),SUMIF(INDIRECT("'"&amp;D33&amp;"'"&amp;"!b:b"),"土地成本比率",INDIRECT("'"&amp;D33&amp;"'"&amp;"!c:c"))))</f>
        <v>0.877</v>
      </c>
      <c r="E34" s="2451" t="s">
        <v>2163</v>
      </c>
      <c r="F34" s="1731"/>
      <c r="G34" s="138"/>
      <c r="H34" s="138"/>
      <c r="I34" s="138"/>
    </row>
    <row r="35" spans="1:15" ht="15.75" thickBot="1">
      <c r="A35" s="2452"/>
      <c r="B35" s="2453" t="s">
        <v>2164</v>
      </c>
      <c r="C35" s="1443">
        <f ca="1">IF(C33="自定义",F35,ROUND(C32*D35,0))</f>
        <v>1638</v>
      </c>
      <c r="D35" s="1444">
        <f ca="1">IF(C33="自定义",ROUND(C35/C32,3),IF(C33="收益比率",SUMIF(INDIRECT("'"&amp;D33&amp;"'"&amp;"!b:b"),"建筑物收益比率",INDIRECT("'"&amp;D33&amp;"'"&amp;"!c:c")),SUMIF(INDIRECT("'"&amp;D33&amp;"'"&amp;"!b:b"),"建筑物成本比率",INDIRECT("'"&amp;D33&amp;"'"&amp;"!c:c"))))</f>
        <v>0.123</v>
      </c>
      <c r="E35" s="2454" t="s">
        <v>2165</v>
      </c>
      <c r="F35" s="163"/>
      <c r="G35" s="138"/>
      <c r="H35" s="138"/>
      <c r="I35" s="138"/>
    </row>
    <row r="36" spans="1:15" ht="15.75" thickBot="1">
      <c r="A36" s="3193" t="s">
        <v>2166</v>
      </c>
      <c r="B36" s="2455" t="s">
        <v>2167</v>
      </c>
      <c r="C36" s="154"/>
      <c r="D36" s="2456"/>
      <c r="E36" s="2457"/>
      <c r="F36" s="2458"/>
      <c r="G36" s="138"/>
      <c r="H36" s="138"/>
      <c r="I36" s="138"/>
    </row>
    <row r="37" spans="1:15" ht="15.75" thickBot="1">
      <c r="A37" s="3194"/>
      <c r="B37" s="2260" t="s">
        <v>2168</v>
      </c>
      <c r="C37" s="156"/>
      <c r="D37" s="1394"/>
      <c r="E37" s="1394"/>
      <c r="F37" s="2458"/>
      <c r="G37" s="138"/>
      <c r="H37" s="138"/>
      <c r="I37" s="138"/>
    </row>
    <row r="38" spans="1:15" ht="15.75" thickBot="1">
      <c r="A38" s="3195"/>
      <c r="B38" s="2459" t="s">
        <v>2169</v>
      </c>
      <c r="C38" s="726"/>
      <c r="D38" s="2460" t="s">
        <v>2170</v>
      </c>
      <c r="E38" s="1394"/>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c r="A44" s="2468" t="s">
        <v>2178</v>
      </c>
      <c r="B44" s="2469"/>
      <c r="C44" s="2469"/>
      <c r="D44" s="2470"/>
      <c r="E44" s="2470"/>
      <c r="F44" s="2471"/>
      <c r="G44" s="2471"/>
      <c r="H44" s="2471"/>
      <c r="I44" s="2471"/>
      <c r="J44" s="2472" t="s">
        <v>2179</v>
      </c>
      <c r="K44" s="2473"/>
      <c r="L44" s="2473"/>
      <c r="M44" s="2473"/>
      <c r="N44" s="2473"/>
      <c r="O44" s="2473"/>
    </row>
    <row r="45" spans="1:15" ht="14.25" customHeight="1" thickBot="1">
      <c r="A45" s="3210" t="s">
        <v>2180</v>
      </c>
      <c r="B45" s="3211"/>
      <c r="C45" s="3212"/>
      <c r="D45" s="164">
        <f ca="1">ROUND(H101*F45,0)</f>
        <v>13321</v>
      </c>
      <c r="E45" s="165" t="s">
        <v>2181</v>
      </c>
      <c r="F45" s="166">
        <v>1</v>
      </c>
      <c r="G45" s="167" t="s">
        <v>2182</v>
      </c>
      <c r="H45" s="138"/>
      <c r="I45" s="138"/>
      <c r="J45" s="3129" t="s">
        <v>2183</v>
      </c>
      <c r="K45" s="3129"/>
      <c r="L45" s="3129"/>
      <c r="M45" s="3129"/>
      <c r="N45" s="3129"/>
      <c r="O45" s="3129"/>
    </row>
    <row r="46" spans="1:15" ht="14.25" customHeight="1">
      <c r="A46" s="3207" t="s">
        <v>2184</v>
      </c>
      <c r="B46" s="3208"/>
      <c r="C46" s="3208"/>
      <c r="D46" s="3208"/>
      <c r="E46" s="3208"/>
      <c r="F46" s="3208"/>
      <c r="G46" s="3209"/>
      <c r="H46" s="2474"/>
      <c r="I46" s="168"/>
      <c r="J46" s="1803">
        <v>1</v>
      </c>
      <c r="K46" s="3129" t="s">
        <v>2185</v>
      </c>
      <c r="L46" s="3129"/>
      <c r="M46" s="3130"/>
      <c r="N46" s="3130"/>
      <c r="O46" s="3130"/>
    </row>
    <row r="47" spans="1:15" ht="12" customHeight="1">
      <c r="A47" s="169" t="s">
        <v>2186</v>
      </c>
      <c r="B47" s="170"/>
      <c r="C47" s="171"/>
      <c r="D47" s="172" t="s">
        <v>2187</v>
      </c>
      <c r="E47" s="24" t="s">
        <v>2188</v>
      </c>
      <c r="F47" s="173" t="s">
        <v>2189</v>
      </c>
      <c r="G47" s="174" t="s">
        <v>2190</v>
      </c>
      <c r="H47" s="2474"/>
      <c r="I47" s="168"/>
      <c r="J47" s="1803">
        <v>2</v>
      </c>
      <c r="K47" s="3129" t="s">
        <v>2191</v>
      </c>
      <c r="L47" s="3129"/>
      <c r="M47" s="3131">
        <f>'数据-取费表'!B2</f>
        <v>43957</v>
      </c>
      <c r="N47" s="3131"/>
      <c r="O47" s="3131"/>
    </row>
    <row r="48" spans="1:15" ht="25.5">
      <c r="A48" s="3197" t="s">
        <v>2192</v>
      </c>
      <c r="B48" s="3198"/>
      <c r="C48" s="3198"/>
      <c r="D48" s="140">
        <f>IF(H48="情况1",0,IF(H48="情况2",D52,IF(H48="情况3",D53,IF(H48="情况4",D54))))</f>
        <v>0</v>
      </c>
      <c r="E48" s="1792" t="str">
        <f>IF(H48="情况4","(销售额-原购置价)×税（费）率","销售额×税（费）率")</f>
        <v>销售额×税（费）率</v>
      </c>
      <c r="F48" s="175" t="str">
        <f>IF(H48="情况1","免征",'数据-取费表'!B41)</f>
        <v>免征</v>
      </c>
      <c r="G48" s="2475" t="s">
        <v>2193</v>
      </c>
      <c r="H48" s="2476" t="s">
        <v>2194</v>
      </c>
      <c r="I48" s="2474"/>
      <c r="J48" s="1803">
        <v>3</v>
      </c>
      <c r="K48" s="3129" t="s">
        <v>2195</v>
      </c>
      <c r="L48" s="3129"/>
      <c r="M48" s="3132">
        <f ca="1">H101</f>
        <v>13321</v>
      </c>
      <c r="N48" s="3132"/>
      <c r="O48" s="3132"/>
    </row>
    <row r="49" spans="1:35" ht="25.5" customHeight="1">
      <c r="A49" s="176" t="s">
        <v>2196</v>
      </c>
      <c r="B49" s="3177" t="s">
        <v>2197</v>
      </c>
      <c r="C49" s="3177"/>
      <c r="D49" s="177">
        <v>0</v>
      </c>
      <c r="E49" s="23" t="s">
        <v>2198</v>
      </c>
      <c r="F49" s="28" t="s">
        <v>34</v>
      </c>
      <c r="G49" s="3158"/>
      <c r="H49" s="138"/>
      <c r="I49" s="2477"/>
      <c r="J49" s="1803">
        <v>4</v>
      </c>
      <c r="K49" s="3129" t="str">
        <f>IF(项目基本情况!E8="房地产抵押价值","房地产抵押价值","抵押担保权已注销时的房地产抵押价值")</f>
        <v>抵押担保权已注销时的房地产抵押价值</v>
      </c>
      <c r="L49" s="3129"/>
      <c r="M49" s="3132" t="str">
        <f>IF(项目基本情况!E8="房地产抵押价值",H107,H109)</f>
        <v>——</v>
      </c>
      <c r="N49" s="3132"/>
      <c r="O49" s="3132"/>
    </row>
    <row r="50" spans="1:35" ht="25.5" customHeight="1">
      <c r="A50" s="178"/>
      <c r="B50" s="3177" t="s">
        <v>2199</v>
      </c>
      <c r="C50" s="3177"/>
      <c r="D50" s="179"/>
      <c r="E50" s="31"/>
      <c r="F50" s="180"/>
      <c r="G50" s="3159"/>
      <c r="H50" s="138"/>
      <c r="I50" s="2477"/>
      <c r="J50" s="3129" t="s">
        <v>2200</v>
      </c>
      <c r="K50" s="3129"/>
      <c r="L50" s="3129"/>
      <c r="M50" s="3129"/>
      <c r="N50" s="3129"/>
      <c r="O50" s="3129"/>
    </row>
    <row r="51" spans="1:35" ht="12" customHeight="1">
      <c r="A51" s="181"/>
      <c r="B51" s="3177" t="s">
        <v>2201</v>
      </c>
      <c r="C51" s="3177"/>
      <c r="D51" s="182"/>
      <c r="E51" s="30"/>
      <c r="F51" s="180"/>
      <c r="G51" s="3160"/>
      <c r="H51" s="138"/>
      <c r="I51" s="2477"/>
      <c r="J51" s="2478" t="s">
        <v>2202</v>
      </c>
      <c r="K51" s="3129" t="s">
        <v>2203</v>
      </c>
      <c r="L51" s="3129"/>
      <c r="M51" s="2478" t="s">
        <v>2204</v>
      </c>
      <c r="N51" s="2478" t="s">
        <v>2205</v>
      </c>
      <c r="O51" s="2478" t="s">
        <v>2206</v>
      </c>
    </row>
    <row r="52" spans="1:35" ht="24" customHeight="1">
      <c r="A52" s="183" t="s">
        <v>2207</v>
      </c>
      <c r="B52" s="3177" t="s">
        <v>2208</v>
      </c>
      <c r="C52" s="3177"/>
      <c r="D52" s="182">
        <f ca="1">ROUND(D45*'数据-取费表'!B41/(1+'数据-取费表'!C42),0)</f>
        <v>710</v>
      </c>
      <c r="E52" s="11" t="s">
        <v>2209</v>
      </c>
      <c r="F52" s="184">
        <f>'数据-取费表'!B41</f>
        <v>5.6000000000000001E-2</v>
      </c>
      <c r="G52" s="2479"/>
      <c r="H52" s="138"/>
      <c r="I52" s="2477"/>
      <c r="J52" s="1803">
        <v>1</v>
      </c>
      <c r="K52" s="3152" t="s">
        <v>2210</v>
      </c>
      <c r="L52" s="3152"/>
      <c r="M52" s="1746">
        <f>D48</f>
        <v>0</v>
      </c>
      <c r="N52" s="1803" t="str">
        <f>E48</f>
        <v>销售额×税（费）率</v>
      </c>
      <c r="O52" s="1747" t="str">
        <f>F48</f>
        <v>免征</v>
      </c>
    </row>
    <row r="53" spans="1:35" ht="12" customHeight="1">
      <c r="A53" s="183" t="s">
        <v>2211</v>
      </c>
      <c r="B53" s="3178" t="s">
        <v>2212</v>
      </c>
      <c r="C53" s="3179"/>
      <c r="D53" s="182">
        <f ca="1">ROUND(D45*'数据-取费表'!B41/(1+'数据-取费表'!C42),0)</f>
        <v>710</v>
      </c>
      <c r="E53" s="11" t="s">
        <v>2209</v>
      </c>
      <c r="F53" s="184">
        <f>'数据-取费表'!B41</f>
        <v>5.6000000000000001E-2</v>
      </c>
      <c r="G53" s="2479"/>
      <c r="H53" s="138"/>
      <c r="I53" s="2477"/>
      <c r="J53" s="1803">
        <v>2</v>
      </c>
      <c r="K53" s="3152" t="s">
        <v>2213</v>
      </c>
      <c r="L53" s="3152"/>
      <c r="M53" s="1746">
        <f t="shared" ref="M53:O54" ca="1" si="0">D55</f>
        <v>7</v>
      </c>
      <c r="N53" s="1803" t="str">
        <f t="shared" si="0"/>
        <v>销售额×税（费）率</v>
      </c>
      <c r="O53" s="1747">
        <f t="shared" si="0"/>
        <v>5.0000000000000001E-4</v>
      </c>
    </row>
    <row r="54" spans="1:35" ht="12" customHeight="1">
      <c r="A54" s="183" t="s">
        <v>2214</v>
      </c>
      <c r="B54" s="3178" t="s">
        <v>2215</v>
      </c>
      <c r="C54" s="3179"/>
      <c r="D54" s="182">
        <f ca="1">C68</f>
        <v>710</v>
      </c>
      <c r="E54" s="30" t="s">
        <v>2216</v>
      </c>
      <c r="F54" s="184">
        <f>'数据-取费表'!B41</f>
        <v>5.6000000000000001E-2</v>
      </c>
      <c r="G54" s="2479"/>
      <c r="H54" s="2480"/>
      <c r="I54" s="2477"/>
      <c r="J54" s="1803">
        <v>3</v>
      </c>
      <c r="K54" s="3152" t="s">
        <v>2217</v>
      </c>
      <c r="L54" s="3152"/>
      <c r="M54" s="1746">
        <f t="shared" ca="1" si="0"/>
        <v>7540</v>
      </c>
      <c r="N54" s="1803" t="str">
        <f t="shared" si="0"/>
        <v>增值额×税（费）率</v>
      </c>
      <c r="O54" s="1748" t="str">
        <f t="shared" si="0"/>
        <v>——</v>
      </c>
    </row>
    <row r="55" spans="1:35" ht="24" customHeight="1">
      <c r="A55" s="3216" t="s">
        <v>2218</v>
      </c>
      <c r="B55" s="3198"/>
      <c r="C55" s="3198"/>
      <c r="D55" s="185">
        <f ca="1">IF(H55="个人住宅",0,ROUND(D45*I55,0))</f>
        <v>7</v>
      </c>
      <c r="E55" s="11" t="s">
        <v>2219</v>
      </c>
      <c r="F55" s="184">
        <f>IF(H55="正常",I55,"免征")</f>
        <v>5.0000000000000001E-4</v>
      </c>
      <c r="G55" s="2479"/>
      <c r="H55" s="2476" t="s">
        <v>2220</v>
      </c>
      <c r="I55" s="186">
        <f>'数据-取费表'!B49</f>
        <v>5.0000000000000001E-4</v>
      </c>
      <c r="J55" s="1803" t="str">
        <f>IF(H59="非个人房产","",4)</f>
        <v/>
      </c>
      <c r="K55" s="3152" t="str">
        <f>IF(H59="非个人房产","——","个人所得税")</f>
        <v>——</v>
      </c>
      <c r="L55" s="3152"/>
      <c r="M55" s="1749" t="str">
        <f>D59</f>
        <v>——</v>
      </c>
      <c r="N55" s="1801" t="str">
        <f>E59</f>
        <v>——</v>
      </c>
      <c r="O55" s="1750" t="str">
        <f>F59</f>
        <v>——</v>
      </c>
    </row>
    <row r="56" spans="1:35" ht="24.75">
      <c r="A56" s="3216" t="s">
        <v>2221</v>
      </c>
      <c r="B56" s="3198"/>
      <c r="C56" s="3198"/>
      <c r="D56" s="185">
        <f ca="1">IF(H56="个人住宅",D57,D58)</f>
        <v>7540</v>
      </c>
      <c r="E56" s="11" t="s">
        <v>2222</v>
      </c>
      <c r="F56" s="184" t="str">
        <f>IF(H56="正常",F58,"免征")</f>
        <v>——</v>
      </c>
      <c r="G56" s="2481" t="s">
        <v>2223</v>
      </c>
      <c r="H56" s="2482" t="s">
        <v>2220</v>
      </c>
      <c r="I56" s="2483"/>
      <c r="J56" s="1803" t="str">
        <f>IF(项目基本情况!K6="上海银行",IF(J55="",4,J55+1),"")</f>
        <v/>
      </c>
      <c r="K56" s="3135" t="str">
        <f>IF(项目基本情况!K6="上海银行","其他处置费用","")</f>
        <v/>
      </c>
      <c r="L56" s="3136"/>
      <c r="M56" s="1746" t="str">
        <f>IF(项目基本情况!K6="上海银行",M69,"")</f>
        <v/>
      </c>
      <c r="N56" s="3138" t="str">
        <f>IF(项目基本情况!K6="上海银行","包含处置中涉及的律师、诉讼、拍卖、评估等费用","")</f>
        <v/>
      </c>
      <c r="O56" s="3139"/>
    </row>
    <row r="57" spans="1:35" ht="12.75">
      <c r="A57" s="183" t="s">
        <v>2196</v>
      </c>
      <c r="B57" s="3183" t="s">
        <v>2224</v>
      </c>
      <c r="C57" s="3184"/>
      <c r="D57" s="187">
        <v>0</v>
      </c>
      <c r="E57" s="23" t="s">
        <v>2198</v>
      </c>
      <c r="F57" s="155"/>
      <c r="G57" s="2479"/>
      <c r="H57" s="2483"/>
      <c r="I57" s="2483"/>
      <c r="J57" s="3152">
        <f>IF(AND(J55="",J56=""),4,IF(项目基本情况!K6="上海银行",结果表!J56+1,结果表!J55+1))</f>
        <v>4</v>
      </c>
      <c r="K57" s="3152" t="s">
        <v>2225</v>
      </c>
      <c r="L57" s="2484" t="s">
        <v>2226</v>
      </c>
      <c r="M57" s="1751"/>
      <c r="N57" s="1752">
        <f ca="1">SUMIF(M52:M56,"&lt;9e307")</f>
        <v>7547</v>
      </c>
      <c r="O57" s="2485"/>
      <c r="P57" s="1745" t="e">
        <f ca="1">N57/M49</f>
        <v>#VALUE!</v>
      </c>
    </row>
    <row r="58" spans="1:35" ht="24.75">
      <c r="A58" s="183" t="s">
        <v>2207</v>
      </c>
      <c r="B58" s="3183" t="s">
        <v>2227</v>
      </c>
      <c r="C58" s="3196"/>
      <c r="D58" s="185">
        <f ca="1">IF(H58="转让取得",C81,C97)</f>
        <v>7540</v>
      </c>
      <c r="E58" s="11" t="s">
        <v>2222</v>
      </c>
      <c r="F58" s="24" t="s">
        <v>34</v>
      </c>
      <c r="G58" s="2479"/>
      <c r="H58" s="2482" t="s">
        <v>2228</v>
      </c>
      <c r="I58" s="2483"/>
      <c r="J58" s="3152"/>
      <c r="K58" s="3152"/>
      <c r="L58" s="2484" t="s">
        <v>2229</v>
      </c>
      <c r="M58" s="1753"/>
      <c r="N58" s="2486" t="str">
        <f ca="1">NUMBERSTRING(INT(N57*10000),2)&amp;"元整"</f>
        <v>柒仟伍佰肆拾柒万元整</v>
      </c>
      <c r="O58" s="2487"/>
    </row>
    <row r="59" spans="1:35" ht="24.75" thickBot="1">
      <c r="A59" s="3156" t="s">
        <v>2230</v>
      </c>
      <c r="B59" s="3157"/>
      <c r="C59" s="3157"/>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54">
        <f>J57+1</f>
        <v>5</v>
      </c>
      <c r="K59" s="3152" t="s">
        <v>2232</v>
      </c>
      <c r="L59" s="1803" t="s">
        <v>2226</v>
      </c>
      <c r="M59" s="1754"/>
      <c r="N59" s="1755" t="e">
        <f ca="1">M49-N57</f>
        <v>#VALUE!</v>
      </c>
      <c r="O59" s="2489"/>
    </row>
    <row r="60" spans="1:35" ht="12" customHeight="1">
      <c r="A60" s="2490"/>
      <c r="B60" s="2412"/>
      <c r="C60" s="2412"/>
      <c r="D60" s="2412"/>
      <c r="E60" s="2159"/>
      <c r="F60" s="2483"/>
      <c r="G60" s="2483"/>
      <c r="H60" s="2491"/>
      <c r="I60" s="138"/>
      <c r="J60" s="3155"/>
      <c r="K60" s="3152"/>
      <c r="L60" s="2484" t="s">
        <v>2229</v>
      </c>
      <c r="M60" s="1753"/>
      <c r="N60" s="2486" t="e">
        <f ca="1">NUMBERSTRING(INT(N59*10000),2)&amp;"元整"</f>
        <v>#VALUE!</v>
      </c>
      <c r="O60" s="2487"/>
    </row>
    <row r="61" spans="1:35" ht="13.5" thickBot="1">
      <c r="A61" s="3215" t="s">
        <v>2233</v>
      </c>
      <c r="B61" s="3215"/>
      <c r="C61" s="3215"/>
      <c r="D61" s="3215"/>
      <c r="E61" s="3215"/>
      <c r="F61" s="2483"/>
      <c r="G61" s="2483"/>
      <c r="H61" s="2491"/>
      <c r="I61" s="138"/>
      <c r="J61" s="1803">
        <f>J59+1</f>
        <v>6</v>
      </c>
      <c r="K61" s="3152" t="s">
        <v>2234</v>
      </c>
      <c r="L61" s="3152"/>
      <c r="M61" s="1756"/>
      <c r="N61" s="1757" t="e">
        <f ca="1">ROUND(N59*10000/'数据-汇总表'!E3,0)</f>
        <v>#VALUE!</v>
      </c>
      <c r="O61" s="2492"/>
    </row>
    <row r="62" spans="1:35" ht="12.75">
      <c r="A62" s="3172" t="s">
        <v>2235</v>
      </c>
      <c r="B62" s="3173"/>
      <c r="C62" s="1795"/>
      <c r="D62" s="1795" t="s">
        <v>2236</v>
      </c>
      <c r="E62" s="192" t="s">
        <v>2237</v>
      </c>
      <c r="F62" s="2483"/>
      <c r="G62" s="2483"/>
      <c r="H62" s="2491"/>
      <c r="I62" s="138"/>
    </row>
    <row r="63" spans="1:35" ht="12.75">
      <c r="A63" s="203" t="s">
        <v>775</v>
      </c>
      <c r="B63" s="193" t="s">
        <v>2238</v>
      </c>
      <c r="C63" s="194">
        <f ca="1">ROUND((C64+C65)/(1+'数据-取费表'!C42),0)</f>
        <v>12687</v>
      </c>
      <c r="D63" s="195"/>
      <c r="E63" s="196"/>
      <c r="F63" s="2483"/>
      <c r="G63" s="2483"/>
      <c r="H63" s="2491"/>
      <c r="I63" s="138"/>
      <c r="J63" s="3137" t="s">
        <v>2239</v>
      </c>
      <c r="K63" s="2493" t="s">
        <v>2240</v>
      </c>
      <c r="L63" s="1744" t="e">
        <f>IF(M49&gt;10000,M49*0.5%,IF(AND(M49&gt;1000,M49&lt;=10000),M49*1%,IF(AND(M49&gt;100,M49&lt;=1000),M49*3%,IF(AND(M49&gt;10,M49&lt;=100),M49*5%,M49*8%))))</f>
        <v>#VALUE!</v>
      </c>
      <c r="M63" s="24" t="e">
        <f>ROUND(L63,1)</f>
        <v>#VALUE!</v>
      </c>
      <c r="Z63" s="2417"/>
      <c r="AI63" s="2418"/>
    </row>
    <row r="64" spans="1:35" ht="14.25" customHeight="1">
      <c r="A64" s="197" t="s">
        <v>770</v>
      </c>
      <c r="B64" s="198" t="s">
        <v>2241</v>
      </c>
      <c r="C64" s="199">
        <f ca="1">D45</f>
        <v>13321</v>
      </c>
      <c r="D64" s="200" t="s">
        <v>32</v>
      </c>
      <c r="E64" s="201"/>
      <c r="F64" s="2483"/>
      <c r="G64" s="2483"/>
      <c r="H64" s="2491"/>
      <c r="I64" s="138"/>
      <c r="J64" s="3137"/>
      <c r="K64" s="2493"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7"/>
      <c r="AI64" s="2418"/>
    </row>
    <row r="65" spans="1:35" ht="14.25" customHeight="1">
      <c r="A65" s="197" t="s">
        <v>771</v>
      </c>
      <c r="B65" s="198" t="s">
        <v>2244</v>
      </c>
      <c r="C65" s="202"/>
      <c r="D65" s="200"/>
      <c r="E65" s="201"/>
      <c r="F65" s="2483"/>
      <c r="G65" s="2483"/>
      <c r="H65" s="2491"/>
      <c r="I65" s="138"/>
      <c r="J65" s="3137"/>
      <c r="K65" s="2493" t="s">
        <v>2245</v>
      </c>
      <c r="L65" s="1744" t="e">
        <f>IF(M49&gt;1000,M49*0.1%,IF(AND(M49&gt;500,M49&lt;=1000),M49*0.5%,IF(AND(M49&gt;50,M49&lt;=500),M49*1%,IF(AND(M49&gt;1,M49&lt;=50),M49*1.5%))))</f>
        <v>#VALUE!</v>
      </c>
      <c r="M65" s="24" t="e">
        <f t="shared" si="1"/>
        <v>#VALUE!</v>
      </c>
      <c r="N65" s="138" t="s">
        <v>2243</v>
      </c>
      <c r="Z65" s="2417"/>
      <c r="AI65" s="2418"/>
    </row>
    <row r="66" spans="1:35" ht="14.25" customHeight="1">
      <c r="A66" s="203" t="s">
        <v>772</v>
      </c>
      <c r="B66" s="204" t="s">
        <v>2246</v>
      </c>
      <c r="C66" s="205"/>
      <c r="D66" s="206" t="s">
        <v>32</v>
      </c>
      <c r="E66" s="1768" t="s">
        <v>1367</v>
      </c>
      <c r="F66" s="2483"/>
      <c r="G66" s="2483"/>
      <c r="H66" s="2491"/>
      <c r="I66" s="138"/>
      <c r="J66" s="3137"/>
      <c r="K66" s="2493" t="s">
        <v>2247</v>
      </c>
      <c r="L66" s="1744" t="e">
        <f>M49*0.5%</f>
        <v>#VALUE!</v>
      </c>
      <c r="M66" s="24" t="e">
        <f>IF(L66&gt;0.5,0.5,ROUND(L66,0))</f>
        <v>#VALUE!</v>
      </c>
      <c r="N66" s="138" t="s">
        <v>2248</v>
      </c>
      <c r="Z66" s="2417"/>
      <c r="AI66" s="2418"/>
    </row>
    <row r="67" spans="1:35" ht="14.25" customHeight="1">
      <c r="A67" s="203" t="s">
        <v>773</v>
      </c>
      <c r="B67" s="204" t="s">
        <v>2249</v>
      </c>
      <c r="C67" s="207">
        <f ca="1">C63-C66</f>
        <v>12687</v>
      </c>
      <c r="D67" s="200" t="s">
        <v>32</v>
      </c>
      <c r="E67" s="201"/>
      <c r="F67" s="2483"/>
      <c r="G67" s="2483"/>
      <c r="H67" s="2491"/>
      <c r="I67" s="138"/>
      <c r="J67" s="3137"/>
      <c r="K67" s="2493"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c r="A68" s="208" t="s">
        <v>774</v>
      </c>
      <c r="B68" s="209" t="s">
        <v>2251</v>
      </c>
      <c r="C68" s="210">
        <f ca="1">IF(C67&lt;=0,0,ROUND(C67*D68,0))</f>
        <v>710</v>
      </c>
      <c r="D68" s="211">
        <f>'数据-取费表'!B41</f>
        <v>5.6000000000000001E-2</v>
      </c>
      <c r="E68" s="212"/>
      <c r="F68" s="2483"/>
      <c r="G68" s="2483"/>
      <c r="H68" s="2491"/>
      <c r="I68" s="138"/>
      <c r="J68" s="3137"/>
      <c r="K68" s="2493" t="s">
        <v>2252</v>
      </c>
      <c r="L68" s="1744" t="e">
        <f>IF(M49&gt;10000,M49*0.5%,IF(AND(M49&gt;5000,M49&lt;=10000),M49*1%,IF(AND(M49&gt;1000,M49&lt;=5000),M49*2%,IF(AND(M49&gt;200,M49&lt;=1000),M49*3%,M49*5%))))</f>
        <v>#VALUE!</v>
      </c>
      <c r="M68" s="24" t="e">
        <f>ROUND(L68,1)</f>
        <v>#VALUE!</v>
      </c>
      <c r="Z68" s="2417"/>
      <c r="AI68" s="2418"/>
    </row>
    <row r="69" spans="1:35" s="2440" customFormat="1" ht="16.5" customHeight="1">
      <c r="A69" s="2494"/>
      <c r="B69" s="2495"/>
      <c r="C69" s="2496"/>
      <c r="D69" s="2497"/>
      <c r="E69" s="2498"/>
      <c r="F69" s="2159"/>
      <c r="G69" s="2159"/>
      <c r="H69" s="2158"/>
      <c r="I69" s="2412"/>
      <c r="J69" s="3137"/>
      <c r="K69" s="2493" t="s">
        <v>2253</v>
      </c>
      <c r="L69" s="2499"/>
      <c r="M69" s="24" t="e">
        <f>ROUND(SUM(M63:M68),0)</f>
        <v>#VALUE!</v>
      </c>
      <c r="N69" s="1745" t="e">
        <f>M69/M49</f>
        <v>#VALUE!</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81" t="s">
        <v>2254</v>
      </c>
      <c r="B70" s="3182"/>
      <c r="C70" s="3182"/>
      <c r="D70" s="3182"/>
      <c r="E70" s="3182"/>
      <c r="F70" s="3182"/>
      <c r="G70" s="3182"/>
      <c r="H70" s="318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72" t="s">
        <v>2235</v>
      </c>
      <c r="B71" s="3173"/>
      <c r="C71" s="1795"/>
      <c r="D71" s="1795"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2255</v>
      </c>
      <c r="C72" s="207">
        <f ca="1">ROUND(D45/(1+'数据-取费表'!C42),0)</f>
        <v>12687</v>
      </c>
      <c r="D72" s="200" t="s">
        <v>32</v>
      </c>
      <c r="E72" s="1794"/>
      <c r="F72" s="1788"/>
      <c r="G72" s="1788"/>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2256</v>
      </c>
      <c r="C73" s="207">
        <f ca="1">C74+C78</f>
        <v>76</v>
      </c>
      <c r="D73" s="200" t="s">
        <v>32</v>
      </c>
      <c r="E73" s="1794"/>
      <c r="F73" s="1788"/>
      <c r="G73" s="1788"/>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2257</v>
      </c>
      <c r="C74" s="200">
        <f>ROUND(IF(G77="2016年5月1日后购买",C75/(1+'数据-取费表'!C42)+C76+C77,C75+C76+C77),0)</f>
        <v>0</v>
      </c>
      <c r="D74" s="200" t="s">
        <v>32</v>
      </c>
      <c r="E74" s="1794"/>
      <c r="F74" s="1788"/>
      <c r="G74" s="1788"/>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2262</v>
      </c>
      <c r="C76" s="200">
        <f>IF(F75="购房发票",ROUND(C75*H75*D76,0),0)</f>
        <v>0</v>
      </c>
      <c r="D76" s="222">
        <v>0.05</v>
      </c>
      <c r="E76" s="3178" t="s">
        <v>2263</v>
      </c>
      <c r="F76" s="3177"/>
      <c r="G76" s="3177"/>
      <c r="H76" s="318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79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2267</v>
      </c>
      <c r="C78" s="225">
        <f ca="1">ROUND(D45*D78/(1+'数据-取费表'!C42),0)</f>
        <v>76</v>
      </c>
      <c r="D78" s="226">
        <f>'数据-取费表'!B43</f>
        <v>6.000000000000001E-3</v>
      </c>
      <c r="E78" s="3169" t="s">
        <v>2268</v>
      </c>
      <c r="F78" s="3170"/>
      <c r="G78" s="3170"/>
      <c r="H78" s="317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2269</v>
      </c>
      <c r="C79" s="207">
        <f ca="1">C72-C73</f>
        <v>12611</v>
      </c>
      <c r="D79" s="200" t="s">
        <v>32</v>
      </c>
      <c r="E79" s="1794"/>
      <c r="F79" s="1788"/>
      <c r="G79" s="1788"/>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2270</v>
      </c>
      <c r="C80" s="227">
        <f ca="1">IF(C79&lt;=0,0,C79/C73)</f>
        <v>165.93421052631578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2271</v>
      </c>
      <c r="C81" s="228">
        <f ca="1">ROUND(IF(C79&lt;=0,0,IF(C80&gt;=200%,C79*60%-C73*35%,IF(C80&gt;=100%,C79*50%-C73*15%,IF(C80&gt;=50%,C79*40%-C73*5%,IF(C80&lt;50%,C79*30%,0))))),0)</f>
        <v>7540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81" t="s">
        <v>2272</v>
      </c>
      <c r="B83" s="3182"/>
      <c r="C83" s="3182"/>
      <c r="D83" s="3182"/>
      <c r="E83" s="3182"/>
      <c r="F83" s="3182"/>
      <c r="G83" s="3182"/>
      <c r="H83" s="318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72" t="s">
        <v>2235</v>
      </c>
      <c r="B84" s="3173"/>
      <c r="C84" s="1795"/>
      <c r="D84" s="1795"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2255</v>
      </c>
      <c r="C85" s="207">
        <f ca="1">ROUND(D45/(1+'数据-取费表'!C42),0)</f>
        <v>12687</v>
      </c>
      <c r="D85" s="200" t="s">
        <v>32</v>
      </c>
      <c r="E85" s="1794"/>
      <c r="F85" s="1788"/>
      <c r="G85" s="1788"/>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2256</v>
      </c>
      <c r="C86" s="207">
        <f ca="1">IF(H88="仅含出让金",C87+C90+C91+C92+C93+C94,C87+C91+C92+C93+C94)</f>
        <v>76</v>
      </c>
      <c r="D86" s="235"/>
      <c r="E86" s="1794"/>
      <c r="F86" s="1788"/>
      <c r="G86" s="1788"/>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2273</v>
      </c>
      <c r="C87" s="225">
        <f>C88+C89</f>
        <v>0</v>
      </c>
      <c r="D87" s="226"/>
      <c r="E87" s="1790"/>
      <c r="F87" s="1791"/>
      <c r="G87" s="1791"/>
      <c r="H87" s="1793"/>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2274</v>
      </c>
      <c r="C88" s="236"/>
      <c r="D88" s="226"/>
      <c r="E88" s="237" t="s">
        <v>2275</v>
      </c>
      <c r="F88" s="1791"/>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2264</v>
      </c>
      <c r="C89" s="225">
        <f>ROUND(C88*D89,0)</f>
        <v>0</v>
      </c>
      <c r="D89" s="226">
        <f>'数据-取费表'!B48+'数据-取费表'!B49</f>
        <v>3.0499999999999999E-2</v>
      </c>
      <c r="E89" s="237" t="s">
        <v>2277</v>
      </c>
      <c r="F89" s="1791"/>
      <c r="G89" s="1791"/>
      <c r="H89" s="1793"/>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2278</v>
      </c>
      <c r="C90" s="236"/>
      <c r="D90" s="226"/>
      <c r="E90" s="237" t="str">
        <f>IF(H88="-","土地取得成本中已包含该笔费用"," ")</f>
        <v xml:space="preserve"> </v>
      </c>
      <c r="F90" s="1791"/>
      <c r="G90" s="1791"/>
      <c r="H90" s="1793"/>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2279</v>
      </c>
      <c r="B91" s="198" t="s">
        <v>2280</v>
      </c>
      <c r="C91" s="225">
        <f>IF(H91="——",成本法!C33,I91)</f>
        <v>0</v>
      </c>
      <c r="D91" s="226"/>
      <c r="E91" s="3169" t="s">
        <v>2281</v>
      </c>
      <c r="F91" s="3170"/>
      <c r="G91" s="3170"/>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2283</v>
      </c>
      <c r="B92" s="198" t="s">
        <v>2284</v>
      </c>
      <c r="C92" s="225">
        <f>ROUND((C87+C90+C91)*D92,0)</f>
        <v>0</v>
      </c>
      <c r="D92" s="226">
        <v>0.1</v>
      </c>
      <c r="E92" s="3169" t="s">
        <v>2285</v>
      </c>
      <c r="F92" s="3170"/>
      <c r="G92" s="3170"/>
      <c r="H92" s="317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2286</v>
      </c>
      <c r="B93" s="198" t="s">
        <v>2267</v>
      </c>
      <c r="C93" s="225">
        <f ca="1">ROUND(D45*D93/(1+'数据-取费表'!C42),0)</f>
        <v>76</v>
      </c>
      <c r="D93" s="226">
        <f>'数据-取费表'!B43</f>
        <v>6.000000000000001E-3</v>
      </c>
      <c r="E93" s="3169" t="s">
        <v>2268</v>
      </c>
      <c r="F93" s="3170"/>
      <c r="G93" s="3170"/>
      <c r="H93" s="317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2287</v>
      </c>
      <c r="B94" s="198" t="s">
        <v>2288</v>
      </c>
      <c r="C94" s="236">
        <f>ROUND((C87+C90+C91)*D94,0)</f>
        <v>0</v>
      </c>
      <c r="D94" s="226">
        <v>0.2</v>
      </c>
      <c r="E94" s="3217" t="s">
        <v>2289</v>
      </c>
      <c r="F94" s="3218"/>
      <c r="G94" s="3218"/>
      <c r="H94" s="321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2269</v>
      </c>
      <c r="C95" s="207">
        <f ca="1">ROUND(C85-C86,0)</f>
        <v>12611</v>
      </c>
      <c r="D95" s="200" t="s">
        <v>32</v>
      </c>
      <c r="E95" s="1794"/>
      <c r="F95" s="1788"/>
      <c r="G95" s="1788"/>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2270</v>
      </c>
      <c r="C96" s="227">
        <f ca="1">IF(C95&lt;=0,0,C95/C86)</f>
        <v>165.93421052631578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2271</v>
      </c>
      <c r="C97" s="228">
        <f ca="1">ROUND(IF(C95&lt;=0,0,IF(C96&gt;=200%,C95*60%-C86*35%,IF(C96&gt;=100%,C95*50%-C86*15%,IF(C96&gt;=50%,C95*40%-C86*5%,IF(C96&lt;50%,C95*30%,0))))),0)</f>
        <v>7540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2290</v>
      </c>
      <c r="B99" s="2412"/>
      <c r="C99" s="2412"/>
      <c r="D99" s="2412"/>
      <c r="E99" s="2159"/>
      <c r="F99" s="2159"/>
      <c r="G99" s="2159"/>
      <c r="H99" s="2158"/>
      <c r="I99" s="138"/>
    </row>
    <row r="100" spans="1:35" ht="18.75" customHeight="1">
      <c r="A100" s="3121" t="s">
        <v>2291</v>
      </c>
      <c r="B100" s="3122"/>
      <c r="C100" s="3122"/>
      <c r="D100" s="3153"/>
      <c r="E100" s="3122" t="s">
        <v>2292</v>
      </c>
      <c r="F100" s="3122"/>
      <c r="G100" s="3122"/>
      <c r="H100" s="3153"/>
      <c r="I100" s="138"/>
    </row>
    <row r="101" spans="1:35" ht="18.75" customHeight="1">
      <c r="A101" s="3161" t="s">
        <v>2293</v>
      </c>
      <c r="B101" s="3162"/>
      <c r="C101" s="735" t="str">
        <f>C4</f>
        <v>典型户型修正</v>
      </c>
      <c r="D101" s="736" t="str">
        <f>D4</f>
        <v>收益法-自用</v>
      </c>
      <c r="E101" s="3133" t="s">
        <v>2294</v>
      </c>
      <c r="F101" s="3134"/>
      <c r="G101" s="2514" t="s">
        <v>2295</v>
      </c>
      <c r="H101" s="1047">
        <f ca="1">H118</f>
        <v>13321</v>
      </c>
      <c r="I101" s="138"/>
    </row>
    <row r="102" spans="1:35" ht="18.75" customHeight="1">
      <c r="A102" s="3163" t="s">
        <v>2296</v>
      </c>
      <c r="B102" s="2514" t="s">
        <v>2295</v>
      </c>
      <c r="C102" s="735">
        <f ca="1">C19</f>
        <v>14313</v>
      </c>
      <c r="D102" s="736">
        <f ca="1">D19</f>
        <v>12329</v>
      </c>
      <c r="E102" s="3133"/>
      <c r="F102" s="3134"/>
      <c r="G102" s="2514" t="s">
        <v>2297</v>
      </c>
      <c r="H102" s="371">
        <f ca="1">I118</f>
        <v>52727</v>
      </c>
      <c r="I102" s="138"/>
    </row>
    <row r="103" spans="1:35" ht="42.75" customHeight="1">
      <c r="A103" s="3163"/>
      <c r="B103" s="2514" t="s">
        <v>2297</v>
      </c>
      <c r="C103" s="737">
        <f ca="1">C20</f>
        <v>56654</v>
      </c>
      <c r="D103" s="738">
        <f ca="1">D20</f>
        <v>48800</v>
      </c>
      <c r="E103" s="3127" t="s">
        <v>2298</v>
      </c>
      <c r="F103" s="3128"/>
      <c r="G103" s="2515" t="s">
        <v>2299</v>
      </c>
      <c r="H103" s="1047">
        <f>IF(D36="正常操作",H104+H105+H106,H105+H106)</f>
        <v>0</v>
      </c>
      <c r="I103" s="138"/>
    </row>
    <row r="104" spans="1:35" ht="18.75" customHeight="1">
      <c r="A104" s="3163" t="s">
        <v>2300</v>
      </c>
      <c r="B104" s="2516" t="s">
        <v>2295</v>
      </c>
      <c r="C104" s="739">
        <f ca="1">H118</f>
        <v>13321</v>
      </c>
      <c r="D104" s="740"/>
      <c r="E104" s="2260" t="s">
        <v>2301</v>
      </c>
      <c r="F104" s="2251"/>
      <c r="G104" s="2515" t="s">
        <v>2299</v>
      </c>
      <c r="H104" s="1048">
        <f>IF(D36="同一抵押权人同一抵押物续贷",C36&amp;"（未扣减，详见特别提示）",C36)</f>
        <v>0</v>
      </c>
      <c r="I104" s="138"/>
    </row>
    <row r="105" spans="1:35" ht="18.75" customHeight="1" thickBot="1">
      <c r="A105" s="3175"/>
      <c r="B105" s="2517" t="s">
        <v>2297</v>
      </c>
      <c r="C105" s="741">
        <f ca="1">I118</f>
        <v>52727</v>
      </c>
      <c r="D105" s="742"/>
      <c r="E105" s="2260" t="s">
        <v>2302</v>
      </c>
      <c r="F105" s="2251"/>
      <c r="G105" s="2515" t="s">
        <v>2299</v>
      </c>
      <c r="H105" s="1048">
        <f>C37</f>
        <v>0</v>
      </c>
      <c r="I105" s="138"/>
    </row>
    <row r="106" spans="1:35" ht="18.75" customHeight="1">
      <c r="A106" s="2412" t="s">
        <v>2303</v>
      </c>
      <c r="B106" s="2412"/>
      <c r="C106" s="2412"/>
      <c r="D106" s="2412"/>
      <c r="E106" s="2518" t="s">
        <v>2304</v>
      </c>
      <c r="F106" s="2251"/>
      <c r="G106" s="2515" t="s">
        <v>2299</v>
      </c>
      <c r="H106" s="1048">
        <f>C38</f>
        <v>0</v>
      </c>
      <c r="I106" s="138"/>
    </row>
    <row r="107" spans="1:35" ht="18.75" customHeight="1">
      <c r="A107" s="138"/>
      <c r="B107" s="138"/>
      <c r="C107" s="138"/>
      <c r="D107" s="138"/>
      <c r="E107" s="3164" t="str">
        <f>IF(项目基本情况!E8="已注销","——","3.房地产抵押价值")</f>
        <v>3.房地产抵押价值</v>
      </c>
      <c r="F107" s="3134"/>
      <c r="G107" s="2514" t="s">
        <v>2295</v>
      </c>
      <c r="H107" s="1047">
        <f ca="1">IF(E107="——","——",H101-H103)</f>
        <v>13321</v>
      </c>
      <c r="I107" s="138"/>
    </row>
    <row r="108" spans="1:35" ht="18.75" customHeight="1">
      <c r="A108" s="138"/>
      <c r="B108" s="138"/>
      <c r="C108" s="138"/>
      <c r="D108" s="138"/>
      <c r="E108" s="3164"/>
      <c r="F108" s="3134"/>
      <c r="G108" s="2514" t="s">
        <v>2297</v>
      </c>
      <c r="H108" s="371">
        <f ca="1">ROUND(H107*10000/'数据-汇总表'!E3,0)</f>
        <v>52727</v>
      </c>
      <c r="I108" s="138"/>
    </row>
    <row r="109" spans="1:35" ht="18.75" customHeight="1">
      <c r="A109" s="138"/>
      <c r="B109" s="138"/>
      <c r="C109" s="138"/>
      <c r="D109" s="138"/>
      <c r="E109" s="3164" t="str">
        <f>IF(项目基本情况!E8="已注销及未注销","4.抵押担保权已注销时的房地产抵押价值",IF(项目基本情况!E8="已注销","3.抵押担保权已注销时的房地产抵押价值","——"))</f>
        <v>——</v>
      </c>
      <c r="F109" s="3134"/>
      <c r="G109" s="2514" t="s">
        <v>2295</v>
      </c>
      <c r="H109" s="348" t="str">
        <f>IF(E109="——","——",H101-H105-H106)</f>
        <v>——</v>
      </c>
      <c r="I109" s="138"/>
    </row>
    <row r="110" spans="1:35" ht="18.75" customHeight="1">
      <c r="A110" s="138"/>
      <c r="B110" s="138"/>
      <c r="C110" s="138"/>
      <c r="D110" s="138"/>
      <c r="E110" s="3164"/>
      <c r="F110" s="3134"/>
      <c r="G110" s="2514" t="s">
        <v>2297</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4" t="s">
        <v>2295</v>
      </c>
      <c r="H111" s="1047" t="str">
        <f>IF(E111="——","——",N59)</f>
        <v>——</v>
      </c>
      <c r="I111" s="138"/>
    </row>
    <row r="112" spans="1:35" ht="18.75" customHeight="1" thickBot="1">
      <c r="A112" s="138"/>
      <c r="B112" s="138"/>
      <c r="C112" s="138"/>
      <c r="D112" s="138"/>
      <c r="E112" s="3167"/>
      <c r="F112" s="3168"/>
      <c r="G112" s="2519" t="s">
        <v>2297</v>
      </c>
      <c r="H112" s="789" t="str">
        <f>IF(E111="——","——",N61)</f>
        <v>——</v>
      </c>
      <c r="I112" s="138"/>
    </row>
    <row r="113" spans="1:11" ht="18.75" customHeight="1">
      <c r="A113" s="138"/>
      <c r="B113" s="138"/>
      <c r="C113" s="138"/>
      <c r="D113" s="138"/>
      <c r="E113" s="3176" t="s">
        <v>2303</v>
      </c>
      <c r="F113" s="3176"/>
      <c r="G113" s="3176"/>
      <c r="H113" s="3176"/>
      <c r="I113" s="138"/>
    </row>
    <row r="114" spans="1:11" ht="3.75" customHeight="1">
      <c r="A114" s="2412"/>
      <c r="B114" s="2412"/>
      <c r="C114" s="2412"/>
      <c r="D114" s="2412"/>
      <c r="E114" s="2490"/>
      <c r="F114" s="2490"/>
      <c r="G114" s="2490"/>
      <c r="H114" s="2490"/>
      <c r="I114" s="2412"/>
    </row>
    <row r="115" spans="1:11" ht="18.75" customHeight="1">
      <c r="A115" s="3189" t="s">
        <v>2305</v>
      </c>
      <c r="B115" s="3190"/>
      <c r="C115" s="3190"/>
      <c r="D115" s="3190"/>
      <c r="E115" s="3190"/>
      <c r="F115" s="3190"/>
      <c r="G115" s="3190"/>
      <c r="H115" s="3190"/>
      <c r="I115" s="3191"/>
    </row>
    <row r="116" spans="1:11" ht="27" customHeight="1">
      <c r="A116" s="3100" t="s">
        <v>2306</v>
      </c>
      <c r="B116" s="3143" t="s">
        <v>2307</v>
      </c>
      <c r="C116" s="3143" t="s">
        <v>2308</v>
      </c>
      <c r="D116" s="3149" t="s">
        <v>2309</v>
      </c>
      <c r="E116" s="3150"/>
      <c r="F116" s="3185" t="s">
        <v>2310</v>
      </c>
      <c r="G116" s="3185"/>
      <c r="H116" s="3100" t="s">
        <v>2311</v>
      </c>
      <c r="I116" s="3100"/>
    </row>
    <row r="117" spans="1:11" ht="18.75" customHeight="1">
      <c r="A117" s="3100"/>
      <c r="B117" s="3144"/>
      <c r="C117" s="3144"/>
      <c r="D117" s="1789" t="s">
        <v>2312</v>
      </c>
      <c r="E117" s="1789" t="s">
        <v>2313</v>
      </c>
      <c r="F117" s="1789" t="s">
        <v>2312</v>
      </c>
      <c r="G117" s="1789" t="s">
        <v>2314</v>
      </c>
      <c r="H117" s="1789" t="s">
        <v>2312</v>
      </c>
      <c r="I117" s="1789" t="s">
        <v>2314</v>
      </c>
    </row>
    <row r="118" spans="1:11" ht="24.75" customHeight="1">
      <c r="A118" s="2520" t="str">
        <f>项目基本情况!S2</f>
        <v>北京市东城区香河园街1号院5、10号楼出让国有建设用地使用权及在建建筑物房地产</v>
      </c>
      <c r="B118" s="1789">
        <f>M18</f>
        <v>2526.41</v>
      </c>
      <c r="C118" s="1789">
        <f>M19</f>
        <v>711.96</v>
      </c>
      <c r="D118" s="1789">
        <f ca="1">ROUND(IF(D32="总价",C34,E118*B118/10000),0)</f>
        <v>11683</v>
      </c>
      <c r="E118" s="1789">
        <f ca="1">ROUND(IF(C33="自定义",IF(D32="楼面单价",C34,D118*10000/B118),I118-G118),0)</f>
        <v>46243</v>
      </c>
      <c r="F118" s="1789">
        <f ca="1">ROUND(IF(D32="总价",C35,G118*B118/10000),0)</f>
        <v>1638</v>
      </c>
      <c r="G118" s="1789">
        <f ca="1">ROUND(IF(D32="楼面单价",C35,F118*10000/B118),0)</f>
        <v>6484</v>
      </c>
      <c r="H118" s="1789">
        <f ca="1">ROUND(IF(D32="总价",C32,I118*B118/10000),0)</f>
        <v>13321</v>
      </c>
      <c r="I118" s="1789">
        <f ca="1">ROUND(IF(D32="楼面单价",C32,H118*10000/B118),0)</f>
        <v>52727</v>
      </c>
    </row>
    <row r="119" spans="1:11" ht="18.75" customHeight="1">
      <c r="A119" s="3100" t="s">
        <v>2315</v>
      </c>
      <c r="B119" s="3100"/>
      <c r="C119" s="3100"/>
      <c r="D119" s="3145" t="str">
        <f ca="1">NUMBERSTRING(INT(D118*10000),2)&amp;"元整"</f>
        <v>壹亿壹仟陆佰捌拾叁万元整</v>
      </c>
      <c r="E119" s="3146"/>
      <c r="F119" s="3145" t="str">
        <f ca="1">NUMBERSTRING(INT(F118*10000),2)&amp;"元整"</f>
        <v>壹仟陆佰叁拾捌万元整</v>
      </c>
      <c r="G119" s="3146"/>
      <c r="H119" s="3145" t="str">
        <f ca="1">NUMBERSTRING(INT(H118*10000),2)&amp;"元整"</f>
        <v>壹亿叁仟叁佰贰拾壹万元整</v>
      </c>
      <c r="I119" s="3146"/>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7" t="str">
        <f>IF(D120=0,"故，本次评估不存在"&amp;A120,"故，本次评估"&amp;A120&amp;"为人民币"&amp;D120&amp;"万元整。")</f>
        <v>故，本次评估不存在估价师知悉的法定优先受偿款</v>
      </c>
    </row>
    <row r="121" spans="1:11" ht="18.75" customHeight="1">
      <c r="A121" s="3186" t="s">
        <v>2315</v>
      </c>
      <c r="B121" s="3187"/>
      <c r="C121" s="3188"/>
      <c r="D121" s="3145" t="str">
        <f>IF(D120=0,"零元整",NUMBERSTRING(INT(D120*10000),2)&amp;"元整")</f>
        <v>零元整</v>
      </c>
      <c r="E121" s="3147"/>
      <c r="F121" s="3147"/>
      <c r="G121" s="3147"/>
      <c r="H121" s="3147"/>
      <c r="I121" s="3146"/>
    </row>
    <row r="122" spans="1:11" ht="18.75" customHeight="1">
      <c r="A122" s="3151" t="str">
        <f>IF(项目基本情况!B9="房地产市场价值","",MID(E107,3,LEN(E107)-2))</f>
        <v>房地产抵押价值</v>
      </c>
      <c r="B122" s="3151"/>
      <c r="C122" s="3151"/>
      <c r="D122" s="3140">
        <f ca="1">H107</f>
        <v>13321</v>
      </c>
      <c r="E122" s="3141"/>
      <c r="F122" s="3141"/>
      <c r="G122" s="3141"/>
      <c r="H122" s="3141"/>
      <c r="I122" s="3142"/>
    </row>
    <row r="123" spans="1:11" ht="18.75" customHeight="1">
      <c r="A123" s="3100" t="s">
        <v>2315</v>
      </c>
      <c r="B123" s="3100"/>
      <c r="C123" s="3100"/>
      <c r="D123" s="3145" t="str">
        <f ca="1">NUMBERSTRING(INT(D122*10000),2)&amp;"元整"</f>
        <v>壹亿叁仟叁佰贰拾壹万元整</v>
      </c>
      <c r="E123" s="3147"/>
      <c r="F123" s="3147"/>
      <c r="G123" s="3147"/>
      <c r="H123" s="3147"/>
      <c r="I123" s="3146"/>
    </row>
    <row r="124" spans="1:11" ht="18.75" customHeight="1">
      <c r="A124" s="3151" t="str">
        <f>IF(项目基本情况!B9="房地产市场价值","",MID(E109,3,LEN(E109)-2))</f>
        <v/>
      </c>
      <c r="B124" s="3151"/>
      <c r="C124" s="3151"/>
      <c r="D124" s="3140" t="str">
        <f>H109</f>
        <v>——</v>
      </c>
      <c r="E124" s="3141"/>
      <c r="F124" s="3141"/>
      <c r="G124" s="3141"/>
      <c r="H124" s="3141"/>
      <c r="I124" s="3142"/>
    </row>
    <row r="125" spans="1:11" ht="18.75" customHeight="1">
      <c r="A125" s="3100" t="s">
        <v>2315</v>
      </c>
      <c r="B125" s="3100"/>
      <c r="C125" s="3100"/>
      <c r="D125" s="3145" t="e">
        <f>NUMBERSTRING(INT(D124*10000),2)&amp;"元整"</f>
        <v>#VALUE!</v>
      </c>
      <c r="E125" s="3147"/>
      <c r="F125" s="3147"/>
      <c r="G125" s="3147"/>
      <c r="H125" s="3147"/>
      <c r="I125" s="3146"/>
    </row>
    <row r="126" spans="1:11" ht="18.75" customHeight="1">
      <c r="A126" s="3151" t="str">
        <f>IF(项目基本情况!B9="房地产市场价值","",MID(E111,3,LEN(E111)-2))</f>
        <v/>
      </c>
      <c r="B126" s="3151"/>
      <c r="C126" s="3151"/>
      <c r="D126" s="3140" t="str">
        <f>H111</f>
        <v>——</v>
      </c>
      <c r="E126" s="3141"/>
      <c r="F126" s="3141"/>
      <c r="G126" s="3141"/>
      <c r="H126" s="3141"/>
      <c r="I126" s="3142"/>
    </row>
    <row r="127" spans="1:11" ht="18.75" customHeight="1">
      <c r="A127" s="3100" t="s">
        <v>2315</v>
      </c>
      <c r="B127" s="3100"/>
      <c r="C127" s="3100"/>
      <c r="D127" s="3145" t="e">
        <f>NUMBERSTRING(INT(D126*10000),2)&amp;"元整"</f>
        <v>#VALUE!</v>
      </c>
      <c r="E127" s="3147"/>
      <c r="F127" s="3147"/>
      <c r="G127" s="3147"/>
      <c r="H127" s="3147"/>
      <c r="I127" s="3146"/>
    </row>
    <row r="128" spans="1:11" ht="21.75" customHeight="1">
      <c r="A128" s="3148" t="s">
        <v>2316</v>
      </c>
      <c r="B128" s="3148"/>
      <c r="C128" s="3148"/>
      <c r="D128" s="3148"/>
      <c r="E128" s="3148"/>
      <c r="F128" s="3148"/>
      <c r="G128" s="3148"/>
      <c r="H128" s="3148"/>
      <c r="I128" s="3148"/>
    </row>
    <row r="129" spans="1:35" ht="21.75" customHeight="1">
      <c r="A129" s="2521" t="s">
        <v>2317</v>
      </c>
      <c r="B129" s="2522"/>
      <c r="C129" s="2523" t="s">
        <v>2318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2319</v>
      </c>
      <c r="G135" s="2538"/>
      <c r="H135" s="2538"/>
      <c r="I135" s="2539" t="s">
        <v>2320</v>
      </c>
    </row>
    <row r="136" spans="1:35" ht="21.75" customHeight="1">
      <c r="A136" s="794"/>
      <c r="B136" s="2540"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2322</v>
      </c>
    </row>
    <row r="139" spans="1:35" ht="21.75" customHeight="1">
      <c r="A139" s="794"/>
      <c r="B139" s="2540" t="s">
        <v>2323</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2322</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1"/>
      <c r="C1" s="2549"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1862</v>
      </c>
      <c r="C2" s="243" t="s">
        <v>2326</v>
      </c>
      <c r="D2" s="2543" t="s">
        <v>70</v>
      </c>
      <c r="E2" s="1442" t="e">
        <f ca="1">SUMIF(INDIRECT("'"&amp;G2&amp;"'"&amp;"!A:A"),"承租人权益价值",INDIRECT("'"&amp;G2&amp;"'"&amp;"!c:c"))</f>
        <v>#REF!</v>
      </c>
      <c r="F2" s="2544" t="s">
        <v>2326</v>
      </c>
      <c r="G2" s="2545"/>
    </row>
    <row r="3" spans="1:8" s="244" customFormat="1" ht="18" customHeight="1" thickBot="1">
      <c r="A3" s="247" t="s">
        <v>2327</v>
      </c>
      <c r="B3" s="248">
        <f ca="1">ROUND(B2*10000/(IF(B1="",'数据-汇总表'!E3,INDIRECT("'数据-取费表'!k"&amp;$G$1))),0)</f>
        <v>7370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505282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505282</v>
      </c>
      <c r="D8" s="266"/>
      <c r="E8" s="264"/>
      <c r="F8" s="265"/>
      <c r="G8" s="2546"/>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2343</v>
      </c>
      <c r="C10" s="269">
        <f ca="1">ROUND(D10*E10,0)</f>
        <v>505282</v>
      </c>
      <c r="D10" s="1034">
        <f ca="1">IF(B1="",'数据-汇总表'!E6,IF(INDIRECT("'数据-取费表'!c"&amp;$G$1)="住宅",INDIRECT("'数据-取费表'!s"&amp;$G$1),INDIRECT("'数据-取费表'!k"&amp;$G$1)+INDIRECT("'数据-取费表'!s"&amp;$G$1)))</f>
        <v>2526.41</v>
      </c>
      <c r="E10" s="269">
        <f>'数据-取费表'!B28</f>
        <v>200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505282</v>
      </c>
      <c r="D19" s="1038">
        <f ca="1">D9+D10</f>
        <v>2526.41</v>
      </c>
      <c r="E19" s="255">
        <f>'数据-取费表'!B31</f>
        <v>200</v>
      </c>
      <c r="F19" s="275"/>
      <c r="G19" s="2546"/>
    </row>
    <row r="20" spans="1:7" s="258" customFormat="1" ht="13.5" customHeight="1">
      <c r="A20" s="299" t="s">
        <v>2437</v>
      </c>
      <c r="B20" s="254" t="s">
        <v>2438</v>
      </c>
      <c r="C20" s="276">
        <f ca="1">ROUND((C5+C19)*F20,0)</f>
        <v>20211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152411</v>
      </c>
      <c r="D22" s="279">
        <f ca="1">C26</f>
        <v>1.4E-3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75477</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75477</v>
      </c>
      <c r="D24" s="282"/>
      <c r="E24" s="282"/>
      <c r="F24" s="283"/>
      <c r="G24" s="284" t="s">
        <v>2449</v>
      </c>
    </row>
    <row r="25" spans="1:7" s="258" customFormat="1" ht="24">
      <c r="A25" s="953" t="s">
        <v>2339</v>
      </c>
      <c r="B25" s="259" t="s">
        <v>2450</v>
      </c>
      <c r="C25" s="1383">
        <f ca="1">ROUND(IF('数据-取费表'!B22&lt;=1,C20*F22*'数据-取费表'!B22/2,C20*(POWER((1+F22),'数据-取费表'!B22/2)-1)),0)</f>
        <v>1457</v>
      </c>
      <c r="D25" s="282"/>
      <c r="E25" s="285"/>
      <c r="F25" s="283"/>
      <c r="G25" s="286" t="s">
        <v>2451</v>
      </c>
    </row>
    <row r="26" spans="1:7" s="258" customFormat="1">
      <c r="A26" s="953"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309233</v>
      </c>
      <c r="D27" s="279">
        <f ca="1">C29</f>
        <v>6.0000000000000001E-3</v>
      </c>
      <c r="E27" s="280" t="s">
        <v>2377</v>
      </c>
      <c r="F27" s="290">
        <f ca="1">IF(B1="",'数据-取费表'!Q16,INDIRECT("'数据-取费表'!q"&amp;$G$1))</f>
        <v>0.3</v>
      </c>
      <c r="G27" s="291" t="s">
        <v>2378</v>
      </c>
    </row>
    <row r="28" spans="1:7" s="258" customFormat="1" ht="13.5" customHeight="1">
      <c r="A28" s="953" t="s">
        <v>791</v>
      </c>
      <c r="B28" s="292" t="s">
        <v>2379</v>
      </c>
      <c r="C28" s="293">
        <f ca="1">ROUND((C5+C19+C20)*F27,0)</f>
        <v>309233</v>
      </c>
      <c r="D28" s="279"/>
      <c r="E28" s="280"/>
      <c r="F28" s="290"/>
      <c r="G28" s="291"/>
    </row>
    <row r="29" spans="1:7" s="258" customFormat="1" ht="13.5" customHeight="1">
      <c r="A29" s="953"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1623430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13958416</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12632050</v>
      </c>
      <c r="D34" s="261"/>
      <c r="E34" s="264"/>
      <c r="F34" s="301"/>
      <c r="G34" s="263"/>
    </row>
    <row r="35" spans="1:7" ht="13.5" customHeight="1">
      <c r="A35" s="953" t="s">
        <v>796</v>
      </c>
      <c r="B35" s="259" t="s">
        <v>2390</v>
      </c>
      <c r="C35" s="264">
        <f ca="1">ROUND(C34*F35,0)</f>
        <v>631603</v>
      </c>
      <c r="D35" s="264"/>
      <c r="E35" s="264"/>
      <c r="F35" s="303">
        <f>'数据-取费表'!B33</f>
        <v>0.05</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3" t="s">
        <v>798</v>
      </c>
      <c r="B37" s="259" t="s">
        <v>2394</v>
      </c>
      <c r="C37" s="293">
        <f ca="1">ROUND(E37*D37,0)</f>
        <v>505282</v>
      </c>
      <c r="D37" s="261">
        <f ca="1">D19</f>
        <v>2526.41</v>
      </c>
      <c r="E37" s="293">
        <f>'数据-取费表'!B35</f>
        <v>200</v>
      </c>
      <c r="F37" s="303"/>
      <c r="G37" s="305"/>
    </row>
    <row r="38" spans="1:7" ht="13.5" customHeight="1">
      <c r="A38" s="953" t="s">
        <v>799</v>
      </c>
      <c r="B38" s="259" t="s">
        <v>2396</v>
      </c>
      <c r="C38" s="264">
        <f ca="1">ROUND(C34*F38,0)</f>
        <v>189481</v>
      </c>
      <c r="D38" s="264"/>
      <c r="E38" s="264"/>
      <c r="F38" s="303">
        <f>'数据-取费表'!B36</f>
        <v>1.4999999999999999E-2</v>
      </c>
      <c r="G38" s="263" t="s">
        <v>2391</v>
      </c>
    </row>
    <row r="39" spans="1:7" s="258" customFormat="1" ht="13.5" customHeight="1">
      <c r="A39" s="299" t="s">
        <v>2397</v>
      </c>
      <c r="B39" s="254" t="s">
        <v>2398</v>
      </c>
      <c r="C39" s="276">
        <f ca="1">ROUND(C33*F20,0)</f>
        <v>279168</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1026380</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1006255</v>
      </c>
      <c r="D42" s="282"/>
      <c r="E42" s="282"/>
      <c r="F42" s="283"/>
      <c r="G42" s="3220" t="s">
        <v>2454</v>
      </c>
    </row>
    <row r="43" spans="1:7" ht="13.5" customHeight="1">
      <c r="A43" s="953" t="s">
        <v>792</v>
      </c>
      <c r="B43" s="259" t="s">
        <v>2408</v>
      </c>
      <c r="C43" s="282">
        <f ca="1">ROUND(IF('数据-取费表'!B22&lt;=1,C39*F22*'数据-取费表'!B20/2,C39*(POWER((1+F22),'数据-取费表'!B20/2)-1)),0)</f>
        <v>20125</v>
      </c>
      <c r="D43" s="282"/>
      <c r="E43" s="282"/>
      <c r="F43" s="283"/>
      <c r="G43" s="3221"/>
    </row>
    <row r="44" spans="1:7" ht="13.5" customHeight="1">
      <c r="A44" s="953" t="s">
        <v>793</v>
      </c>
      <c r="B44" s="259" t="s">
        <v>2409</v>
      </c>
      <c r="C44" s="282">
        <f ca="1">ROUND(IF('数据-取费表'!B22&lt;=1,C40*F22*'数据-取费表'!B20/2,C40*(POWER((1+F22),'数据-取费表'!B20/2)-1)),4)</f>
        <v>1.4E-3</v>
      </c>
      <c r="D44" s="282"/>
      <c r="E44" s="282"/>
      <c r="F44" s="283"/>
      <c r="G44" s="3222"/>
    </row>
    <row r="45" spans="1:7" s="258" customFormat="1" ht="13.5" customHeight="1">
      <c r="A45" s="299" t="s">
        <v>2410</v>
      </c>
      <c r="B45" s="288" t="s">
        <v>2376</v>
      </c>
      <c r="C45" s="289">
        <f ca="1">C46</f>
        <v>4271275</v>
      </c>
      <c r="D45" s="279">
        <f ca="1">C47</f>
        <v>6.0000000000000001E-3</v>
      </c>
      <c r="E45" s="280" t="s">
        <v>2402</v>
      </c>
      <c r="F45" s="290"/>
      <c r="G45" s="291" t="s">
        <v>2411</v>
      </c>
    </row>
    <row r="46" spans="1:7" s="258" customFormat="1" ht="13.5" customHeight="1">
      <c r="A46" s="953" t="s">
        <v>791</v>
      </c>
      <c r="B46" s="292" t="s">
        <v>2412</v>
      </c>
      <c r="C46" s="293">
        <f ca="1">ROUND((C33+C39)*F27,0)</f>
        <v>4271275</v>
      </c>
      <c r="D46" s="307"/>
      <c r="E46" s="280"/>
      <c r="F46" s="290"/>
      <c r="G46" s="291"/>
    </row>
    <row r="47" spans="1:7" s="258" customFormat="1" ht="13.5" customHeight="1">
      <c r="A47" s="953"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21250124</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17000099</v>
      </c>
      <c r="D51" s="276"/>
      <c r="E51" s="276"/>
      <c r="F51" s="308"/>
      <c r="G51" s="278" t="s">
        <v>2423</v>
      </c>
    </row>
    <row r="52" spans="1:7" s="252" customFormat="1" ht="16.5" thickBot="1">
      <c r="A52" s="309" t="s">
        <v>2424</v>
      </c>
      <c r="B52" s="310"/>
      <c r="C52" s="311">
        <f ca="1">C31+C51</f>
        <v>18623529</v>
      </c>
      <c r="D52" s="310"/>
      <c r="E52" s="310"/>
      <c r="F52" s="310"/>
      <c r="G52" s="312"/>
    </row>
    <row r="55" spans="1:7" ht="15">
      <c r="B55" s="314" t="s">
        <v>2425</v>
      </c>
      <c r="C55" s="315"/>
    </row>
    <row r="56" spans="1:7">
      <c r="B56" s="317" t="s">
        <v>1509</v>
      </c>
      <c r="C56" s="319">
        <f ca="1">1-C57</f>
        <v>8.6999999999999966E-2</v>
      </c>
    </row>
    <row r="57" spans="1:7">
      <c r="B57" s="317" t="s">
        <v>1510</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34" t="str">
        <f>项目基本情况!B1</f>
        <v>北京市东城区香河园街1号院5、10号楼出让国有建设用地使用权及在建建筑物房地产抵押价值预评估</v>
      </c>
      <c r="C37" s="3034"/>
      <c r="D37" s="3034"/>
      <c r="E37" s="3034"/>
      <c r="F37" s="3034"/>
      <c r="G37" s="3034"/>
      <c r="H37" s="3034"/>
      <c r="I37" s="3034"/>
    </row>
    <row r="38" spans="1:9">
      <c r="A38" s="1018"/>
      <c r="B38" s="1018"/>
    </row>
    <row r="39" spans="1:9">
      <c r="A39" s="1016" t="s">
        <v>818</v>
      </c>
      <c r="B39" s="1016" t="s">
        <v>820</v>
      </c>
    </row>
    <row r="40" spans="1:9">
      <c r="A40" s="1016"/>
      <c r="B40" s="1936" t="str">
        <f>项目基本情况!B5</f>
        <v>当代节能置业股份有限公司</v>
      </c>
    </row>
    <row r="41" spans="1:9">
      <c r="A41" s="1016"/>
      <c r="B41" s="1016"/>
    </row>
    <row r="42" spans="1:9">
      <c r="A42" s="1016" t="s">
        <v>818</v>
      </c>
      <c r="B42" s="1016" t="s">
        <v>821</v>
      </c>
    </row>
    <row r="43" spans="1:9">
      <c r="A43" s="1016"/>
      <c r="B43" s="1936" t="s">
        <v>822</v>
      </c>
    </row>
    <row r="44" spans="1:9">
      <c r="A44" s="1016"/>
      <c r="B44" s="1016"/>
    </row>
    <row r="45" spans="1:9">
      <c r="A45" s="1016" t="s">
        <v>818</v>
      </c>
      <c r="B45" s="1016" t="s">
        <v>823</v>
      </c>
    </row>
    <row r="46" spans="1:9" s="1016" customFormat="1" ht="12.75">
      <c r="B46" s="1936" t="str">
        <f ca="1">项目基本情况!K4</f>
        <v>崔锴（注册号：0)、欧红伟（注册号：0)</v>
      </c>
    </row>
    <row r="47" spans="1:9">
      <c r="A47" s="1016"/>
      <c r="B47" s="1016" t="str">
        <f>项目基本情况!K5</f>
        <v/>
      </c>
    </row>
    <row r="48" spans="1:9">
      <c r="A48" s="1016" t="s">
        <v>818</v>
      </c>
      <c r="B48" s="1016"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0" t="s">
        <v>2463</v>
      </c>
      <c r="D5" s="2550" t="s">
        <v>2464</v>
      </c>
      <c r="E5" s="2550" t="s">
        <v>2465</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1330</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2479</v>
      </c>
      <c r="C12" s="24">
        <f ca="1">ROUND(C11*F12,0)</f>
        <v>0</v>
      </c>
      <c r="D12" s="975"/>
      <c r="E12" s="375"/>
      <c r="F12" s="978">
        <f>'数据-取费表'!B33</f>
        <v>0.05</v>
      </c>
      <c r="G12" s="8" t="s">
        <v>2480</v>
      </c>
      <c r="H12" s="970"/>
      <c r="I12" s="970"/>
      <c r="J12" s="970"/>
      <c r="K12" s="971"/>
    </row>
    <row r="13" spans="1:33" s="977" customFormat="1" ht="13.5" customHeight="1">
      <c r="A13" s="973" t="s">
        <v>1332</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1333</v>
      </c>
      <c r="B14" s="974" t="s">
        <v>2483</v>
      </c>
      <c r="C14" s="24">
        <f ca="1">ROUND(D14*E14*F11/10000,0)</f>
        <v>0</v>
      </c>
      <c r="D14" s="1035">
        <f ca="1">IF(C1="",'数据-汇总表'!E3,INDIRECT("'数据-取费表'!K"&amp;$K$1)+INDIRECT("'数据-取费表'!S"&amp;$K$1))</f>
        <v>2526.41</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2526.41</v>
      </c>
      <c r="E17" s="24">
        <f>'数据-取费表'!B32</f>
        <v>0</v>
      </c>
      <c r="F17" s="980"/>
      <c r="G17" s="140" t="s">
        <v>2489</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2490</v>
      </c>
      <c r="C18" s="24">
        <f ca="1">C19+C20-IF(C1="",'数据-取费表'!B29,IF(G18="已全部缴纳",C19+C20,H18))</f>
        <v>0.46999999999999886</v>
      </c>
      <c r="D18" s="1035"/>
      <c r="E18" s="24"/>
      <c r="F18" s="978"/>
      <c r="G18" s="2552"/>
      <c r="H18" s="1577"/>
      <c r="I18" s="2553"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160</v>
      </c>
      <c r="F19" s="978"/>
      <c r="G19" s="15"/>
      <c r="H19" s="1579"/>
      <c r="I19" s="983"/>
      <c r="J19" s="983"/>
      <c r="K19" s="984"/>
    </row>
    <row r="20" spans="1:33" s="977" customFormat="1" ht="13.5" customHeight="1">
      <c r="A20" s="973" t="s">
        <v>806</v>
      </c>
      <c r="B20" s="974" t="s">
        <v>2493</v>
      </c>
      <c r="C20" s="24">
        <f ca="1">ROUND(D20*E20/10000,0)</f>
        <v>51</v>
      </c>
      <c r="D20" s="1035">
        <f ca="1">IF(C1="",'数据-汇总表'!E6,IF(INDIRECT("'数据-取费表'!c"&amp;$K$1)="住宅",INDIRECT("'数据-取费表'!s"&amp;$K$1),INDIRECT("'数据-取费表'!k"&amp;$K$1)+INDIRECT("'数据-取费表'!s"&amp;$K$1)))</f>
        <v>2526.41</v>
      </c>
      <c r="E20" s="24">
        <f>'数据-取费表'!B28</f>
        <v>200</v>
      </c>
      <c r="F20" s="978"/>
      <c r="G20" s="15"/>
      <c r="H20" s="983"/>
      <c r="I20" s="983"/>
      <c r="J20" s="983"/>
      <c r="K20" s="984"/>
    </row>
    <row r="21" spans="1:33" s="977" customFormat="1" ht="13.5" customHeight="1">
      <c r="A21" s="963" t="s">
        <v>802</v>
      </c>
      <c r="B21" s="987" t="s">
        <v>2494</v>
      </c>
      <c r="C21" s="988">
        <f ca="1">C16+C17+C18</f>
        <v>0.46999999999999886</v>
      </c>
      <c r="D21" s="989"/>
      <c r="E21" s="325"/>
      <c r="F21" s="325"/>
      <c r="G21" s="140" t="s">
        <v>2495</v>
      </c>
      <c r="H21" s="981"/>
      <c r="I21" s="981"/>
      <c r="J21" s="981"/>
      <c r="K21" s="982"/>
    </row>
    <row r="22" spans="1:33" s="977" customFormat="1" ht="13.5" customHeight="1">
      <c r="A22" s="963" t="s">
        <v>2467</v>
      </c>
      <c r="B22" s="987" t="s">
        <v>2496</v>
      </c>
      <c r="C22" s="988">
        <f ca="1">ROUND(C21*F22,0)</f>
        <v>0</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2507</v>
      </c>
      <c r="B28" s="2555" t="s">
        <v>2508</v>
      </c>
      <c r="C28" s="331">
        <f ca="1">C30</f>
        <v>0</v>
      </c>
      <c r="D28" s="324">
        <f ca="1">C29</f>
        <v>0</v>
      </c>
      <c r="E28" s="326" t="s">
        <v>15</v>
      </c>
      <c r="F28" s="332">
        <f ca="1">IF(C1="",'数据-取费表'!Q16,INDIRECT("'数据-取费表'!q"&amp;$K$1))</f>
        <v>0.3</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0</v>
      </c>
      <c r="D30" s="328"/>
      <c r="E30" s="329"/>
      <c r="F30" s="334"/>
      <c r="G30" s="140"/>
      <c r="H30" s="981"/>
      <c r="I30" s="981"/>
      <c r="J30" s="981"/>
      <c r="K30" s="982"/>
    </row>
    <row r="31" spans="1:33" s="977" customFormat="1" ht="13.5" customHeight="1" thickBot="1">
      <c r="A31" s="2556"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8" sqref="F38"/>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2524</v>
      </c>
      <c r="B1" s="2558"/>
      <c r="C1" s="2558"/>
      <c r="D1" s="2558"/>
      <c r="E1" s="2559"/>
    </row>
    <row r="2" spans="1:6" ht="15.75">
      <c r="A2" s="2560" t="s">
        <v>2325</v>
      </c>
      <c r="B2" s="2561">
        <f ca="1">SUMIF(B6:B13,"&lt;&gt;#ref!",B6:B13)</f>
        <v>12329</v>
      </c>
      <c r="C2" s="2562" t="s">
        <v>2517</v>
      </c>
      <c r="D2" s="2563" t="s">
        <v>2518</v>
      </c>
      <c r="E2" s="2564">
        <f>SUM(E6:E13)</f>
        <v>2526.41</v>
      </c>
    </row>
    <row r="3" spans="1:6" ht="15.75">
      <c r="A3" s="2560" t="s">
        <v>1391</v>
      </c>
      <c r="B3" s="2561">
        <f ca="1">ROUND(B2*10000/E2,0)</f>
        <v>48800</v>
      </c>
      <c r="C3" s="2562" t="s">
        <v>2525</v>
      </c>
      <c r="D3" s="2565"/>
      <c r="E3" s="2566"/>
    </row>
    <row r="4" spans="1:6" ht="15.75">
      <c r="A4" s="2567"/>
      <c r="B4" s="2565"/>
      <c r="C4" s="2565"/>
      <c r="D4" s="2565"/>
      <c r="E4" s="2566"/>
    </row>
    <row r="5" spans="1:6" ht="15">
      <c r="A5" s="2568" t="s">
        <v>2519</v>
      </c>
      <c r="B5" s="3223" t="s">
        <v>2520</v>
      </c>
      <c r="C5" s="3223"/>
      <c r="D5" s="2569"/>
      <c r="E5" s="2570" t="s">
        <v>2521</v>
      </c>
      <c r="F5" s="2571" t="s">
        <v>2522</v>
      </c>
    </row>
    <row r="6" spans="1:6">
      <c r="A6" s="2572" t="str">
        <f>'数据-取费表'!AN6</f>
        <v>收益法-出租</v>
      </c>
      <c r="B6" s="2571">
        <f ca="1">IF(F6="是",'数据-取费表'!AO6,0)</f>
        <v>0</v>
      </c>
      <c r="C6" s="2562" t="s">
        <v>2517</v>
      </c>
      <c r="D6" s="2565"/>
      <c r="E6" s="2573">
        <f>IF(OR(A6=0,F6="否"),0,'数据-取费表'!K6+'数据-取费表'!S6)</f>
        <v>0</v>
      </c>
      <c r="F6" s="2574" t="s">
        <v>2523</v>
      </c>
    </row>
    <row r="7" spans="1:6">
      <c r="A7" s="2572" t="str">
        <f>'数据-取费表'!AN7</f>
        <v>收益法-自用</v>
      </c>
      <c r="B7" s="2571">
        <f ca="1">IF(F7="是",'数据-取费表'!AO7,0)</f>
        <v>12329</v>
      </c>
      <c r="C7" s="2562" t="s">
        <v>2517</v>
      </c>
      <c r="D7" s="2565"/>
      <c r="E7" s="2573">
        <f>IF(OR(A7=0,F7="否"),0,'数据-取费表'!K7+'数据-取费表'!S7)</f>
        <v>2526.41</v>
      </c>
      <c r="F7" s="2574" t="s">
        <v>2523</v>
      </c>
    </row>
    <row r="8" spans="1:6">
      <c r="A8" s="2572">
        <f>'数据-取费表'!AN8</f>
        <v>0</v>
      </c>
      <c r="B8" s="2571" t="e">
        <f ca="1">IF(F8="是",'数据-取费表'!AO8,0)</f>
        <v>#REF!</v>
      </c>
      <c r="C8" s="2562" t="s">
        <v>2517</v>
      </c>
      <c r="D8" s="2565"/>
      <c r="E8" s="2573">
        <f>IF(OR(A8=0,F8="否"),0,'数据-取费表'!K8+'数据-取费表'!S8)</f>
        <v>0</v>
      </c>
      <c r="F8" s="2574" t="s">
        <v>2523</v>
      </c>
    </row>
    <row r="9" spans="1:6">
      <c r="A9" s="2572">
        <f>'数据-取费表'!AN9</f>
        <v>0</v>
      </c>
      <c r="B9" s="2571" t="e">
        <f ca="1">IF(F9="是",'数据-取费表'!AO9,0)</f>
        <v>#REF!</v>
      </c>
      <c r="C9" s="2562" t="s">
        <v>2517</v>
      </c>
      <c r="D9" s="2565"/>
      <c r="E9" s="2573">
        <f>IF(OR(A9=0,F9="否"),0,'数据-取费表'!K9+'数据-取费表'!S9)</f>
        <v>0</v>
      </c>
      <c r="F9" s="2574" t="s">
        <v>2523</v>
      </c>
    </row>
    <row r="10" spans="1:6">
      <c r="A10" s="2572">
        <f>'数据-取费表'!AN10</f>
        <v>0</v>
      </c>
      <c r="B10" s="2571" t="e">
        <f ca="1">IF(F10="是",'数据-取费表'!AO10,0)</f>
        <v>#REF!</v>
      </c>
      <c r="C10" s="2562" t="s">
        <v>2517</v>
      </c>
      <c r="D10" s="2565"/>
      <c r="E10" s="2573">
        <f>IF(OR(A10=0,F10="否"),0,'数据-取费表'!K10+'数据-取费表'!S10)</f>
        <v>0</v>
      </c>
      <c r="F10" s="2574" t="s">
        <v>2523</v>
      </c>
    </row>
    <row r="11" spans="1:6">
      <c r="A11" s="2572">
        <f>'数据-取费表'!AN11</f>
        <v>0</v>
      </c>
      <c r="B11" s="2571" t="e">
        <f ca="1">IF(F11="是",'数据-取费表'!AO11,0)</f>
        <v>#REF!</v>
      </c>
      <c r="C11" s="2562" t="s">
        <v>2517</v>
      </c>
      <c r="D11" s="2565"/>
      <c r="E11" s="2573">
        <f>IF(OR(A11=0,F11="否"),0,'数据-取费表'!K11+'数据-取费表'!S11)</f>
        <v>0</v>
      </c>
      <c r="F11" s="2574" t="s">
        <v>2523</v>
      </c>
    </row>
    <row r="12" spans="1:6">
      <c r="A12" s="2572">
        <f>'数据-取费表'!AN12</f>
        <v>0</v>
      </c>
      <c r="B12" s="2571" t="e">
        <f ca="1">IF(F12="是",'数据-取费表'!AO12,0)</f>
        <v>#REF!</v>
      </c>
      <c r="C12" s="2562" t="s">
        <v>2517</v>
      </c>
      <c r="D12" s="2565"/>
      <c r="E12" s="2573">
        <f>IF(OR(A12=0,F12="否"),0,'数据-取费表'!K12+'数据-取费表'!S12)</f>
        <v>0</v>
      </c>
      <c r="F12" s="2574" t="s">
        <v>2523</v>
      </c>
    </row>
    <row r="13" spans="1:6" ht="15" thickBot="1">
      <c r="A13" s="2575">
        <f>'数据-取费表'!AN13</f>
        <v>0</v>
      </c>
      <c r="B13" s="2571" t="e">
        <f ca="1">IF(F13="是",'数据-取费表'!AO13,0)</f>
        <v>#REF!</v>
      </c>
      <c r="C13" s="2576" t="s">
        <v>2517</v>
      </c>
      <c r="D13" s="2577"/>
      <c r="E13" s="2573">
        <f>IF(OR(A13=0,F13="否"),0,'数据-取费表'!K13+'数据-取费表'!S13)</f>
        <v>0</v>
      </c>
      <c r="F13" s="257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F41" sqref="F41"/>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81"/>
      <c r="C1" s="1831" t="s">
        <v>3293</v>
      </c>
      <c r="D1" s="1814" t="s">
        <v>70</v>
      </c>
      <c r="E1" s="1815" t="s">
        <v>1383</v>
      </c>
      <c r="F1" s="1285">
        <f ca="1">J53</f>
        <v>24.16</v>
      </c>
      <c r="G1" s="1830">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1511</v>
      </c>
      <c r="B2" s="1838">
        <f ca="1">C40+J29+L46</f>
        <v>12329</v>
      </c>
      <c r="C2" s="1839" t="s">
        <v>1512</v>
      </c>
      <c r="D2" s="1839"/>
      <c r="E2" s="1840"/>
      <c r="F2" s="1841"/>
      <c r="G2" s="1842"/>
      <c r="H2" s="1834"/>
      <c r="I2" s="1834"/>
      <c r="J2" s="1834"/>
      <c r="K2" s="1835"/>
      <c r="L2" s="1834"/>
      <c r="M2" s="1834"/>
    </row>
    <row r="3" spans="1:37" ht="18" customHeight="1" thickBot="1">
      <c r="A3" s="1843" t="s">
        <v>1513</v>
      </c>
      <c r="B3" s="1844">
        <f ca="1">IF(ISERROR(B2*10000/F43),0,ROUND(B2*10000/F43,0))</f>
        <v>48800</v>
      </c>
      <c r="C3" s="1839" t="s">
        <v>1514</v>
      </c>
      <c r="D3" s="1839"/>
      <c r="E3" s="1840"/>
      <c r="F3" s="1841"/>
      <c r="G3" s="1842"/>
      <c r="H3" s="743"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94">
        <f ca="1">C6+C10+C12</f>
        <v>860</v>
      </c>
      <c r="D5" s="1816" t="s">
        <v>1398</v>
      </c>
      <c r="E5" s="1295"/>
      <c r="F5" s="1296"/>
      <c r="G5" s="1845"/>
      <c r="H5" s="344">
        <v>1</v>
      </c>
      <c r="I5" s="345" t="s">
        <v>1397</v>
      </c>
      <c r="J5" s="1294">
        <f ca="1">J6+J10+J12</f>
        <v>0</v>
      </c>
      <c r="K5" s="1816" t="s">
        <v>1398</v>
      </c>
      <c r="L5" s="1295"/>
      <c r="M5" s="1296"/>
    </row>
    <row r="6" spans="1:37" ht="18" customHeight="1">
      <c r="A6" s="1293" t="s">
        <v>1032</v>
      </c>
      <c r="B6" s="3224" t="s">
        <v>1399</v>
      </c>
      <c r="C6" s="1298">
        <f ca="1">ROUND(F6*F8*F7*(1-F9)/10000,0)</f>
        <v>859</v>
      </c>
      <c r="D6" s="164" t="s">
        <v>3030</v>
      </c>
      <c r="E6" s="347" t="s">
        <v>1401</v>
      </c>
      <c r="F6" s="348">
        <f ca="1">INDIRECT("'数据-取费表'!u"&amp;$G$1)</f>
        <v>9.8000000000000007</v>
      </c>
      <c r="G6" s="1845"/>
      <c r="H6" s="1293" t="s">
        <v>1032</v>
      </c>
      <c r="I6" s="3224" t="s">
        <v>1399</v>
      </c>
      <c r="J6" s="346">
        <f ca="1">ROUND(M6*M8*M7*(1-M9)/10000,0)</f>
        <v>0</v>
      </c>
      <c r="K6" s="164" t="s">
        <v>3029</v>
      </c>
      <c r="L6" s="347" t="s">
        <v>1401</v>
      </c>
      <c r="M6" s="348">
        <f ca="1">INDIRECT("'数据-取费表'!z"&amp;$G$1)</f>
        <v>0</v>
      </c>
    </row>
    <row r="7" spans="1:37" ht="18" customHeight="1">
      <c r="A7" s="1297"/>
      <c r="B7" s="3225"/>
      <c r="C7" s="1299"/>
      <c r="D7" s="352"/>
      <c r="E7" s="2937" t="s">
        <v>1402</v>
      </c>
      <c r="F7" s="348">
        <f ca="1">IF(INDIRECT("'数据-取费表'!ah"&amp;$G$1)="",INDIRECT("'数据-取费表'!k"&amp;$G$1),INDIRECT("'数据-取费表'!ah"&amp;$G$1))</f>
        <v>2526.41</v>
      </c>
      <c r="G7" s="1845"/>
      <c r="H7" s="349"/>
      <c r="I7" s="3225"/>
      <c r="J7" s="351"/>
      <c r="K7" s="352"/>
      <c r="L7" s="347" t="s">
        <v>1402</v>
      </c>
      <c r="M7" s="348">
        <f ca="1">F7</f>
        <v>2526.41</v>
      </c>
    </row>
    <row r="8" spans="1:37" ht="18" customHeight="1">
      <c r="A8" s="349"/>
      <c r="B8" s="3225"/>
      <c r="C8" s="351"/>
      <c r="D8" s="352"/>
      <c r="E8" s="347" t="s">
        <v>1403</v>
      </c>
      <c r="F8" s="348">
        <f ca="1">INDIRECT("'数据-取费表'!ai"&amp;$G$1)</f>
        <v>365</v>
      </c>
      <c r="G8" s="1845"/>
      <c r="H8" s="349"/>
      <c r="I8" s="3225"/>
      <c r="J8" s="351"/>
      <c r="K8" s="352"/>
      <c r="L8" s="347" t="s">
        <v>1403</v>
      </c>
      <c r="M8" s="348">
        <f ca="1">INDIRECT("'数据-取费表'!ai"&amp;$G$1)</f>
        <v>365</v>
      </c>
    </row>
    <row r="9" spans="1:37" ht="18" customHeight="1">
      <c r="A9" s="349"/>
      <c r="B9" s="3226"/>
      <c r="C9" s="351"/>
      <c r="D9" s="352"/>
      <c r="E9" s="347" t="s">
        <v>1404</v>
      </c>
      <c r="F9" s="357">
        <f ca="1">INDIRECT("'数据-取费表'!w"&amp;$G$1)</f>
        <v>0.05</v>
      </c>
      <c r="G9" s="1845"/>
      <c r="H9" s="349"/>
      <c r="I9" s="3226"/>
      <c r="J9" s="351"/>
      <c r="K9" s="352"/>
      <c r="L9" s="358" t="s">
        <v>1404</v>
      </c>
      <c r="M9" s="359">
        <f ca="1">INDIRECT("'数据-取费表'!ab"&amp;$G$1)</f>
        <v>0</v>
      </c>
    </row>
    <row r="10" spans="1:37" ht="18" customHeight="1">
      <c r="A10" s="1293" t="s">
        <v>1036</v>
      </c>
      <c r="B10" s="1817" t="s">
        <v>1405</v>
      </c>
      <c r="C10" s="361">
        <f ca="1">ROUND(IF(F10="押一",C6/12*F11,IF(F10="押二",C6/12*2*F11,IF(F10="押三",C6/12*3*F11,C11*F11))),0)</f>
        <v>1</v>
      </c>
      <c r="D10" s="1818" t="s">
        <v>3037</v>
      </c>
      <c r="E10" s="358" t="s">
        <v>1406</v>
      </c>
      <c r="F10" s="1368" t="s">
        <v>3318</v>
      </c>
      <c r="G10" s="1845"/>
      <c r="H10" s="1293" t="s">
        <v>1036</v>
      </c>
      <c r="I10" s="1817" t="s">
        <v>1405</v>
      </c>
      <c r="J10" s="346">
        <f ca="1">ROUND(IF(M10="押一",J6/12*M11,IF(M10="押二",J6/12*2*M11,IF(M10="押三",J6/12*3*M11,J11*M11))),0)</f>
        <v>0</v>
      </c>
      <c r="K10" s="1818" t="s">
        <v>3037</v>
      </c>
      <c r="L10" s="358" t="s">
        <v>1406</v>
      </c>
      <c r="M10" s="1368" t="s">
        <v>1407</v>
      </c>
    </row>
    <row r="11" spans="1:37" ht="18" customHeight="1">
      <c r="A11" s="353"/>
      <c r="B11" s="1819" t="s">
        <v>1384</v>
      </c>
      <c r="C11" s="1180"/>
      <c r="D11" s="1820"/>
      <c r="E11" s="358" t="s">
        <v>1408</v>
      </c>
      <c r="F11" s="359">
        <f ca="1">'数据-取费表'!B39</f>
        <v>1.4999999999999999E-2</v>
      </c>
      <c r="G11" s="1845"/>
      <c r="H11" s="1301"/>
      <c r="I11" s="1819" t="s">
        <v>1384</v>
      </c>
      <c r="J11" s="1180"/>
      <c r="K11" s="747"/>
      <c r="L11" s="358" t="s">
        <v>1408</v>
      </c>
      <c r="M11" s="1058">
        <f ca="1">'数据-取费表'!B39</f>
        <v>1.4999999999999999E-2</v>
      </c>
    </row>
    <row r="12" spans="1:37" ht="18" customHeight="1" thickBot="1">
      <c r="A12" s="1335" t="s">
        <v>1072</v>
      </c>
      <c r="B12" s="1821" t="s">
        <v>1409</v>
      </c>
      <c r="C12" s="1336"/>
      <c r="D12" s="1337"/>
      <c r="E12" s="1342"/>
      <c r="F12" s="1338"/>
      <c r="G12" s="1845"/>
      <c r="H12" s="1335" t="s">
        <v>1072</v>
      </c>
      <c r="I12" s="1821" t="s">
        <v>1409</v>
      </c>
      <c r="J12" s="1336"/>
      <c r="K12" s="1350"/>
      <c r="L12" s="1342"/>
      <c r="M12" s="1351"/>
    </row>
    <row r="13" spans="1:37" ht="18" customHeight="1" thickTop="1">
      <c r="A13" s="1331">
        <v>2</v>
      </c>
      <c r="B13" s="1332" t="s">
        <v>1410</v>
      </c>
      <c r="C13" s="355">
        <f ca="1">ROUND(C29*F13,0)</f>
        <v>1701</v>
      </c>
      <c r="D13" s="1333" t="s">
        <v>1411</v>
      </c>
      <c r="E13" s="1333" t="s">
        <v>1412</v>
      </c>
      <c r="F13" s="1334">
        <f ca="1">INDIRECT("'数据-取费表'!y"&amp;$G$1)</f>
        <v>0.8</v>
      </c>
      <c r="G13" s="1845"/>
      <c r="H13" s="1331">
        <v>2</v>
      </c>
      <c r="I13" s="1332" t="s">
        <v>1410</v>
      </c>
      <c r="J13" s="1292">
        <f ca="1">ROUND(J14*J15,0)</f>
        <v>0</v>
      </c>
      <c r="K13" s="1339" t="s">
        <v>1411</v>
      </c>
      <c r="L13" s="1846"/>
      <c r="M13" s="1847"/>
    </row>
    <row r="14" spans="1:37" ht="18" customHeight="1">
      <c r="A14" s="1203" t="s">
        <v>1031</v>
      </c>
      <c r="B14" s="347" t="s">
        <v>1413</v>
      </c>
      <c r="C14" s="363">
        <f ca="1">INDIRECT("'数据-取费表'!m"&amp;$G$1)+INDIRECT("'数据-取费表'!t"&amp;$G$1)</f>
        <v>1263</v>
      </c>
      <c r="D14" s="2940" t="s">
        <v>1414</v>
      </c>
      <c r="E14" s="2939"/>
      <c r="F14" s="364"/>
      <c r="G14" s="1845"/>
      <c r="H14" s="1203" t="s">
        <v>1032</v>
      </c>
      <c r="I14" s="347" t="s">
        <v>1415</v>
      </c>
      <c r="J14" s="24">
        <f ca="1">C29</f>
        <v>2126</v>
      </c>
      <c r="K14" s="2936"/>
      <c r="L14" s="981"/>
      <c r="M14" s="982"/>
    </row>
    <row r="15" spans="1:37" s="1852" customFormat="1" ht="18" customHeight="1" thickBot="1">
      <c r="A15" s="1203" t="s">
        <v>1033</v>
      </c>
      <c r="B15" s="347" t="s">
        <v>1416</v>
      </c>
      <c r="C15" s="24">
        <f ca="1">ROUND(C14*F15,0)</f>
        <v>63</v>
      </c>
      <c r="D15" s="365" t="s">
        <v>1417</v>
      </c>
      <c r="E15" s="365" t="s">
        <v>1418</v>
      </c>
      <c r="F15" s="366">
        <f>'数据-取费表'!B33</f>
        <v>0.05</v>
      </c>
      <c r="G15" s="1848"/>
      <c r="H15" s="1341" t="s">
        <v>1036</v>
      </c>
      <c r="I15" s="1342" t="s">
        <v>1412</v>
      </c>
      <c r="J15" s="1351">
        <f ca="1">INDIRECT("'数据-取费表'!ad"&amp;$G$1)</f>
        <v>0</v>
      </c>
      <c r="K15" s="1352"/>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5"/>
      <c r="H16" s="1331" t="s">
        <v>1027</v>
      </c>
      <c r="I16" s="1332" t="s">
        <v>1420</v>
      </c>
      <c r="J16" s="355">
        <f ca="1">ROUND(J17+J22+J23+J24,0)</f>
        <v>51</v>
      </c>
      <c r="K16" s="1339" t="s">
        <v>1421</v>
      </c>
      <c r="L16" s="2942"/>
      <c r="M16" s="1296"/>
    </row>
    <row r="17" spans="1:37" s="1852" customFormat="1" ht="18" customHeight="1">
      <c r="A17" s="1203" t="s">
        <v>1386</v>
      </c>
      <c r="B17" s="347" t="s">
        <v>1422</v>
      </c>
      <c r="C17" s="24">
        <f ca="1">ROUND(F17*(F43+INDIRECT("'数据-取费表'!S"&amp;$G$1))/10000,0)</f>
        <v>51</v>
      </c>
      <c r="D17" s="347" t="s">
        <v>1423</v>
      </c>
      <c r="E17" s="347" t="s">
        <v>1424</v>
      </c>
      <c r="F17" s="26">
        <f>'数据-取费表'!B35</f>
        <v>200</v>
      </c>
      <c r="G17" s="1848"/>
      <c r="H17" s="1203" t="s">
        <v>1032</v>
      </c>
      <c r="I17" s="347" t="s">
        <v>1425</v>
      </c>
      <c r="J17" s="24">
        <f ca="1">ROUND(IF(项目基本情况!B11="自然人",J5*M17,J18+J19+J20),1)</f>
        <v>19.100000000000001</v>
      </c>
      <c r="K17" s="2940" t="s">
        <v>1426</v>
      </c>
      <c r="L17" s="2941"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3" t="s">
        <v>1387</v>
      </c>
      <c r="B18" s="347" t="s">
        <v>1428</v>
      </c>
      <c r="C18" s="24">
        <f ca="1">ROUND(C14*F18,0)</f>
        <v>19</v>
      </c>
      <c r="D18" s="347" t="s">
        <v>1417</v>
      </c>
      <c r="E18" s="347" t="s">
        <v>1418</v>
      </c>
      <c r="F18" s="367">
        <f>'数据-取费表'!B36</f>
        <v>1.4999999999999999E-2</v>
      </c>
      <c r="G18" s="1848"/>
      <c r="H18" s="1203" t="s">
        <v>1031</v>
      </c>
      <c r="I18" s="347" t="s">
        <v>1429</v>
      </c>
      <c r="J18" s="24">
        <f ca="1">ROUND(J5*M18/(1+'数据-取费表'!C42),2)</f>
        <v>0</v>
      </c>
      <c r="K18" s="2941"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3" t="s">
        <v>1032</v>
      </c>
      <c r="B19" s="347" t="s">
        <v>1431</v>
      </c>
      <c r="C19" s="24">
        <f ca="1">SUM(C14:C18)</f>
        <v>1396</v>
      </c>
      <c r="D19" s="140" t="s">
        <v>1432</v>
      </c>
      <c r="E19" s="2935"/>
      <c r="F19" s="26"/>
      <c r="G19" s="1845"/>
      <c r="H19" s="1203" t="s">
        <v>1033</v>
      </c>
      <c r="I19" s="347" t="s">
        <v>1433</v>
      </c>
      <c r="J19" s="24">
        <f ca="1">IF(K19="按租金收入计税",ROUND(J5*M19,2),ROUND(C29*M19*0.7,2))</f>
        <v>17.86</v>
      </c>
      <c r="K19" s="1822" t="s">
        <v>1434</v>
      </c>
      <c r="L19" s="347" t="s">
        <v>1418</v>
      </c>
      <c r="M19" s="367">
        <f>IF(K19="按租金收入计税",'数据-取费表'!B51,'数据-取费表'!B50)</f>
        <v>1.2E-2</v>
      </c>
    </row>
    <row r="20" spans="1:37" s="1852" customFormat="1" ht="18" customHeight="1">
      <c r="A20" s="1203" t="s">
        <v>1036</v>
      </c>
      <c r="B20" s="347" t="s">
        <v>1435</v>
      </c>
      <c r="C20" s="24">
        <f ca="1">ROUND(C19*F20,0)</f>
        <v>28</v>
      </c>
      <c r="D20" s="369" t="s">
        <v>1436</v>
      </c>
      <c r="E20" s="347" t="s">
        <v>1418</v>
      </c>
      <c r="F20" s="367">
        <f>'数据-取费表'!B37</f>
        <v>0.02</v>
      </c>
      <c r="G20" s="1848"/>
      <c r="H20" s="1203" t="s">
        <v>1385</v>
      </c>
      <c r="I20" s="164" t="s">
        <v>1437</v>
      </c>
      <c r="J20" s="25">
        <f ca="1">ROUND(M20*M21/10000,2)</f>
        <v>1.28</v>
      </c>
      <c r="K20" s="370" t="s">
        <v>1438</v>
      </c>
      <c r="L20" s="347" t="s">
        <v>1439</v>
      </c>
      <c r="M20" s="371">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3" t="s">
        <v>1072</v>
      </c>
      <c r="B21" s="347" t="s">
        <v>1440</v>
      </c>
      <c r="C21" s="24" t="s">
        <v>1</v>
      </c>
      <c r="D21" s="369" t="s">
        <v>1441</v>
      </c>
      <c r="E21" s="347" t="s">
        <v>1442</v>
      </c>
      <c r="F21" s="367">
        <f>'数据-取费表'!B38</f>
        <v>0.02</v>
      </c>
      <c r="G21" s="1848"/>
      <c r="H21" s="372"/>
      <c r="I21" s="356"/>
      <c r="J21" s="29"/>
      <c r="K21" s="373"/>
      <c r="L21" s="347" t="s">
        <v>1443</v>
      </c>
      <c r="M21" s="348">
        <f ca="1">INDIRECT("'数据-取费表'!r"&amp;$G$1)</f>
        <v>711.96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2935"/>
      <c r="F22" s="26"/>
      <c r="G22" s="1845"/>
      <c r="H22" s="1203" t="s">
        <v>1036</v>
      </c>
      <c r="I22" s="347" t="s">
        <v>1445</v>
      </c>
      <c r="J22" s="24">
        <f ca="1">ROUND(J14*M22,1)</f>
        <v>31.9</v>
      </c>
      <c r="K22" s="2941" t="s">
        <v>1446</v>
      </c>
      <c r="L22" s="347" t="s">
        <v>1418</v>
      </c>
      <c r="M22" s="374">
        <f ca="1">INDIRECT("'数据-取费表'!Ak"&amp;$G$1)</f>
        <v>1.4999999999999999E-2</v>
      </c>
    </row>
    <row r="23" spans="1:37" s="1852" customFormat="1" ht="18" customHeight="1">
      <c r="A23" s="1203" t="s">
        <v>1031</v>
      </c>
      <c r="B23" s="347" t="s">
        <v>1447</v>
      </c>
      <c r="C23" s="24">
        <f ca="1">IF('数据-取费表'!B22&lt;=1,ROUND(C19*F24*F23/2,0)+ROUND(C20*F24*F23/2,0),ROUND(C19*(POWER((1+F24),F23/2)-1),0)+ROUND(C20*(POWER((1+F24),F23/2)-1),0))</f>
        <v>103</v>
      </c>
      <c r="D23" s="375" t="str">
        <f>IF(F23&lt;=1,"(建造成本+管理费用)×利率×(建设周期÷2)","(建造成本+管理费用)×((1+利率)^(建设周期÷2)-1)")</f>
        <v>(建造成本+管理费用)×((1+利率)^(建设周期÷2)-1)</v>
      </c>
      <c r="E23" s="347" t="s">
        <v>1448</v>
      </c>
      <c r="F23" s="371">
        <f>'数据-取费表'!B20</f>
        <v>3</v>
      </c>
      <c r="G23" s="1848"/>
      <c r="H23" s="1203" t="s">
        <v>1072</v>
      </c>
      <c r="I23" s="347" t="s">
        <v>1449</v>
      </c>
      <c r="J23" s="24">
        <f ca="1">ROUND(J13*M23,1)</f>
        <v>0</v>
      </c>
      <c r="K23" s="2941" t="s">
        <v>1450</v>
      </c>
      <c r="L23" s="347" t="s">
        <v>1418</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3"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8"/>
      <c r="H24" s="1341" t="s">
        <v>1388</v>
      </c>
      <c r="I24" s="1342" t="s">
        <v>1435</v>
      </c>
      <c r="J24" s="1343">
        <f ca="1">ROUND(J5*M24,1)</f>
        <v>0</v>
      </c>
      <c r="K24" s="1344" t="s">
        <v>1455</v>
      </c>
      <c r="L24" s="1342" t="s">
        <v>1418</v>
      </c>
      <c r="M24" s="1338">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203" t="s">
        <v>1456</v>
      </c>
      <c r="B25" s="347" t="s">
        <v>1457</v>
      </c>
      <c r="C25" s="24"/>
      <c r="D25" s="140" t="s">
        <v>1458</v>
      </c>
      <c r="E25" s="2935"/>
      <c r="F25" s="26"/>
      <c r="G25" s="1845"/>
      <c r="H25" s="1331" t="s">
        <v>1028</v>
      </c>
      <c r="I25" s="1346" t="s">
        <v>1459</v>
      </c>
      <c r="J25" s="355">
        <f ca="1">J5-J16</f>
        <v>-51</v>
      </c>
      <c r="K25" s="1347" t="s">
        <v>1460</v>
      </c>
      <c r="L25" s="1348"/>
      <c r="M25" s="1349"/>
    </row>
    <row r="26" spans="1:37">
      <c r="A26" s="1203" t="s">
        <v>1031</v>
      </c>
      <c r="B26" s="347" t="s">
        <v>1461</v>
      </c>
      <c r="C26" s="24">
        <f ca="1">ROUND((C19+C20)*F26,0)</f>
        <v>427</v>
      </c>
      <c r="D26" s="369" t="s">
        <v>1462</v>
      </c>
      <c r="E26" s="358" t="s">
        <v>1463</v>
      </c>
      <c r="F26" s="357">
        <f ca="1">INDIRECT("'数据-取费表'!q"&amp;$G$1)</f>
        <v>0.3</v>
      </c>
      <c r="G26" s="1845"/>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203" t="s">
        <v>1034</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41" t="s">
        <v>1035</v>
      </c>
      <c r="B29" s="1342" t="s">
        <v>1474</v>
      </c>
      <c r="C29" s="1343">
        <f ca="1">ROUND((C19+C20+C23+C26)/(1-F21-C24-C27-C28),0)</f>
        <v>2126</v>
      </c>
      <c r="D29" s="1344"/>
      <c r="E29" s="1342"/>
      <c r="F29" s="1345"/>
      <c r="G29" s="1848"/>
      <c r="H29" s="380" t="s">
        <v>1030</v>
      </c>
      <c r="I29" s="381" t="s">
        <v>1475</v>
      </c>
      <c r="J29" s="382">
        <f ca="1">ROUND(J26/(1+F40)^F41,0)</f>
        <v>0</v>
      </c>
      <c r="K29" s="383" t="s">
        <v>1476</v>
      </c>
      <c r="L29" s="384"/>
      <c r="M29" s="385">
        <f ca="1">INDIRECT("'数据-取费表'!k"&amp;$G$1)</f>
        <v>2526.41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31" t="s">
        <v>1027</v>
      </c>
      <c r="B30" s="1332" t="s">
        <v>1420</v>
      </c>
      <c r="C30" s="355">
        <f ca="1">ROUND(C31+C36+C37+C38,0)</f>
        <v>194</v>
      </c>
      <c r="D30" s="1339" t="s">
        <v>1421</v>
      </c>
      <c r="E30" s="2942"/>
      <c r="F30" s="1296"/>
      <c r="G30" s="1845"/>
      <c r="H30" s="744"/>
      <c r="I30" s="745"/>
      <c r="J30" s="746"/>
      <c r="K30" s="747"/>
      <c r="L30" s="748"/>
      <c r="M30" s="749"/>
    </row>
    <row r="31" spans="1:37" ht="18" customHeight="1">
      <c r="A31" s="1203" t="s">
        <v>1032</v>
      </c>
      <c r="B31" s="347" t="s">
        <v>1425</v>
      </c>
      <c r="C31" s="24">
        <f ca="1">ROUND(IF(项目基本情况!B11="自然人",C5*F31,C32+C33+C34),1)</f>
        <v>150.4</v>
      </c>
      <c r="D31" s="2940" t="s">
        <v>1426</v>
      </c>
      <c r="E31" s="2941" t="s">
        <v>1477</v>
      </c>
      <c r="F31" s="368" t="str">
        <f ca="1">IF(项目基本情况!B11="企业","",IF(INDIRECT("'数据-取费表'!c"&amp;$G$1)="住宅",5%,IF(F6*F7*F8/12/(1+'数据-取费表'!C42)&gt;20000,12%,7%)))</f>
        <v/>
      </c>
      <c r="G31" s="1845"/>
      <c r="H31" s="744"/>
      <c r="I31" s="745"/>
      <c r="J31" s="746"/>
      <c r="K31" s="747"/>
      <c r="L31" s="748"/>
      <c r="M31" s="749"/>
    </row>
    <row r="32" spans="1:37" ht="18" customHeight="1">
      <c r="A32" s="1203" t="s">
        <v>1031</v>
      </c>
      <c r="B32" s="347" t="s">
        <v>1429</v>
      </c>
      <c r="C32" s="24">
        <f ca="1">IF(项目基本情况!B11="自然人","——",ROUND(C5*F32/(1+'数据-取费表'!C42),2))</f>
        <v>45.87</v>
      </c>
      <c r="D32" s="2941" t="s">
        <v>1430</v>
      </c>
      <c r="E32" s="347" t="s">
        <v>1418</v>
      </c>
      <c r="F32" s="377">
        <f>'数据-取费表'!B41</f>
        <v>5.6000000000000001E-2</v>
      </c>
      <c r="G32" s="1845"/>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103.2</v>
      </c>
      <c r="D33" s="1822" t="s">
        <v>3319</v>
      </c>
      <c r="E33" s="347" t="s">
        <v>1418</v>
      </c>
      <c r="F33" s="367">
        <f>IF(D33="按票据","——",IF(D33="按租金收入计税",'数据-取费表'!B51,'数据-取费表'!B50))</f>
        <v>0.12</v>
      </c>
      <c r="G33" s="1845"/>
      <c r="H33" s="1853"/>
      <c r="I33" s="1854"/>
      <c r="J33" s="1855"/>
      <c r="K33" s="1856"/>
      <c r="L33" s="1853"/>
      <c r="M33" s="1853"/>
    </row>
    <row r="34" spans="1:18" ht="18" customHeight="1">
      <c r="A34" s="1293" t="s">
        <v>1385</v>
      </c>
      <c r="B34" s="164" t="s">
        <v>1437</v>
      </c>
      <c r="C34" s="25">
        <f ca="1">IF(项目基本情况!B11="自然人","——",ROUND(F34*F35/10000,2))</f>
        <v>1.28</v>
      </c>
      <c r="D34" s="370" t="s">
        <v>1438</v>
      </c>
      <c r="E34" s="347" t="s">
        <v>1439</v>
      </c>
      <c r="F34" s="371">
        <f>'数据-取费表'!B52</f>
        <v>18</v>
      </c>
      <c r="G34" s="1845"/>
      <c r="H34" s="744"/>
      <c r="I34" s="1854"/>
      <c r="J34" s="1855"/>
      <c r="K34" s="1857"/>
      <c r="L34" s="1858"/>
      <c r="M34" s="1858"/>
    </row>
    <row r="35" spans="1:18" ht="18" customHeight="1">
      <c r="A35" s="1355"/>
      <c r="B35" s="1353"/>
      <c r="C35" s="29"/>
      <c r="D35" s="373"/>
      <c r="E35" s="347" t="s">
        <v>1443</v>
      </c>
      <c r="F35" s="348">
        <f ca="1">INDIRECT("'数据-取费表'!r"&amp;$G$1)</f>
        <v>711.96</v>
      </c>
      <c r="G35" s="1845"/>
      <c r="H35" s="744"/>
      <c r="I35" s="1854"/>
      <c r="J35" s="1855"/>
      <c r="K35" s="1856"/>
      <c r="L35" s="1853"/>
      <c r="M35" s="1853"/>
    </row>
    <row r="36" spans="1:18" ht="18" customHeight="1">
      <c r="A36" s="1354" t="s">
        <v>1036</v>
      </c>
      <c r="B36" s="347" t="s">
        <v>1445</v>
      </c>
      <c r="C36" s="24">
        <f ca="1">ROUND(C29*F36,1)</f>
        <v>31.9</v>
      </c>
      <c r="D36" s="2941" t="s">
        <v>1478</v>
      </c>
      <c r="E36" s="347" t="s">
        <v>1418</v>
      </c>
      <c r="F36" s="374">
        <f ca="1">INDIRECT("'数据-取费表'!Ak"&amp;$G$1)</f>
        <v>1.4999999999999999E-2</v>
      </c>
      <c r="G36" s="1845"/>
      <c r="H36" s="1853"/>
      <c r="I36" s="1854"/>
      <c r="J36" s="1855"/>
      <c r="K36" s="750"/>
      <c r="L36" s="1853"/>
      <c r="M36" s="1853"/>
    </row>
    <row r="37" spans="1:18" ht="18" customHeight="1">
      <c r="A37" s="1203" t="s">
        <v>1072</v>
      </c>
      <c r="B37" s="347" t="s">
        <v>1449</v>
      </c>
      <c r="C37" s="24">
        <f ca="1">ROUND(C13*F37,1)</f>
        <v>2.6</v>
      </c>
      <c r="D37" s="2941" t="s">
        <v>1450</v>
      </c>
      <c r="E37" s="347" t="s">
        <v>1418</v>
      </c>
      <c r="F37" s="376">
        <f ca="1">INDIRECT("'数据-取费表'!Al"&amp;$G$1)</f>
        <v>1.5E-3</v>
      </c>
      <c r="G37" s="1845"/>
      <c r="H37" s="1853"/>
      <c r="I37" s="1854"/>
      <c r="J37" s="1855"/>
      <c r="K37" s="750"/>
      <c r="L37" s="1853"/>
      <c r="M37" s="1853"/>
    </row>
    <row r="38" spans="1:18" ht="18" customHeight="1" thickBot="1">
      <c r="A38" s="1341" t="s">
        <v>1388</v>
      </c>
      <c r="B38" s="1342" t="s">
        <v>1435</v>
      </c>
      <c r="C38" s="1343">
        <f ca="1">ROUND(C5*F38,1)</f>
        <v>8.6</v>
      </c>
      <c r="D38" s="1344" t="s">
        <v>1455</v>
      </c>
      <c r="E38" s="1342" t="s">
        <v>1418</v>
      </c>
      <c r="F38" s="1338">
        <f ca="1">INDIRECT("'数据-取费表'!Am"&amp;$G$1)</f>
        <v>0.01</v>
      </c>
      <c r="G38" s="1845"/>
      <c r="H38" s="1853"/>
      <c r="I38" s="1854"/>
      <c r="J38" s="1855"/>
      <c r="K38" s="1859"/>
      <c r="L38" s="1853"/>
      <c r="M38" s="1853"/>
    </row>
    <row r="39" spans="1:18" ht="24.6" customHeight="1" thickTop="1">
      <c r="A39" s="1331" t="s">
        <v>1028</v>
      </c>
      <c r="B39" s="1346" t="s">
        <v>1459</v>
      </c>
      <c r="C39" s="355">
        <f ca="1">C5-C30</f>
        <v>666</v>
      </c>
      <c r="D39" s="1347" t="s">
        <v>1460</v>
      </c>
      <c r="E39" s="1348"/>
      <c r="F39" s="1349"/>
      <c r="G39" s="1845"/>
      <c r="H39" s="1853"/>
      <c r="I39" s="1854"/>
      <c r="J39" s="1855"/>
      <c r="K39" s="1859"/>
      <c r="L39" s="1853"/>
      <c r="M39" s="1853"/>
    </row>
    <row r="40" spans="1:18" ht="18" customHeight="1">
      <c r="A40" s="344" t="s">
        <v>1029</v>
      </c>
      <c r="B40" s="345" t="s">
        <v>1481</v>
      </c>
      <c r="C40" s="346">
        <f ca="1">ROUND(C39*(1-((1+F42)/(1+F40))^F41)/(F40-F42),0)</f>
        <v>12329</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24.16</v>
      </c>
      <c r="G41" s="1845"/>
      <c r="H41" s="731"/>
      <c r="I41" s="1854"/>
      <c r="J41" s="1855"/>
      <c r="K41" s="750"/>
      <c r="L41" s="731"/>
      <c r="M41" s="731"/>
    </row>
    <row r="42" spans="1:18" ht="18" customHeight="1">
      <c r="A42" s="353"/>
      <c r="B42" s="354"/>
      <c r="C42" s="355"/>
      <c r="D42" s="373"/>
      <c r="E42" s="347" t="s">
        <v>1473</v>
      </c>
      <c r="F42" s="357">
        <f ca="1">INDIRECT("'数据-取费表'!v"&amp;$G$1)</f>
        <v>3.5000000000000003E-2</v>
      </c>
      <c r="G42" s="1845"/>
      <c r="H42" s="731"/>
      <c r="I42" s="1854"/>
      <c r="J42" s="1855"/>
      <c r="K42" s="750"/>
      <c r="L42" s="731"/>
      <c r="M42" s="731"/>
    </row>
    <row r="43" spans="1:18" ht="18" customHeight="1" thickBot="1">
      <c r="A43" s="380" t="s">
        <v>1030</v>
      </c>
      <c r="B43" s="381" t="s">
        <v>1483</v>
      </c>
      <c r="C43" s="382">
        <f ca="1">ROUND(C40*10000/F43,0)</f>
        <v>48800</v>
      </c>
      <c r="D43" s="383" t="s">
        <v>1484</v>
      </c>
      <c r="E43" s="384" t="s">
        <v>1485</v>
      </c>
      <c r="F43" s="385">
        <f ca="1">INDIRECT("'数据-取费表'!k"&amp;$G$1)</f>
        <v>2526.41</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1515</v>
      </c>
      <c r="P45" s="1833"/>
      <c r="Q45" s="1833"/>
      <c r="R45" s="1833"/>
    </row>
    <row r="46" spans="1:18" s="1836" customFormat="1" ht="13.5" thickBot="1">
      <c r="A46" s="1864" t="s">
        <v>1516</v>
      </c>
      <c r="C46" s="1865">
        <f ca="1">C68-C40</f>
        <v>-15153</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7" t="s">
        <v>1392</v>
      </c>
      <c r="B47" s="1199" t="s">
        <v>1393</v>
      </c>
      <c r="C47" s="1369" t="s">
        <v>1394</v>
      </c>
      <c r="D47" s="1199" t="s">
        <v>1395</v>
      </c>
      <c r="E47" s="1281" t="s">
        <v>1396</v>
      </c>
      <c r="F47" s="1282"/>
      <c r="G47" s="791"/>
      <c r="I47" s="1874" t="s">
        <v>1522</v>
      </c>
      <c r="J47" s="1875" t="s">
        <v>3322</v>
      </c>
      <c r="K47" s="1876" t="s">
        <v>1523</v>
      </c>
      <c r="L47" s="1877">
        <f ca="1">INDIRECT("'数据-取费表'!d"&amp;$G$1)</f>
        <v>40</v>
      </c>
      <c r="M47" s="1832" t="str">
        <f>IF(ISNUMBER(FIND("住宅",C1)),"住宅","非住宅")</f>
        <v>非住宅</v>
      </c>
      <c r="O47" s="1878" t="s">
        <v>1037</v>
      </c>
      <c r="P47" s="1879" t="s">
        <v>1524</v>
      </c>
      <c r="Q47" s="1880">
        <f ca="1">C40+J29</f>
        <v>12329</v>
      </c>
      <c r="R47" s="1880" t="s">
        <v>1525</v>
      </c>
    </row>
    <row r="48" spans="1:18" s="1836" customFormat="1" ht="28.5" thickBot="1">
      <c r="A48" s="1362" t="s">
        <v>1132</v>
      </c>
      <c r="B48" s="345" t="s">
        <v>1397</v>
      </c>
      <c r="C48" s="2934">
        <f ca="1">C49+C53+C55</f>
        <v>0</v>
      </c>
      <c r="D48" s="1364"/>
      <c r="E48" s="1365"/>
      <c r="F48" s="1183"/>
      <c r="G48" s="791"/>
      <c r="H48" s="792"/>
      <c r="I48" s="1881" t="s">
        <v>1526</v>
      </c>
      <c r="J48" s="1882" t="s">
        <v>3323</v>
      </c>
      <c r="K48" s="1883" t="s">
        <v>1527</v>
      </c>
      <c r="L48" s="1884">
        <f ca="1">INDIRECT("'数据-取费表'!f"&amp;$G$1)</f>
        <v>24.16</v>
      </c>
      <c r="O48" s="1878" t="s">
        <v>1038</v>
      </c>
      <c r="P48" s="1879" t="s">
        <v>1528</v>
      </c>
      <c r="Q48" s="1880" t="str">
        <f ca="1">J60</f>
        <v>0</v>
      </c>
      <c r="R48" s="1880" t="s">
        <v>1529</v>
      </c>
    </row>
    <row r="49" spans="1:18" s="1836" customFormat="1" ht="13.5" thickBot="1">
      <c r="A49" s="1196" t="s">
        <v>1133</v>
      </c>
      <c r="B49" s="1823" t="s">
        <v>1486</v>
      </c>
      <c r="C49" s="1366">
        <f ca="1">ROUND(F49*F51*F50*(1-F52)/10000,0)</f>
        <v>0</v>
      </c>
      <c r="D49" s="1278" t="s">
        <v>3029</v>
      </c>
      <c r="E49" s="1824" t="s">
        <v>1487</v>
      </c>
      <c r="F49" s="1283"/>
      <c r="G49" s="1885"/>
      <c r="H49" s="792"/>
      <c r="I49" s="1881" t="s">
        <v>1530</v>
      </c>
      <c r="J49" s="1886">
        <v>2008</v>
      </c>
      <c r="K49" s="1883" t="s">
        <v>1531</v>
      </c>
      <c r="L49" s="1887"/>
      <c r="O49" s="1888" t="s">
        <v>1039</v>
      </c>
      <c r="P49" s="1879" t="s">
        <v>1532</v>
      </c>
      <c r="Q49" s="1880">
        <f ca="1">C29</f>
        <v>2126</v>
      </c>
      <c r="R49" s="1880" t="s">
        <v>1525</v>
      </c>
    </row>
    <row r="50" spans="1:18" s="1836" customFormat="1" ht="13.5" thickBot="1">
      <c r="A50" s="1197"/>
      <c r="B50" s="1200"/>
      <c r="C50" s="1370"/>
      <c r="D50" s="1174"/>
      <c r="E50" s="1279" t="s">
        <v>1402</v>
      </c>
      <c r="F50" s="1280">
        <f ca="1">F7</f>
        <v>2526.41</v>
      </c>
      <c r="H50" s="792"/>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8"/>
      <c r="B51" s="1200"/>
      <c r="C51" s="1201"/>
      <c r="D51" s="1174"/>
      <c r="E51" s="1202" t="s">
        <v>1403</v>
      </c>
      <c r="F51" s="348">
        <f ca="1">F8</f>
        <v>365</v>
      </c>
      <c r="I51" s="1892" t="s">
        <v>1536</v>
      </c>
      <c r="J51" s="1893">
        <f>IF(J49="",J50,J49+J50-YEAR('数据-取费表'!B2))</f>
        <v>48</v>
      </c>
      <c r="K51" s="1894" t="s">
        <v>1537</v>
      </c>
      <c r="L51" s="1895">
        <f ca="1">ROUND(-PV(INDIRECT("'数据-取费表'!h"&amp;$G$1),L48,(C39-C13*C76),0),0)</f>
        <v>6946</v>
      </c>
      <c r="M51" s="1896"/>
      <c r="O51" s="1888" t="s">
        <v>1041</v>
      </c>
      <c r="P51" s="1879" t="s">
        <v>1538</v>
      </c>
      <c r="Q51" s="1891">
        <f>J52</f>
        <v>0</v>
      </c>
      <c r="R51" s="1880"/>
    </row>
    <row r="52" spans="1:18" s="1836" customFormat="1" ht="13.5" thickBot="1">
      <c r="A52" s="1198"/>
      <c r="B52" s="1200"/>
      <c r="C52" s="1201"/>
      <c r="D52" s="1174"/>
      <c r="E52" s="1202" t="s">
        <v>1404</v>
      </c>
      <c r="F52" s="1277"/>
      <c r="I52" s="1897" t="s">
        <v>1539</v>
      </c>
      <c r="J52" s="1898"/>
      <c r="K52" s="1897" t="s">
        <v>1540</v>
      </c>
      <c r="L52" s="1898"/>
      <c r="O52" s="1888" t="s">
        <v>1042</v>
      </c>
      <c r="P52" s="1879" t="s">
        <v>1541</v>
      </c>
      <c r="Q52" s="1880">
        <f ca="1">J53</f>
        <v>24.16</v>
      </c>
      <c r="R52" s="1880" t="s">
        <v>1542</v>
      </c>
    </row>
    <row r="53" spans="1:18" s="1836" customFormat="1" ht="24.75" thickBot="1">
      <c r="A53" s="1407" t="s">
        <v>1134</v>
      </c>
      <c r="B53" s="1825" t="s">
        <v>1405</v>
      </c>
      <c r="C53" s="361">
        <f ca="1">ROUND(IF(F53="押一",C49/12*F11,IF(F53="押二",C49/12*2*F11,IF(F53="押三",C49/12*3*F11,C54*F11))),0)</f>
        <v>0</v>
      </c>
      <c r="D53" s="1818" t="s">
        <v>3037</v>
      </c>
      <c r="E53" s="358" t="s">
        <v>1406</v>
      </c>
      <c r="F53" s="1368"/>
      <c r="I53" s="1899" t="s">
        <v>1543</v>
      </c>
      <c r="J53" s="1900">
        <f ca="1">IF(M47="住宅",IF(D1="——",MAX(J51,L48),IF(D1="在建（套用方法）",MAX(J51,L48-'数据-取费表'!B24),MAX(J51,L48-'数据-取费表'!B20))),IF(D1="——",MIN(J51,L48),IF(D1="在建（套用方法）",MIN(J51,L48-'数据-取费表'!B24),IF(D1="土地（套用方法）",MIN(J51,L48-'数据-取费表'!B20)))))</f>
        <v>24.16</v>
      </c>
      <c r="K53" s="3227" t="s">
        <v>1544</v>
      </c>
      <c r="L53" s="3228"/>
      <c r="O53" s="1878" t="s">
        <v>1043</v>
      </c>
      <c r="P53" s="1879" t="s">
        <v>1545</v>
      </c>
      <c r="Q53" s="1880">
        <f ca="1">Q47+Q48</f>
        <v>12329</v>
      </c>
      <c r="R53" s="1880" t="s">
        <v>1044</v>
      </c>
    </row>
    <row r="54" spans="1:18" s="1836" customFormat="1" ht="13.5" thickBot="1">
      <c r="A54" s="1408"/>
      <c r="B54" s="1819" t="s">
        <v>1384</v>
      </c>
      <c r="C54" s="1180"/>
      <c r="D54" s="1818"/>
      <c r="E54" s="2938"/>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35" t="s">
        <v>1072</v>
      </c>
      <c r="B55" s="1821" t="s">
        <v>1409</v>
      </c>
      <c r="C55" s="1336"/>
      <c r="D55" s="1818"/>
      <c r="E55" s="2938"/>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8">
        <v>2</v>
      </c>
      <c r="B56" s="1179" t="s">
        <v>1410</v>
      </c>
      <c r="C56" s="276">
        <f ca="1">C13</f>
        <v>1701</v>
      </c>
      <c r="D56" s="1908"/>
      <c r="E56" s="1909"/>
      <c r="F56" s="1901"/>
      <c r="I56" s="1910" t="s">
        <v>1550</v>
      </c>
      <c r="J56" s="1911" t="s">
        <v>3060</v>
      </c>
      <c r="K56" s="1881" t="s">
        <v>1551</v>
      </c>
      <c r="L56" s="1884" t="str">
        <f ca="1">IF(L48&lt;J51,"——",L48-J53)</f>
        <v>——</v>
      </c>
      <c r="O56" s="1878" t="s">
        <v>1037</v>
      </c>
      <c r="P56" s="1879" t="s">
        <v>1524</v>
      </c>
      <c r="Q56" s="1880">
        <f ca="1">C40+J29</f>
        <v>12329</v>
      </c>
      <c r="R56" s="1880" t="s">
        <v>1525</v>
      </c>
    </row>
    <row r="57" spans="1:18" s="1836" customFormat="1" ht="24.75" thickBot="1">
      <c r="A57" s="1912"/>
      <c r="B57" s="1171" t="s">
        <v>1474</v>
      </c>
      <c r="C57" s="282">
        <f ca="1">C29</f>
        <v>2126</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60" t="s">
        <v>1027</v>
      </c>
      <c r="B58" s="1179" t="s">
        <v>1420</v>
      </c>
      <c r="C58" s="361">
        <f ca="1">ROUND(C59+C64+C65+C66,0)</f>
        <v>214</v>
      </c>
      <c r="D58" s="1181" t="s">
        <v>1421</v>
      </c>
      <c r="E58" s="1182"/>
      <c r="F58" s="1183"/>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203" t="s">
        <v>1032</v>
      </c>
      <c r="B59" s="1171" t="s">
        <v>1425</v>
      </c>
      <c r="C59" s="24">
        <f ca="1">ROUND(IF(项目基本情况!B11="自然人",C48*F59,C60+C61+C62),1)</f>
        <v>179.9</v>
      </c>
      <c r="D59" s="1184" t="s">
        <v>1426</v>
      </c>
      <c r="E59" s="1185"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203" t="s">
        <v>1488</v>
      </c>
      <c r="B61" s="1171" t="s">
        <v>1433</v>
      </c>
      <c r="C61" s="24">
        <f ca="1">IF(项目基本情况!B11="自然人","——",IF(D61="按租金收入计税",ROUND(C48*F61,2),IF(D61="按房产原值计税",ROUND(C57*F61*0.7,2),INDIRECT("'数据-取费表'!Aj"&amp;$G$1))))</f>
        <v>178.58</v>
      </c>
      <c r="D61" s="1822" t="s">
        <v>1434</v>
      </c>
      <c r="E61" s="1171" t="s">
        <v>1418</v>
      </c>
      <c r="F61" s="367">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203" t="s">
        <v>1491</v>
      </c>
      <c r="B62" s="1170" t="s">
        <v>1437</v>
      </c>
      <c r="C62" s="25">
        <f ca="1">IF(项目基本情况!B11="自然人","——",ROUND(F62*F63/10000,2))</f>
        <v>1.28</v>
      </c>
      <c r="D62" s="1186" t="s">
        <v>1438</v>
      </c>
      <c r="E62" s="1171" t="s">
        <v>1439</v>
      </c>
      <c r="F62" s="371">
        <f t="shared" si="0"/>
        <v>18</v>
      </c>
      <c r="I62" s="1923" t="s">
        <v>1566</v>
      </c>
      <c r="J62" s="1924" t="s">
        <v>1567</v>
      </c>
      <c r="K62" s="1924" t="s">
        <v>1568</v>
      </c>
      <c r="L62" s="1924" t="s">
        <v>1569</v>
      </c>
      <c r="M62" s="1925" t="s">
        <v>1570</v>
      </c>
      <c r="O62" s="1878" t="s">
        <v>1043</v>
      </c>
      <c r="P62" s="1879" t="s">
        <v>1545</v>
      </c>
      <c r="Q62" s="1880">
        <f ca="1">Q56+Q57</f>
        <v>12329</v>
      </c>
      <c r="R62" s="1880" t="s">
        <v>1044</v>
      </c>
    </row>
    <row r="63" spans="1:18" s="1836" customFormat="1" ht="13.5" thickBot="1">
      <c r="A63" s="372"/>
      <c r="B63" s="1177"/>
      <c r="C63" s="29"/>
      <c r="D63" s="1187"/>
      <c r="E63" s="1171" t="s">
        <v>1443</v>
      </c>
      <c r="F63" s="348">
        <f t="shared" ca="1" si="0"/>
        <v>711.96</v>
      </c>
      <c r="I63" s="1923" t="s">
        <v>1572</v>
      </c>
      <c r="J63" s="1924">
        <v>70</v>
      </c>
      <c r="K63" s="1924">
        <v>50</v>
      </c>
      <c r="L63" s="1924">
        <v>80</v>
      </c>
      <c r="M63" s="1926">
        <v>0.02</v>
      </c>
      <c r="O63" s="1863" t="s">
        <v>1573</v>
      </c>
      <c r="P63" s="1833"/>
      <c r="Q63" s="1833"/>
      <c r="R63" s="1833"/>
    </row>
    <row r="64" spans="1:18" s="1836" customFormat="1" ht="13.5" thickBot="1">
      <c r="A64" s="1203" t="s">
        <v>1036</v>
      </c>
      <c r="B64" s="1171" t="s">
        <v>1445</v>
      </c>
      <c r="C64" s="24">
        <f ca="1">ROUND(C57*F64,1)</f>
        <v>31.9</v>
      </c>
      <c r="D64" s="1185" t="s">
        <v>1478</v>
      </c>
      <c r="E64" s="1171" t="s">
        <v>1418</v>
      </c>
      <c r="F64" s="374">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203" t="s">
        <v>1499</v>
      </c>
      <c r="B65" s="1171" t="s">
        <v>1449</v>
      </c>
      <c r="C65" s="24">
        <f ca="1">ROUND(C56*F65,1)</f>
        <v>2.6</v>
      </c>
      <c r="D65" s="1185" t="s">
        <v>1450</v>
      </c>
      <c r="E65" s="1171" t="s">
        <v>1418</v>
      </c>
      <c r="F65" s="376">
        <f t="shared" ca="1" si="0"/>
        <v>1.5E-3</v>
      </c>
      <c r="I65" s="1923" t="s">
        <v>1575</v>
      </c>
      <c r="J65" s="1924">
        <v>40</v>
      </c>
      <c r="K65" s="1924">
        <v>30</v>
      </c>
      <c r="L65" s="1924">
        <v>50</v>
      </c>
      <c r="M65" s="1926">
        <v>0.02</v>
      </c>
      <c r="O65" s="1878" t="s">
        <v>1037</v>
      </c>
      <c r="P65" s="1879" t="s">
        <v>1524</v>
      </c>
      <c r="Q65" s="1880">
        <f ca="1">C40+J29</f>
        <v>12329</v>
      </c>
      <c r="R65" s="1880" t="s">
        <v>1525</v>
      </c>
    </row>
    <row r="66" spans="1:18" s="1836" customFormat="1" ht="16.5" thickBot="1">
      <c r="A66" s="1203" t="s">
        <v>1500</v>
      </c>
      <c r="B66" s="1171" t="s">
        <v>1435</v>
      </c>
      <c r="C66" s="24">
        <f ca="1">ROUND(C48*F66,1)</f>
        <v>0</v>
      </c>
      <c r="D66" s="1185" t="s">
        <v>1455</v>
      </c>
      <c r="E66" s="1171" t="s">
        <v>1418</v>
      </c>
      <c r="F66" s="357">
        <f t="shared" ca="1" si="0"/>
        <v>0.01</v>
      </c>
      <c r="O66" s="1878" t="s">
        <v>1038</v>
      </c>
      <c r="P66" s="1879" t="s">
        <v>1554</v>
      </c>
      <c r="Q66" s="1880">
        <f ca="1">L60</f>
        <v>0</v>
      </c>
      <c r="R66" s="1880" t="s">
        <v>1577</v>
      </c>
    </row>
    <row r="67" spans="1:18" s="1836" customFormat="1" ht="16.5" thickBot="1">
      <c r="A67" s="1178" t="s">
        <v>1028</v>
      </c>
      <c r="B67" s="1188" t="s">
        <v>1459</v>
      </c>
      <c r="C67" s="361">
        <f ca="1">C48-C58</f>
        <v>-214</v>
      </c>
      <c r="D67" s="1184" t="s">
        <v>1460</v>
      </c>
      <c r="E67" s="1189"/>
      <c r="F67" s="1190"/>
      <c r="O67" s="1888" t="s">
        <v>1039</v>
      </c>
      <c r="P67" s="1879" t="s">
        <v>1558</v>
      </c>
      <c r="Q67" s="1927">
        <f ca="1">L51</f>
        <v>6946</v>
      </c>
      <c r="R67" s="1880" t="s">
        <v>1578</v>
      </c>
    </row>
    <row r="68" spans="1:18" s="1836" customFormat="1" ht="16.5" thickBot="1">
      <c r="A68" s="1168" t="s">
        <v>1029</v>
      </c>
      <c r="B68" s="1169" t="s">
        <v>1481</v>
      </c>
      <c r="C68" s="346">
        <f ca="1">ROUND(C67*(1-((1+F70)/(1+F68))^F69)/(F68-F70),0)</f>
        <v>-2824</v>
      </c>
      <c r="D68" s="1186" t="s">
        <v>1465</v>
      </c>
      <c r="E68" s="1171" t="s">
        <v>1466</v>
      </c>
      <c r="F68" s="357">
        <f ca="1">F40</f>
        <v>5.5E-2</v>
      </c>
      <c r="O68" s="1888" t="s">
        <v>1040</v>
      </c>
      <c r="P68" s="1928" t="s">
        <v>1579</v>
      </c>
      <c r="Q68" s="1880">
        <f ca="1">ROUND(Q69-Q70*Q71,0)</f>
        <v>521</v>
      </c>
      <c r="R68" s="1880" t="s">
        <v>1048</v>
      </c>
    </row>
    <row r="69" spans="1:18" s="1836" customFormat="1" ht="13.5" thickBot="1">
      <c r="A69" s="1172"/>
      <c r="B69" s="1173"/>
      <c r="C69" s="351"/>
      <c r="D69" s="1191" t="s">
        <v>1469</v>
      </c>
      <c r="E69" s="1171" t="s">
        <v>1470</v>
      </c>
      <c r="F69" s="379">
        <f ca="1">F41</f>
        <v>24.16</v>
      </c>
      <c r="O69" s="1888" t="s">
        <v>1045</v>
      </c>
      <c r="P69" s="1928" t="s">
        <v>1580</v>
      </c>
      <c r="Q69" s="1880">
        <f ca="1">C39</f>
        <v>666</v>
      </c>
      <c r="R69" s="1880" t="s">
        <v>1525</v>
      </c>
    </row>
    <row r="70" spans="1:18" s="1836" customFormat="1" ht="13.5" thickBot="1">
      <c r="A70" s="1175"/>
      <c r="B70" s="1176"/>
      <c r="C70" s="355"/>
      <c r="D70" s="1187"/>
      <c r="E70" s="1171" t="s">
        <v>1473</v>
      </c>
      <c r="F70" s="1277"/>
      <c r="O70" s="1888" t="s">
        <v>1046</v>
      </c>
      <c r="P70" s="1928" t="s">
        <v>1581</v>
      </c>
      <c r="Q70" s="1880">
        <f ca="1">C13</f>
        <v>1701</v>
      </c>
      <c r="R70" s="1880" t="s">
        <v>1525</v>
      </c>
    </row>
    <row r="71" spans="1:18" s="1836" customFormat="1" ht="13.5" thickBot="1">
      <c r="A71" s="1192" t="s">
        <v>1030</v>
      </c>
      <c r="B71" s="1193" t="s">
        <v>1483</v>
      </c>
      <c r="C71" s="382">
        <f ca="1">ROUND(C68*10000/F71,0)</f>
        <v>-11178</v>
      </c>
      <c r="D71" s="1194" t="s">
        <v>1484</v>
      </c>
      <c r="E71" s="1195" t="s">
        <v>1485</v>
      </c>
      <c r="F71" s="385">
        <f ca="1">F43</f>
        <v>2526.41</v>
      </c>
      <c r="O71" s="1888" t="s">
        <v>1047</v>
      </c>
      <c r="P71" s="1928" t="s">
        <v>1582</v>
      </c>
      <c r="Q71" s="1891">
        <f ca="1">C76</f>
        <v>8.5000000000000006E-2</v>
      </c>
      <c r="R71" s="1880"/>
    </row>
    <row r="72" spans="1:18" s="1836" customFormat="1" ht="13.5" thickBot="1">
      <c r="B72" s="795"/>
      <c r="C72" s="795"/>
      <c r="O72" s="1888" t="s">
        <v>1041</v>
      </c>
      <c r="P72" s="1879" t="s">
        <v>1560</v>
      </c>
      <c r="Q72" s="1891">
        <f>L52</f>
        <v>0</v>
      </c>
      <c r="R72" s="1880"/>
    </row>
    <row r="73" spans="1:18" ht="16.5" thickBot="1">
      <c r="A73" s="1836"/>
      <c r="B73" s="795"/>
      <c r="C73" s="795"/>
      <c r="D73" s="1836"/>
      <c r="E73" s="1836"/>
      <c r="F73" s="1836"/>
      <c r="O73" s="1888" t="s">
        <v>1042</v>
      </c>
      <c r="P73" s="1879" t="s">
        <v>1563</v>
      </c>
      <c r="Q73" s="1880" t="e">
        <f ca="1">L58</f>
        <v>#DIV/0!</v>
      </c>
      <c r="R73" s="1880" t="s">
        <v>1564</v>
      </c>
    </row>
    <row r="74" spans="1:18" ht="13.5" thickBot="1">
      <c r="A74" s="1836"/>
      <c r="B74" s="317"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6" t="s">
        <v>1502</v>
      </c>
      <c r="C75" s="387">
        <f ca="1">ROUND(C13*C76,0)</f>
        <v>145</v>
      </c>
      <c r="D75" s="1836"/>
      <c r="E75" s="1836"/>
      <c r="F75" s="1836"/>
      <c r="K75" s="1862"/>
      <c r="L75" s="1836"/>
      <c r="O75" s="1878" t="s">
        <v>1043</v>
      </c>
      <c r="P75" s="1879" t="s">
        <v>1545</v>
      </c>
      <c r="Q75" s="1880">
        <f ca="1">Q65+Q66</f>
        <v>12329</v>
      </c>
      <c r="R75" s="1880" t="s">
        <v>1044</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0.78200000000000003</v>
      </c>
    </row>
    <row r="80" spans="1:18">
      <c r="B80" s="386" t="s">
        <v>1507</v>
      </c>
      <c r="C80" s="318">
        <f ca="1">ROUND(C75/C39,3)</f>
        <v>0.218</v>
      </c>
    </row>
    <row r="81" spans="2:3">
      <c r="B81" s="314" t="s">
        <v>1508</v>
      </c>
      <c r="C81" s="282"/>
    </row>
    <row r="82" spans="2:3">
      <c r="B82" s="317" t="s">
        <v>1509</v>
      </c>
      <c r="C82" s="319">
        <f ca="1">1-C83</f>
        <v>0.86199999999999999</v>
      </c>
    </row>
    <row r="83" spans="2:3">
      <c r="B83" s="317" t="s">
        <v>1510</v>
      </c>
      <c r="C83" s="318">
        <f ca="1">ROUND(C13/C40,3)</f>
        <v>0.13800000000000001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5" zoomScale="70" zoomScaleNormal="70" zoomScaleSheetLayoutView="90" workbookViewId="0">
      <selection activeCell="F71" sqref="F71"/>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81"/>
      <c r="C1" s="1831" t="s">
        <v>3125</v>
      </c>
      <c r="D1" s="1814" t="s">
        <v>70</v>
      </c>
      <c r="E1" s="1815" t="s">
        <v>1383</v>
      </c>
      <c r="F1" s="1285">
        <f ca="1">J53</f>
        <v>24.16</v>
      </c>
      <c r="G1" s="1830">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1511</v>
      </c>
      <c r="B2" s="1838">
        <f ca="1">C40+J29+L46</f>
        <v>0</v>
      </c>
      <c r="C2" s="1839" t="s">
        <v>1512</v>
      </c>
      <c r="D2" s="1839"/>
      <c r="E2" s="1840"/>
      <c r="F2" s="1841"/>
      <c r="G2" s="1842"/>
      <c r="H2" s="1834"/>
      <c r="I2" s="1834"/>
      <c r="J2" s="1834"/>
      <c r="K2" s="1835"/>
      <c r="L2" s="1834"/>
      <c r="M2" s="1834"/>
    </row>
    <row r="3" spans="1:37" ht="18" customHeight="1" thickBot="1">
      <c r="A3" s="1843" t="s">
        <v>1513</v>
      </c>
      <c r="B3" s="1844">
        <f ca="1">IF(ISERROR(B2*10000/F43),0,ROUND(B2*10000/F43,0))</f>
        <v>0</v>
      </c>
      <c r="C3" s="1839" t="s">
        <v>1514</v>
      </c>
      <c r="D3" s="1839"/>
      <c r="E3" s="1840"/>
      <c r="F3" s="1841"/>
      <c r="G3" s="1842"/>
      <c r="H3" s="743"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94">
        <f ca="1">C6+C10+C12</f>
        <v>0</v>
      </c>
      <c r="D5" s="1816" t="s">
        <v>1398</v>
      </c>
      <c r="E5" s="1295"/>
      <c r="F5" s="1296"/>
      <c r="G5" s="1845"/>
      <c r="H5" s="344">
        <v>1</v>
      </c>
      <c r="I5" s="345" t="s">
        <v>1397</v>
      </c>
      <c r="J5" s="1294">
        <f ca="1">J6+J10+J12</f>
        <v>0</v>
      </c>
      <c r="K5" s="1816" t="s">
        <v>1398</v>
      </c>
      <c r="L5" s="1295"/>
      <c r="M5" s="1296"/>
    </row>
    <row r="6" spans="1:37" ht="18" customHeight="1">
      <c r="A6" s="1293" t="s">
        <v>1032</v>
      </c>
      <c r="B6" s="3224" t="s">
        <v>1399</v>
      </c>
      <c r="C6" s="1298">
        <f ca="1">ROUND(F6*F8*F7*(1-F9)/10000,0)</f>
        <v>0</v>
      </c>
      <c r="D6" s="164" t="s">
        <v>3030</v>
      </c>
      <c r="E6" s="347" t="s">
        <v>1401</v>
      </c>
      <c r="F6" s="348">
        <f ca="1">INDIRECT("'数据-取费表'!u"&amp;$G$1)</f>
        <v>7.26</v>
      </c>
      <c r="G6" s="1845"/>
      <c r="H6" s="1293" t="s">
        <v>1032</v>
      </c>
      <c r="I6" s="3224" t="s">
        <v>1399</v>
      </c>
      <c r="J6" s="346">
        <f ca="1">ROUND(M6*M8*M7*(1-M9)/10000,0)</f>
        <v>0</v>
      </c>
      <c r="K6" s="164" t="s">
        <v>3029</v>
      </c>
      <c r="L6" s="347" t="s">
        <v>1401</v>
      </c>
      <c r="M6" s="348">
        <f ca="1">INDIRECT("'数据-取费表'!z"&amp;$G$1)</f>
        <v>16.309999999999999</v>
      </c>
    </row>
    <row r="7" spans="1:37" ht="18" customHeight="1">
      <c r="A7" s="1297"/>
      <c r="B7" s="3225"/>
      <c r="C7" s="1299"/>
      <c r="D7" s="352"/>
      <c r="E7" s="1300" t="s">
        <v>1402</v>
      </c>
      <c r="F7" s="348">
        <f ca="1">IF(INDIRECT("'数据-取费表'!ah"&amp;$G$1)="",INDIRECT("'数据-取费表'!k"&amp;$G$1),INDIRECT("'数据-取费表'!ah"&amp;$G$1))</f>
        <v>0</v>
      </c>
      <c r="G7" s="1845"/>
      <c r="H7" s="349"/>
      <c r="I7" s="3225"/>
      <c r="J7" s="351"/>
      <c r="K7" s="352"/>
      <c r="L7" s="347" t="s">
        <v>1402</v>
      </c>
      <c r="M7" s="348">
        <f ca="1">F7</f>
        <v>0</v>
      </c>
    </row>
    <row r="8" spans="1:37" ht="18" customHeight="1">
      <c r="A8" s="349"/>
      <c r="B8" s="3225"/>
      <c r="C8" s="351"/>
      <c r="D8" s="352"/>
      <c r="E8" s="347" t="s">
        <v>1403</v>
      </c>
      <c r="F8" s="348">
        <f ca="1">INDIRECT("'数据-取费表'!ai"&amp;$G$1)</f>
        <v>365</v>
      </c>
      <c r="G8" s="1845"/>
      <c r="H8" s="349"/>
      <c r="I8" s="3225"/>
      <c r="J8" s="351"/>
      <c r="K8" s="352"/>
      <c r="L8" s="347" t="s">
        <v>1403</v>
      </c>
      <c r="M8" s="348">
        <f ca="1">INDIRECT("'数据-取费表'!ai"&amp;$G$1)</f>
        <v>365</v>
      </c>
    </row>
    <row r="9" spans="1:37" ht="18" customHeight="1">
      <c r="A9" s="349"/>
      <c r="B9" s="3226"/>
      <c r="C9" s="351"/>
      <c r="D9" s="352"/>
      <c r="E9" s="347" t="s">
        <v>1404</v>
      </c>
      <c r="F9" s="357">
        <f ca="1">INDIRECT("'数据-取费表'!w"&amp;$G$1)</f>
        <v>0</v>
      </c>
      <c r="G9" s="1845"/>
      <c r="H9" s="349"/>
      <c r="I9" s="3226"/>
      <c r="J9" s="351"/>
      <c r="K9" s="352"/>
      <c r="L9" s="358" t="s">
        <v>1404</v>
      </c>
      <c r="M9" s="359">
        <f ca="1">INDIRECT("'数据-取费表'!ab"&amp;$G$1)</f>
        <v>0.05</v>
      </c>
    </row>
    <row r="10" spans="1:37" ht="18" customHeight="1">
      <c r="A10" s="1293" t="s">
        <v>1036</v>
      </c>
      <c r="B10" s="1817" t="s">
        <v>1405</v>
      </c>
      <c r="C10" s="361">
        <f ca="1">ROUND(IF(F10="押一",C6/12*F11,IF(F10="押二",C6/12*2*F11,IF(F10="押三",C6/12*3*F11,C11*F11))),0)</f>
        <v>0</v>
      </c>
      <c r="D10" s="1818" t="s">
        <v>3038</v>
      </c>
      <c r="E10" s="358" t="s">
        <v>1406</v>
      </c>
      <c r="F10" s="1368" t="s">
        <v>3318</v>
      </c>
      <c r="G10" s="1845"/>
      <c r="H10" s="1293" t="s">
        <v>1036</v>
      </c>
      <c r="I10" s="1817" t="s">
        <v>1405</v>
      </c>
      <c r="J10" s="346">
        <f ca="1">ROUND(IF(M10="押一",J6/12*M11,IF(M10="押二",J6/12*2*M11,IF(M10="押三",J6/12*3*M11,J11*M11))),0)</f>
        <v>0</v>
      </c>
      <c r="K10" s="1818" t="s">
        <v>3037</v>
      </c>
      <c r="L10" s="358" t="s">
        <v>1406</v>
      </c>
      <c r="M10" s="1368" t="s">
        <v>3318</v>
      </c>
    </row>
    <row r="11" spans="1:37" ht="18" customHeight="1">
      <c r="A11" s="353"/>
      <c r="B11" s="1819" t="s">
        <v>1384</v>
      </c>
      <c r="C11" s="1180"/>
      <c r="D11" s="1820"/>
      <c r="E11" s="358" t="s">
        <v>1408</v>
      </c>
      <c r="F11" s="359">
        <f ca="1">'数据-取费表'!B39</f>
        <v>1.4999999999999999E-2</v>
      </c>
      <c r="G11" s="1845"/>
      <c r="H11" s="1301"/>
      <c r="I11" s="1819" t="s">
        <v>1384</v>
      </c>
      <c r="J11" s="1180"/>
      <c r="K11" s="747"/>
      <c r="L11" s="358" t="s">
        <v>1408</v>
      </c>
      <c r="M11" s="1058">
        <f ca="1">'数据-取费表'!B39</f>
        <v>1.4999999999999999E-2</v>
      </c>
    </row>
    <row r="12" spans="1:37" ht="18" customHeight="1" thickBot="1">
      <c r="A12" s="1335" t="s">
        <v>1072</v>
      </c>
      <c r="B12" s="1821" t="s">
        <v>1409</v>
      </c>
      <c r="C12" s="1336"/>
      <c r="D12" s="1337"/>
      <c r="E12" s="1342"/>
      <c r="F12" s="1338"/>
      <c r="G12" s="1845"/>
      <c r="H12" s="1335" t="s">
        <v>1072</v>
      </c>
      <c r="I12" s="1821"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0.8</v>
      </c>
      <c r="G13" s="1845"/>
      <c r="H13" s="1331">
        <v>2</v>
      </c>
      <c r="I13" s="1332" t="s">
        <v>1410</v>
      </c>
      <c r="J13" s="1292">
        <f ca="1">ROUND(J14*J15,0)</f>
        <v>0</v>
      </c>
      <c r="K13" s="1339" t="s">
        <v>1411</v>
      </c>
      <c r="L13" s="1846"/>
      <c r="M13" s="1847"/>
    </row>
    <row r="14" spans="1:37" ht="18" customHeight="1">
      <c r="A14" s="1203" t="s">
        <v>1031</v>
      </c>
      <c r="B14" s="347" t="s">
        <v>1413</v>
      </c>
      <c r="C14" s="363">
        <f ca="1">INDIRECT("'数据-取费表'!m"&amp;$G$1)+INDIRECT("'数据-取费表'!t"&amp;$G$1)</f>
        <v>0</v>
      </c>
      <c r="D14" s="1794" t="s">
        <v>1414</v>
      </c>
      <c r="E14" s="1788"/>
      <c r="F14" s="364"/>
      <c r="G14" s="1845"/>
      <c r="H14" s="1203" t="s">
        <v>1032</v>
      </c>
      <c r="I14" s="347" t="s">
        <v>1415</v>
      </c>
      <c r="J14" s="24">
        <f ca="1">C29</f>
        <v>0</v>
      </c>
      <c r="K14" s="15"/>
      <c r="L14" s="981"/>
      <c r="M14" s="982"/>
    </row>
    <row r="15" spans="1:37" s="1852" customFormat="1" ht="18" customHeight="1" thickBot="1">
      <c r="A15" s="1203" t="s">
        <v>1033</v>
      </c>
      <c r="B15" s="347" t="s">
        <v>1416</v>
      </c>
      <c r="C15" s="24">
        <f ca="1">ROUND(C14*F15,0)</f>
        <v>0</v>
      </c>
      <c r="D15" s="365" t="s">
        <v>1417</v>
      </c>
      <c r="E15" s="365" t="s">
        <v>1418</v>
      </c>
      <c r="F15" s="366">
        <f>'数据-取费表'!B33</f>
        <v>0.05</v>
      </c>
      <c r="G15" s="1848"/>
      <c r="H15" s="1341" t="s">
        <v>1036</v>
      </c>
      <c r="I15" s="1342" t="s">
        <v>1412</v>
      </c>
      <c r="J15" s="1351">
        <f ca="1">INDIRECT("'数据-取费表'!ad"&amp;$G$1)</f>
        <v>0.78</v>
      </c>
      <c r="K15" s="1352"/>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45"/>
      <c r="H16" s="1331" t="s">
        <v>1027</v>
      </c>
      <c r="I16" s="1332" t="s">
        <v>1420</v>
      </c>
      <c r="J16" s="355">
        <f ca="1">ROUND(J17+J22+J23+J24,0)</f>
        <v>0</v>
      </c>
      <c r="K16" s="1339" t="s">
        <v>1421</v>
      </c>
      <c r="L16" s="1340"/>
      <c r="M16" s="1296"/>
    </row>
    <row r="17" spans="1:37" s="1852" customFormat="1" ht="18" customHeight="1">
      <c r="A17" s="1203" t="s">
        <v>1386</v>
      </c>
      <c r="B17" s="347" t="s">
        <v>1422</v>
      </c>
      <c r="C17" s="24">
        <f ca="1">ROUND(F17*(F43+INDIRECT("'数据-取费表'!S"&amp;$G$1))/10000,0)</f>
        <v>0</v>
      </c>
      <c r="D17" s="347" t="s">
        <v>1423</v>
      </c>
      <c r="E17" s="347" t="s">
        <v>1424</v>
      </c>
      <c r="F17" s="26">
        <f>'数据-取费表'!B35</f>
        <v>200</v>
      </c>
      <c r="G17" s="1848"/>
      <c r="H17" s="1203" t="s">
        <v>1032</v>
      </c>
      <c r="I17" s="347" t="s">
        <v>1425</v>
      </c>
      <c r="J17" s="24">
        <f ca="1">ROUND(IF(项目基本情况!B11="自然人",J5*M17,J18+J19+J20),1)</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3" t="s">
        <v>1387</v>
      </c>
      <c r="B18" s="347" t="s">
        <v>1428</v>
      </c>
      <c r="C18" s="24">
        <f ca="1">ROUND(C14*F18,0)</f>
        <v>0</v>
      </c>
      <c r="D18" s="347" t="s">
        <v>1417</v>
      </c>
      <c r="E18" s="347" t="s">
        <v>1418</v>
      </c>
      <c r="F18" s="367">
        <f>'数据-取费表'!B36</f>
        <v>1.4999999999999999E-2</v>
      </c>
      <c r="G18" s="1848"/>
      <c r="H18" s="1203" t="s">
        <v>1031</v>
      </c>
      <c r="I18" s="347" t="s">
        <v>1429</v>
      </c>
      <c r="J18" s="24">
        <f ca="1">ROUND(J5*M18/(1+'数据-取费表'!C42),2)</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3" t="s">
        <v>1032</v>
      </c>
      <c r="B19" s="347" t="s">
        <v>1431</v>
      </c>
      <c r="C19" s="24">
        <f ca="1">SUM(C14:C18)</f>
        <v>0</v>
      </c>
      <c r="D19" s="140" t="s">
        <v>1432</v>
      </c>
      <c r="E19" s="1812"/>
      <c r="F19" s="26"/>
      <c r="G19" s="1845"/>
      <c r="H19" s="1203" t="s">
        <v>1033</v>
      </c>
      <c r="I19" s="347" t="s">
        <v>1433</v>
      </c>
      <c r="J19" s="24">
        <f ca="1">IF(K19="按租金收入计税",ROUND(J5*M19,2),ROUND(C29*M19*0.7,2))</f>
        <v>0</v>
      </c>
      <c r="K19" s="1822" t="s">
        <v>3319</v>
      </c>
      <c r="L19" s="347" t="s">
        <v>1418</v>
      </c>
      <c r="M19" s="367">
        <f>IF(K19="按租金收入计税",'数据-取费表'!B51,'数据-取费表'!B50)</f>
        <v>0.12</v>
      </c>
    </row>
    <row r="20" spans="1:37" s="1852" customFormat="1" ht="18" customHeight="1">
      <c r="A20" s="1203" t="s">
        <v>1036</v>
      </c>
      <c r="B20" s="347" t="s">
        <v>1435</v>
      </c>
      <c r="C20" s="24">
        <f ca="1">ROUND(C19*F20,0)</f>
        <v>0</v>
      </c>
      <c r="D20" s="369" t="s">
        <v>1436</v>
      </c>
      <c r="E20" s="347" t="s">
        <v>1418</v>
      </c>
      <c r="F20" s="367">
        <f>'数据-取费表'!B37</f>
        <v>0.02</v>
      </c>
      <c r="G20" s="1848"/>
      <c r="H20" s="1203" t="s">
        <v>1385</v>
      </c>
      <c r="I20" s="164" t="s">
        <v>1437</v>
      </c>
      <c r="J20" s="25">
        <f ca="1">ROUND(M20*M21/10000,2)</f>
        <v>0</v>
      </c>
      <c r="K20" s="370" t="s">
        <v>1438</v>
      </c>
      <c r="L20" s="347" t="s">
        <v>1439</v>
      </c>
      <c r="M20" s="371">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3" t="s">
        <v>1072</v>
      </c>
      <c r="B21" s="347" t="s">
        <v>1440</v>
      </c>
      <c r="C21" s="24" t="s">
        <v>18</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2"/>
      <c r="F22" s="26"/>
      <c r="G22" s="1845"/>
      <c r="H22" s="1203" t="s">
        <v>1036</v>
      </c>
      <c r="I22" s="347" t="s">
        <v>1445</v>
      </c>
      <c r="J22" s="24">
        <f ca="1">ROUND(J14*M22,1)</f>
        <v>0</v>
      </c>
      <c r="K22" s="1792" t="s">
        <v>1446</v>
      </c>
      <c r="L22" s="347" t="s">
        <v>1418</v>
      </c>
      <c r="M22" s="374">
        <f ca="1">INDIRECT("'数据-取费表'!Ak"&amp;$G$1)</f>
        <v>1.4999999999999999E-2</v>
      </c>
    </row>
    <row r="23" spans="1:37" s="1852"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48"/>
      <c r="H23" s="1203" t="s">
        <v>1072</v>
      </c>
      <c r="I23" s="347" t="s">
        <v>1449</v>
      </c>
      <c r="J23" s="24">
        <f ca="1">ROUND(J13*M23,1)</f>
        <v>0</v>
      </c>
      <c r="K23" s="1792" t="s">
        <v>1450</v>
      </c>
      <c r="L23" s="347" t="s">
        <v>1451</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3"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8"/>
      <c r="H24" s="1341" t="s">
        <v>1389</v>
      </c>
      <c r="I24" s="1342" t="s">
        <v>1435</v>
      </c>
      <c r="J24" s="1343">
        <f ca="1">ROUND(J5*M24,1)</f>
        <v>0</v>
      </c>
      <c r="K24" s="1344" t="s">
        <v>1455</v>
      </c>
      <c r="L24" s="1342" t="s">
        <v>1451</v>
      </c>
      <c r="M24" s="1338">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203" t="s">
        <v>1456</v>
      </c>
      <c r="B25" s="347" t="s">
        <v>1457</v>
      </c>
      <c r="C25" s="24"/>
      <c r="D25" s="140" t="s">
        <v>1458</v>
      </c>
      <c r="E25" s="1812"/>
      <c r="F25" s="26"/>
      <c r="G25" s="1845"/>
      <c r="H25" s="1331" t="s">
        <v>1028</v>
      </c>
      <c r="I25" s="1346" t="s">
        <v>1459</v>
      </c>
      <c r="J25" s="355">
        <f ca="1">J5-J16</f>
        <v>0</v>
      </c>
      <c r="K25" s="1347" t="s">
        <v>1460</v>
      </c>
      <c r="L25" s="1348"/>
      <c r="M25" s="1349"/>
    </row>
    <row r="26" spans="1:37">
      <c r="A26" s="1203" t="s">
        <v>1031</v>
      </c>
      <c r="B26" s="347" t="s">
        <v>1461</v>
      </c>
      <c r="C26" s="24">
        <f ca="1">ROUND((C19+C20)*F26,0)</f>
        <v>0</v>
      </c>
      <c r="D26" s="369" t="s">
        <v>1462</v>
      </c>
      <c r="E26" s="358" t="s">
        <v>1463</v>
      </c>
      <c r="F26" s="357">
        <f ca="1">INDIRECT("'数据-取费表'!q"&amp;$G$1)</f>
        <v>0.3</v>
      </c>
      <c r="G26" s="1845"/>
      <c r="H26" s="344" t="s">
        <v>1029</v>
      </c>
      <c r="I26" s="345" t="s">
        <v>1464</v>
      </c>
      <c r="J26" s="346">
        <f ca="1">IF(J5&lt;&gt;0,ROUND(J25*(1-((1+M28)/(1+M26))^M27)/(M26-M28),0),0)</f>
        <v>0</v>
      </c>
      <c r="K26" s="370" t="s">
        <v>1465</v>
      </c>
      <c r="L26" s="347" t="s">
        <v>1466</v>
      </c>
      <c r="M26" s="357">
        <f ca="1">INDIRECT("'数据-取费表'!I"&amp;$G$1)</f>
        <v>5.5E-2</v>
      </c>
    </row>
    <row r="27" spans="1:37" ht="18" customHeight="1">
      <c r="A27" s="1203" t="s">
        <v>1033</v>
      </c>
      <c r="B27" s="347" t="s">
        <v>1467</v>
      </c>
      <c r="C27" s="24">
        <f ca="1">ROUND(F21*F26,4)</f>
        <v>6.0000000000000001E-3</v>
      </c>
      <c r="D27" s="369" t="s">
        <v>1468</v>
      </c>
      <c r="E27" s="365"/>
      <c r="F27" s="366"/>
      <c r="G27" s="1845"/>
      <c r="H27" s="349"/>
      <c r="I27" s="350"/>
      <c r="J27" s="351"/>
      <c r="K27" s="378" t="s">
        <v>1469</v>
      </c>
      <c r="L27" s="347" t="s">
        <v>1470</v>
      </c>
      <c r="M27" s="379">
        <f ca="1">INDIRECT("'数据-取费表'!ag"&amp;$G$1)</f>
        <v>21.73</v>
      </c>
    </row>
    <row r="28" spans="1:37" s="1852" customFormat="1" ht="18" customHeight="1">
      <c r="A28" s="1203" t="s">
        <v>1034</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3.5000000000000003E-2</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41" t="s">
        <v>1035</v>
      </c>
      <c r="B29" s="1342" t="s">
        <v>1474</v>
      </c>
      <c r="C29" s="1343">
        <f ca="1">ROUND((C19+C20+C23+C26)/(1-F21-C24-C27-C28),0)</f>
        <v>0</v>
      </c>
      <c r="D29" s="1344"/>
      <c r="E29" s="1342"/>
      <c r="F29" s="1345"/>
      <c r="G29" s="1848"/>
      <c r="H29" s="380" t="s">
        <v>1030</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31" t="s">
        <v>1027</v>
      </c>
      <c r="B30" s="1332" t="s">
        <v>1420</v>
      </c>
      <c r="C30" s="355">
        <f ca="1">ROUND(C31+C36+C37+C38,0)</f>
        <v>0</v>
      </c>
      <c r="D30" s="1339" t="s">
        <v>1421</v>
      </c>
      <c r="E30" s="1340"/>
      <c r="F30" s="1296"/>
      <c r="G30" s="1845"/>
      <c r="H30" s="744"/>
      <c r="I30" s="745"/>
      <c r="J30" s="746"/>
      <c r="K30" s="747"/>
      <c r="L30" s="748"/>
      <c r="M30" s="749"/>
    </row>
    <row r="31" spans="1:37" ht="18" customHeight="1">
      <c r="A31" s="1203" t="s">
        <v>1032</v>
      </c>
      <c r="B31" s="347" t="s">
        <v>1425</v>
      </c>
      <c r="C31" s="24">
        <f ca="1">ROUND(IF(项目基本情况!B11="自然人",C5*F31,C32+C33+C34),1)</f>
        <v>0</v>
      </c>
      <c r="D31" s="1794" t="s">
        <v>1426</v>
      </c>
      <c r="E31" s="1792" t="s">
        <v>1477</v>
      </c>
      <c r="F31" s="368" t="str">
        <f ca="1">IF(项目基本情况!B11="企业","",IF(INDIRECT("'数据-取费表'!c"&amp;$G$1)="住宅",5%,IF(F6*F7*F8/12/(1+'数据-取费表'!C42)&gt;20000,12%,7%)))</f>
        <v/>
      </c>
      <c r="G31" s="1845"/>
      <c r="H31" s="744"/>
      <c r="I31" s="745"/>
      <c r="J31" s="746"/>
      <c r="K31" s="747"/>
      <c r="L31" s="748"/>
      <c r="M31" s="749"/>
    </row>
    <row r="32" spans="1:37" ht="18" customHeight="1">
      <c r="A32" s="1203" t="s">
        <v>1031</v>
      </c>
      <c r="B32" s="347" t="s">
        <v>1429</v>
      </c>
      <c r="C32" s="24">
        <f ca="1">IF(项目基本情况!B11="自然人","——",ROUND(C5*F32/(1+'数据-取费表'!C42),2))</f>
        <v>0</v>
      </c>
      <c r="D32" s="1792" t="s">
        <v>1430</v>
      </c>
      <c r="E32" s="347" t="s">
        <v>1418</v>
      </c>
      <c r="F32" s="377">
        <f>'数据-取费表'!B41</f>
        <v>5.6000000000000001E-2</v>
      </c>
      <c r="G32" s="1845"/>
      <c r="H32" s="744"/>
      <c r="I32" s="745"/>
      <c r="J32" s="746"/>
      <c r="K32" s="747"/>
      <c r="L32" s="748"/>
      <c r="M32" s="749"/>
    </row>
    <row r="33" spans="1:18" ht="18" customHeight="1">
      <c r="A33" s="1203" t="s">
        <v>1033</v>
      </c>
      <c r="B33" s="347" t="s">
        <v>1433</v>
      </c>
      <c r="C33" s="24">
        <f ca="1">IF(项目基本情况!B11="自然人","——",IF(D33="按租金收入计税",ROUND(C5*F33,2),IF(D33="按房产原值计税",ROUND(C29*F33*0.7,2),INDIRECT("'数据-取费表'!Aj"&amp;$G$1))))</f>
        <v>0</v>
      </c>
      <c r="D33" s="1822" t="s">
        <v>3319</v>
      </c>
      <c r="E33" s="347" t="s">
        <v>1418</v>
      </c>
      <c r="F33" s="367">
        <f>IF(D33="按票据","——",IF(D33="按租金收入计税",'数据-取费表'!B51,'数据-取费表'!B50))</f>
        <v>0.12</v>
      </c>
      <c r="G33" s="1845"/>
      <c r="H33" s="1853"/>
      <c r="I33" s="1854"/>
      <c r="J33" s="1855"/>
      <c r="K33" s="1856"/>
      <c r="L33" s="1853"/>
      <c r="M33" s="1853"/>
    </row>
    <row r="34" spans="1:18" ht="18" customHeight="1">
      <c r="A34" s="1293" t="s">
        <v>1385</v>
      </c>
      <c r="B34" s="164" t="s">
        <v>1437</v>
      </c>
      <c r="C34" s="25">
        <f ca="1">IF(项目基本情况!B11="自然人","——",ROUND(F34*F35/10000,2))</f>
        <v>0</v>
      </c>
      <c r="D34" s="370" t="s">
        <v>1438</v>
      </c>
      <c r="E34" s="347" t="s">
        <v>1439</v>
      </c>
      <c r="F34" s="371">
        <f>'数据-取费表'!B52</f>
        <v>18</v>
      </c>
      <c r="G34" s="1845"/>
      <c r="H34" s="744"/>
      <c r="I34" s="1854"/>
      <c r="J34" s="1855"/>
      <c r="K34" s="1857"/>
      <c r="L34" s="1858"/>
      <c r="M34" s="1858"/>
    </row>
    <row r="35" spans="1:18" ht="18" customHeight="1">
      <c r="A35" s="1355"/>
      <c r="B35" s="1353"/>
      <c r="C35" s="29"/>
      <c r="D35" s="373"/>
      <c r="E35" s="347" t="s">
        <v>1443</v>
      </c>
      <c r="F35" s="348">
        <f ca="1">INDIRECT("'数据-取费表'!r"&amp;$G$1)</f>
        <v>0</v>
      </c>
      <c r="G35" s="1845"/>
      <c r="H35" s="744"/>
      <c r="I35" s="1854"/>
      <c r="J35" s="1855"/>
      <c r="K35" s="1856"/>
      <c r="L35" s="1853"/>
      <c r="M35" s="1853"/>
    </row>
    <row r="36" spans="1:18" ht="18" customHeight="1">
      <c r="A36" s="1354" t="s">
        <v>1036</v>
      </c>
      <c r="B36" s="347" t="s">
        <v>1445</v>
      </c>
      <c r="C36" s="24">
        <f ca="1">ROUND(C29*F36,1)</f>
        <v>0</v>
      </c>
      <c r="D36" s="1792" t="s">
        <v>1478</v>
      </c>
      <c r="E36" s="347" t="s">
        <v>1418</v>
      </c>
      <c r="F36" s="374">
        <f ca="1">INDIRECT("'数据-取费表'!Ak"&amp;$G$1)</f>
        <v>1.4999999999999999E-2</v>
      </c>
      <c r="G36" s="1845"/>
      <c r="H36" s="1853"/>
      <c r="I36" s="1854"/>
      <c r="J36" s="1855"/>
      <c r="K36" s="750"/>
      <c r="L36" s="1853"/>
      <c r="M36" s="1853"/>
    </row>
    <row r="37" spans="1:18" ht="18" customHeight="1">
      <c r="A37" s="1203" t="s">
        <v>1072</v>
      </c>
      <c r="B37" s="347" t="s">
        <v>1449</v>
      </c>
      <c r="C37" s="24">
        <f ca="1">ROUND(C13*F37,1)</f>
        <v>0</v>
      </c>
      <c r="D37" s="1792" t="s">
        <v>1450</v>
      </c>
      <c r="E37" s="347" t="s">
        <v>1451</v>
      </c>
      <c r="F37" s="376">
        <f ca="1">INDIRECT("'数据-取费表'!Al"&amp;$G$1)</f>
        <v>1.5E-3</v>
      </c>
      <c r="G37" s="1845"/>
      <c r="H37" s="1853"/>
      <c r="I37" s="1854"/>
      <c r="J37" s="1855"/>
      <c r="K37" s="750"/>
      <c r="L37" s="1853"/>
      <c r="M37" s="1853"/>
    </row>
    <row r="38" spans="1:18" ht="18" customHeight="1" thickBot="1">
      <c r="A38" s="1341" t="s">
        <v>1389</v>
      </c>
      <c r="B38" s="1342" t="s">
        <v>1435</v>
      </c>
      <c r="C38" s="1343">
        <f ca="1">ROUND(C5*F38,1)</f>
        <v>0</v>
      </c>
      <c r="D38" s="1344" t="s">
        <v>1455</v>
      </c>
      <c r="E38" s="1342" t="s">
        <v>1451</v>
      </c>
      <c r="F38" s="1338">
        <f ca="1">INDIRECT("'数据-取费表'!Am"&amp;$G$1)</f>
        <v>0.01</v>
      </c>
      <c r="G38" s="1845"/>
      <c r="H38" s="1853"/>
      <c r="I38" s="1854"/>
      <c r="J38" s="1855"/>
      <c r="K38" s="1859"/>
      <c r="L38" s="1853"/>
      <c r="M38" s="1853"/>
    </row>
    <row r="39" spans="1:18" ht="24.6" customHeight="1" thickTop="1">
      <c r="A39" s="1331" t="s">
        <v>1028</v>
      </c>
      <c r="B39" s="1346" t="s">
        <v>1479</v>
      </c>
      <c r="C39" s="355">
        <f ca="1">C5-C30</f>
        <v>0</v>
      </c>
      <c r="D39" s="1347" t="s">
        <v>1480</v>
      </c>
      <c r="E39" s="1348"/>
      <c r="F39" s="1349"/>
      <c r="G39" s="1845"/>
      <c r="H39" s="1853"/>
      <c r="I39" s="1854"/>
      <c r="J39" s="1855"/>
      <c r="K39" s="1859"/>
      <c r="L39" s="1853"/>
      <c r="M39" s="1853"/>
    </row>
    <row r="40" spans="1:18" ht="18" customHeight="1">
      <c r="A40" s="344" t="s">
        <v>1029</v>
      </c>
      <c r="B40" s="345" t="s">
        <v>1481</v>
      </c>
      <c r="C40" s="346">
        <f ca="1">ROUND(C39*(1-((1+F42)/(1+F40))^F41)/(F40-F42),0)</f>
        <v>0</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2.4300000000000002</v>
      </c>
      <c r="G41" s="1845"/>
      <c r="H41" s="731"/>
      <c r="I41" s="1854"/>
      <c r="J41" s="1855"/>
      <c r="K41" s="750"/>
      <c r="L41" s="731"/>
      <c r="M41" s="731"/>
    </row>
    <row r="42" spans="1:18" ht="18" customHeight="1">
      <c r="A42" s="353"/>
      <c r="B42" s="354"/>
      <c r="C42" s="355"/>
      <c r="D42" s="373"/>
      <c r="E42" s="347" t="s">
        <v>1473</v>
      </c>
      <c r="F42" s="357">
        <f ca="1">INDIRECT("'数据-取费表'!v"&amp;$G$1)</f>
        <v>0</v>
      </c>
      <c r="G42" s="1845"/>
      <c r="H42" s="731"/>
      <c r="I42" s="1854"/>
      <c r="J42" s="1855"/>
      <c r="K42" s="750"/>
      <c r="L42" s="731"/>
      <c r="M42" s="731"/>
    </row>
    <row r="43" spans="1:18" ht="18" customHeight="1" thickBot="1">
      <c r="A43" s="380" t="s">
        <v>1030</v>
      </c>
      <c r="B43" s="381" t="s">
        <v>1483</v>
      </c>
      <c r="C43" s="382" t="e">
        <f ca="1">ROUND(C40*10000/F43,0)</f>
        <v>#DIV/0!</v>
      </c>
      <c r="D43" s="383" t="s">
        <v>1484</v>
      </c>
      <c r="E43" s="384" t="s">
        <v>1485</v>
      </c>
      <c r="F43" s="385">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1515</v>
      </c>
      <c r="P45" s="1833"/>
      <c r="Q45" s="1833"/>
      <c r="R45" s="1833"/>
    </row>
    <row r="46" spans="1:18" s="1836" customFormat="1" ht="13.5" thickBot="1">
      <c r="A46" s="1864" t="s">
        <v>1516</v>
      </c>
      <c r="C46" s="1865">
        <f ca="1">C68-C40</f>
        <v>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7" t="s">
        <v>1392</v>
      </c>
      <c r="B47" s="1199" t="s">
        <v>1393</v>
      </c>
      <c r="C47" s="1369" t="s">
        <v>1394</v>
      </c>
      <c r="D47" s="1199" t="s">
        <v>1395</v>
      </c>
      <c r="E47" s="1281" t="s">
        <v>1396</v>
      </c>
      <c r="F47" s="1282"/>
      <c r="G47" s="791"/>
      <c r="I47" s="1874" t="s">
        <v>1522</v>
      </c>
      <c r="J47" s="1875" t="s">
        <v>3322</v>
      </c>
      <c r="K47" s="1876" t="s">
        <v>1523</v>
      </c>
      <c r="L47" s="1877">
        <f ca="1">INDIRECT("'数据-取费表'!d"&amp;$G$1)</f>
        <v>40</v>
      </c>
      <c r="M47" s="1832" t="str">
        <f>IF(ISNUMBER(FIND("住宅",C1)),"住宅","非住宅")</f>
        <v>非住宅</v>
      </c>
      <c r="O47" s="1878" t="s">
        <v>1037</v>
      </c>
      <c r="P47" s="1879" t="s">
        <v>1524</v>
      </c>
      <c r="Q47" s="1880">
        <f ca="1">C40+J29</f>
        <v>0</v>
      </c>
      <c r="R47" s="1880" t="s">
        <v>1525</v>
      </c>
    </row>
    <row r="48" spans="1:18" s="1836" customFormat="1" ht="28.5" thickBot="1">
      <c r="A48" s="1362" t="s">
        <v>1132</v>
      </c>
      <c r="B48" s="345" t="s">
        <v>1397</v>
      </c>
      <c r="C48" s="1811">
        <f ca="1">C49+C53+C55</f>
        <v>0</v>
      </c>
      <c r="D48" s="1364"/>
      <c r="E48" s="1365"/>
      <c r="F48" s="1183"/>
      <c r="G48" s="791"/>
      <c r="H48" s="792"/>
      <c r="I48" s="1881" t="s">
        <v>1526</v>
      </c>
      <c r="J48" s="1882" t="s">
        <v>3323</v>
      </c>
      <c r="K48" s="1883" t="s">
        <v>1527</v>
      </c>
      <c r="L48" s="1884">
        <f ca="1">INDIRECT("'数据-取费表'!f"&amp;$G$1)</f>
        <v>24.16</v>
      </c>
      <c r="O48" s="1878" t="s">
        <v>1038</v>
      </c>
      <c r="P48" s="1879" t="s">
        <v>1528</v>
      </c>
      <c r="Q48" s="1880" t="str">
        <f ca="1">J60</f>
        <v>0</v>
      </c>
      <c r="R48" s="1880" t="s">
        <v>1529</v>
      </c>
    </row>
    <row r="49" spans="1:18" s="1836" customFormat="1" ht="13.5" thickBot="1">
      <c r="A49" s="1196" t="s">
        <v>1133</v>
      </c>
      <c r="B49" s="1823" t="s">
        <v>1486</v>
      </c>
      <c r="C49" s="1366">
        <f ca="1">ROUND(F49*F51*F50*(1-F52)/10000,0)</f>
        <v>0</v>
      </c>
      <c r="D49" s="1278" t="s">
        <v>3031</v>
      </c>
      <c r="E49" s="1824" t="s">
        <v>1487</v>
      </c>
      <c r="F49" s="1283">
        <f>清单!I66</f>
        <v>15</v>
      </c>
      <c r="G49" s="1885"/>
      <c r="H49" s="792"/>
      <c r="I49" s="1881" t="s">
        <v>1530</v>
      </c>
      <c r="J49" s="1886">
        <v>2008</v>
      </c>
      <c r="K49" s="1883" t="s">
        <v>1531</v>
      </c>
      <c r="L49" s="1887"/>
      <c r="O49" s="1888" t="s">
        <v>1039</v>
      </c>
      <c r="P49" s="1879" t="s">
        <v>1532</v>
      </c>
      <c r="Q49" s="1880">
        <f ca="1">C29</f>
        <v>0</v>
      </c>
      <c r="R49" s="1880" t="s">
        <v>1525</v>
      </c>
    </row>
    <row r="50" spans="1:18" s="1836" customFormat="1" ht="13.5" thickBot="1">
      <c r="A50" s="1197"/>
      <c r="B50" s="1200"/>
      <c r="C50" s="1370"/>
      <c r="D50" s="1174"/>
      <c r="E50" s="1279" t="s">
        <v>1402</v>
      </c>
      <c r="F50" s="1280">
        <f ca="1">F7</f>
        <v>0</v>
      </c>
      <c r="H50" s="792"/>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8"/>
      <c r="B51" s="1200"/>
      <c r="C51" s="1201"/>
      <c r="D51" s="1174"/>
      <c r="E51" s="1202" t="s">
        <v>1403</v>
      </c>
      <c r="F51" s="348">
        <f ca="1">F8</f>
        <v>365</v>
      </c>
      <c r="I51" s="1892" t="s">
        <v>1536</v>
      </c>
      <c r="J51" s="1893">
        <f>IF(J49="",J50,J49+J50-YEAR('数据-取费表'!B2))</f>
        <v>48</v>
      </c>
      <c r="K51" s="1894" t="s">
        <v>1537</v>
      </c>
      <c r="L51" s="1895">
        <f ca="1">ROUND(-PV(INDIRECT("'数据-取费表'!h"&amp;$G$1),L48,(C39-C13*C76),0),0)</f>
        <v>0</v>
      </c>
      <c r="M51" s="1896"/>
      <c r="O51" s="1888" t="s">
        <v>1041</v>
      </c>
      <c r="P51" s="1879" t="s">
        <v>1538</v>
      </c>
      <c r="Q51" s="1891">
        <f>J52</f>
        <v>0</v>
      </c>
      <c r="R51" s="1880"/>
    </row>
    <row r="52" spans="1:18" s="1836" customFormat="1" ht="13.5" thickBot="1">
      <c r="A52" s="1198"/>
      <c r="B52" s="1200"/>
      <c r="C52" s="1201"/>
      <c r="D52" s="1174"/>
      <c r="E52" s="1202" t="s">
        <v>1404</v>
      </c>
      <c r="F52" s="1277">
        <f ca="1">M9</f>
        <v>0.05</v>
      </c>
      <c r="I52" s="1897" t="s">
        <v>1539</v>
      </c>
      <c r="J52" s="1898"/>
      <c r="K52" s="1897" t="s">
        <v>1540</v>
      </c>
      <c r="L52" s="1898"/>
      <c r="O52" s="1888" t="s">
        <v>1042</v>
      </c>
      <c r="P52" s="1879" t="s">
        <v>1541</v>
      </c>
      <c r="Q52" s="1880">
        <f ca="1">J53</f>
        <v>24.16</v>
      </c>
      <c r="R52" s="1880" t="s">
        <v>1542</v>
      </c>
    </row>
    <row r="53" spans="1:18" s="1836" customFormat="1" ht="24.75" thickBot="1">
      <c r="A53" s="1407" t="s">
        <v>1134</v>
      </c>
      <c r="B53" s="1825" t="s">
        <v>1405</v>
      </c>
      <c r="C53" s="361">
        <f ca="1">ROUND(IF(F53="押一",C49/12*F11,IF(F53="押二",C49/12*2*F11,IF(F53="押三",C49/12*3*F11,C54*F11))),0)</f>
        <v>0</v>
      </c>
      <c r="D53" s="1818" t="s">
        <v>3037</v>
      </c>
      <c r="E53" s="358" t="s">
        <v>1406</v>
      </c>
      <c r="F53" s="1368" t="s">
        <v>3318</v>
      </c>
      <c r="I53" s="1899" t="s">
        <v>1543</v>
      </c>
      <c r="J53" s="1900">
        <f ca="1">IF(M47="住宅",IF(D1="——",MAX(J51,L48),IF(D1="在建（套用方法）",MAX(J51,L48-'数据-取费表'!B24),MAX(J51,L48-'数据-取费表'!B20))),IF(D1="——",MIN(J51,L48),IF(D1="在建（套用方法）",MIN(J51,L48-'数据-取费表'!B24),IF(D1="土地（套用方法）",MIN(J51,L48-'数据-取费表'!B20)))))</f>
        <v>24.16</v>
      </c>
      <c r="K53" s="3227" t="s">
        <v>1544</v>
      </c>
      <c r="L53" s="3228"/>
      <c r="O53" s="1878" t="s">
        <v>1043</v>
      </c>
      <c r="P53" s="1879" t="s">
        <v>1545</v>
      </c>
      <c r="Q53" s="1880">
        <f ca="1">Q47+Q48</f>
        <v>0</v>
      </c>
      <c r="R53" s="1880" t="s">
        <v>1044</v>
      </c>
    </row>
    <row r="54" spans="1:18" s="1836" customFormat="1" ht="13.5" thickBot="1">
      <c r="A54" s="1408"/>
      <c r="B54" s="1819" t="s">
        <v>1384</v>
      </c>
      <c r="C54" s="1180"/>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35" t="s">
        <v>1072</v>
      </c>
      <c r="B55" s="1821" t="s">
        <v>1409</v>
      </c>
      <c r="C55" s="1336"/>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8">
        <v>2</v>
      </c>
      <c r="B56" s="1179" t="s">
        <v>1410</v>
      </c>
      <c r="C56" s="276">
        <f ca="1">C13</f>
        <v>0</v>
      </c>
      <c r="D56" s="1908"/>
      <c r="E56" s="1909"/>
      <c r="F56" s="1901"/>
      <c r="I56" s="1910" t="s">
        <v>1550</v>
      </c>
      <c r="J56" s="1911" t="s">
        <v>3060</v>
      </c>
      <c r="K56" s="1881" t="s">
        <v>1551</v>
      </c>
      <c r="L56" s="1884" t="str">
        <f ca="1">IF(L48&lt;J51,"——",L48-J53)</f>
        <v>——</v>
      </c>
      <c r="O56" s="1878" t="s">
        <v>1037</v>
      </c>
      <c r="P56" s="1879" t="s">
        <v>1524</v>
      </c>
      <c r="Q56" s="1880">
        <f ca="1">C40+J29</f>
        <v>0</v>
      </c>
      <c r="R56" s="1880" t="s">
        <v>1525</v>
      </c>
    </row>
    <row r="57" spans="1:18" s="1836" customFormat="1" ht="24.75" thickBot="1">
      <c r="A57" s="1912"/>
      <c r="B57" s="1171" t="s">
        <v>1474</v>
      </c>
      <c r="C57" s="282">
        <f ca="1">C29</f>
        <v>0</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60" t="s">
        <v>1027</v>
      </c>
      <c r="B58" s="1179" t="s">
        <v>1420</v>
      </c>
      <c r="C58" s="361">
        <f ca="1">ROUND(C59+C64+C65+C66,0)</f>
        <v>0</v>
      </c>
      <c r="D58" s="1181" t="s">
        <v>1421</v>
      </c>
      <c r="E58" s="1182"/>
      <c r="F58" s="1183"/>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203" t="s">
        <v>1032</v>
      </c>
      <c r="B59" s="1171" t="s">
        <v>1425</v>
      </c>
      <c r="C59" s="24">
        <f ca="1">ROUND(IF(项目基本情况!B11="自然人",C48*F59,C60+C61+C62),1)</f>
        <v>0</v>
      </c>
      <c r="D59" s="1184" t="s">
        <v>1426</v>
      </c>
      <c r="E59" s="1185"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203" t="s">
        <v>1031</v>
      </c>
      <c r="B60" s="1171" t="s">
        <v>1429</v>
      </c>
      <c r="C60" s="24">
        <f ca="1">IF(项目基本情况!B11="自然人","——",ROUND(C48*F60/(1+'数据-取费表'!C42),2))</f>
        <v>0</v>
      </c>
      <c r="D60" s="1185" t="s">
        <v>1430</v>
      </c>
      <c r="E60" s="1171"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203" t="s">
        <v>1488</v>
      </c>
      <c r="B61" s="1171" t="s">
        <v>1489</v>
      </c>
      <c r="C61" s="24">
        <f ca="1">IF(项目基本情况!B11="自然人","——",IF(D61="按租金收入计税",ROUND(C48*F61,2),IF(D61="按房产原值计税",ROUND(C57*F61*0.7,2),INDIRECT("'数据-取费表'!Aj"&amp;$G$1))))</f>
        <v>0</v>
      </c>
      <c r="D61" s="1822" t="s">
        <v>3319</v>
      </c>
      <c r="E61" s="1171" t="s">
        <v>1490</v>
      </c>
      <c r="F61" s="367">
        <f t="shared" si="0"/>
        <v>0.12</v>
      </c>
      <c r="I61" s="1922"/>
      <c r="J61" s="1922"/>
      <c r="K61" s="1922"/>
      <c r="L61" s="1922"/>
      <c r="O61" s="1888" t="s">
        <v>1042</v>
      </c>
      <c r="P61" s="1879" t="str">
        <f>K59</f>
        <v>建筑物剩余耐用年限下的土地年期修正系数Kn</v>
      </c>
      <c r="Q61" s="1880" t="e">
        <f ca="1">L59</f>
        <v>#DIV/0!</v>
      </c>
      <c r="R61" s="1880" t="s">
        <v>1565</v>
      </c>
    </row>
    <row r="62" spans="1:18" s="1836" customFormat="1" ht="13.5" thickBot="1">
      <c r="A62" s="1203" t="s">
        <v>1491</v>
      </c>
      <c r="B62" s="1170" t="s">
        <v>1492</v>
      </c>
      <c r="C62" s="25">
        <f ca="1">IF(项目基本情况!B11="自然人","——",ROUND(F62*F63/10000,2))</f>
        <v>0</v>
      </c>
      <c r="D62" s="1186" t="s">
        <v>1493</v>
      </c>
      <c r="E62" s="1171" t="s">
        <v>1494</v>
      </c>
      <c r="F62" s="371">
        <f t="shared" si="0"/>
        <v>18</v>
      </c>
      <c r="I62" s="1923" t="s">
        <v>1566</v>
      </c>
      <c r="J62" s="1924" t="s">
        <v>1567</v>
      </c>
      <c r="K62" s="1924" t="s">
        <v>1568</v>
      </c>
      <c r="L62" s="1924" t="s">
        <v>1569</v>
      </c>
      <c r="M62" s="1925" t="s">
        <v>1570</v>
      </c>
      <c r="O62" s="1878" t="s">
        <v>1043</v>
      </c>
      <c r="P62" s="1879" t="s">
        <v>1571</v>
      </c>
      <c r="Q62" s="1880">
        <f ca="1">Q56+Q57</f>
        <v>0</v>
      </c>
      <c r="R62" s="1880" t="s">
        <v>1044</v>
      </c>
    </row>
    <row r="63" spans="1:18" s="1836" customFormat="1" ht="13.5" thickBot="1">
      <c r="A63" s="372"/>
      <c r="B63" s="1177"/>
      <c r="C63" s="29"/>
      <c r="D63" s="1187"/>
      <c r="E63" s="1171"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203" t="s">
        <v>1496</v>
      </c>
      <c r="B64" s="1171" t="s">
        <v>1497</v>
      </c>
      <c r="C64" s="24">
        <f ca="1">ROUND(C57*F64,1)</f>
        <v>0</v>
      </c>
      <c r="D64" s="1185" t="s">
        <v>1498</v>
      </c>
      <c r="E64" s="1171" t="s">
        <v>1490</v>
      </c>
      <c r="F64" s="374">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203" t="s">
        <v>1499</v>
      </c>
      <c r="B65" s="1171" t="s">
        <v>1449</v>
      </c>
      <c r="C65" s="24">
        <f ca="1">ROUND(C56*F65,1)</f>
        <v>0</v>
      </c>
      <c r="D65" s="1185" t="s">
        <v>1450</v>
      </c>
      <c r="E65" s="1171" t="s">
        <v>1451</v>
      </c>
      <c r="F65" s="376">
        <f t="shared" ca="1" si="0"/>
        <v>1.5E-3</v>
      </c>
      <c r="I65" s="1923" t="s">
        <v>1575</v>
      </c>
      <c r="J65" s="1924">
        <v>40</v>
      </c>
      <c r="K65" s="1924">
        <v>30</v>
      </c>
      <c r="L65" s="1924">
        <v>50</v>
      </c>
      <c r="M65" s="1926">
        <v>0.02</v>
      </c>
      <c r="O65" s="1878" t="s">
        <v>1037</v>
      </c>
      <c r="P65" s="1879" t="s">
        <v>1576</v>
      </c>
      <c r="Q65" s="1880">
        <f ca="1">C40+J29</f>
        <v>0</v>
      </c>
      <c r="R65" s="1880" t="s">
        <v>1525</v>
      </c>
    </row>
    <row r="66" spans="1:18" s="1836" customFormat="1" ht="16.5" thickBot="1">
      <c r="A66" s="1203" t="s">
        <v>1500</v>
      </c>
      <c r="B66" s="1171" t="s">
        <v>1435</v>
      </c>
      <c r="C66" s="24">
        <f ca="1">ROUND(C48*F66,1)</f>
        <v>0</v>
      </c>
      <c r="D66" s="1185" t="s">
        <v>1501</v>
      </c>
      <c r="E66" s="1171" t="s">
        <v>1418</v>
      </c>
      <c r="F66" s="357">
        <f t="shared" ca="1" si="0"/>
        <v>0.01</v>
      </c>
      <c r="O66" s="1878" t="s">
        <v>1038</v>
      </c>
      <c r="P66" s="1879" t="s">
        <v>1554</v>
      </c>
      <c r="Q66" s="1880">
        <f ca="1">L60</f>
        <v>0</v>
      </c>
      <c r="R66" s="1880" t="s">
        <v>1577</v>
      </c>
    </row>
    <row r="67" spans="1:18" s="1836" customFormat="1" ht="16.5" thickBot="1">
      <c r="A67" s="1178" t="s">
        <v>1028</v>
      </c>
      <c r="B67" s="1188" t="s">
        <v>1459</v>
      </c>
      <c r="C67" s="361">
        <f ca="1">C48-C58</f>
        <v>0</v>
      </c>
      <c r="D67" s="1184" t="s">
        <v>1460</v>
      </c>
      <c r="E67" s="1189"/>
      <c r="F67" s="1190"/>
      <c r="O67" s="1888" t="s">
        <v>1039</v>
      </c>
      <c r="P67" s="1879" t="s">
        <v>1558</v>
      </c>
      <c r="Q67" s="1927">
        <f ca="1">L51</f>
        <v>0</v>
      </c>
      <c r="R67" s="1880" t="s">
        <v>1578</v>
      </c>
    </row>
    <row r="68" spans="1:18" s="1836" customFormat="1" ht="16.5" thickBot="1">
      <c r="A68" s="1168" t="s">
        <v>1029</v>
      </c>
      <c r="B68" s="1169" t="s">
        <v>1481</v>
      </c>
      <c r="C68" s="346">
        <f ca="1">ROUND(C67*(1-((1+F70)/(1+F68))^F69)/(F68-F70),0)</f>
        <v>0</v>
      </c>
      <c r="D68" s="1186" t="s">
        <v>1465</v>
      </c>
      <c r="E68" s="1171" t="s">
        <v>1466</v>
      </c>
      <c r="F68" s="357">
        <f ca="1">F40</f>
        <v>5.5E-2</v>
      </c>
      <c r="O68" s="1888" t="s">
        <v>1040</v>
      </c>
      <c r="P68" s="1928" t="s">
        <v>1579</v>
      </c>
      <c r="Q68" s="1880">
        <f ca="1">ROUND(Q69-Q70*Q71,0)</f>
        <v>0</v>
      </c>
      <c r="R68" s="1880" t="s">
        <v>1048</v>
      </c>
    </row>
    <row r="69" spans="1:18" s="1836" customFormat="1" ht="13.5" thickBot="1">
      <c r="A69" s="1172"/>
      <c r="B69" s="1173"/>
      <c r="C69" s="351"/>
      <c r="D69" s="1191" t="s">
        <v>1469</v>
      </c>
      <c r="E69" s="1171" t="s">
        <v>1470</v>
      </c>
      <c r="F69" s="379">
        <f ca="1">F41</f>
        <v>2.4300000000000002</v>
      </c>
      <c r="O69" s="1888" t="s">
        <v>1045</v>
      </c>
      <c r="P69" s="1928" t="s">
        <v>1580</v>
      </c>
      <c r="Q69" s="1880">
        <f ca="1">C39</f>
        <v>0</v>
      </c>
      <c r="R69" s="1880" t="s">
        <v>1525</v>
      </c>
    </row>
    <row r="70" spans="1:18" s="1836" customFormat="1" ht="13.5" thickBot="1">
      <c r="A70" s="1175"/>
      <c r="B70" s="1176"/>
      <c r="C70" s="355"/>
      <c r="D70" s="1187"/>
      <c r="E70" s="1171" t="s">
        <v>1473</v>
      </c>
      <c r="F70" s="1277">
        <f ca="1">M28</f>
        <v>3.5000000000000003E-2</v>
      </c>
      <c r="O70" s="1888" t="s">
        <v>1046</v>
      </c>
      <c r="P70" s="1928" t="s">
        <v>1581</v>
      </c>
      <c r="Q70" s="1880">
        <f ca="1">C13</f>
        <v>0</v>
      </c>
      <c r="R70" s="1880" t="s">
        <v>1525</v>
      </c>
    </row>
    <row r="71" spans="1:18" s="1836" customFormat="1" ht="13.5" thickBot="1">
      <c r="A71" s="1192" t="s">
        <v>1030</v>
      </c>
      <c r="B71" s="1193" t="s">
        <v>1483</v>
      </c>
      <c r="C71" s="382" t="e">
        <f ca="1">ROUND(C68*10000/F71,0)</f>
        <v>#DIV/0!</v>
      </c>
      <c r="D71" s="1194" t="s">
        <v>1484</v>
      </c>
      <c r="E71" s="1195" t="s">
        <v>1485</v>
      </c>
      <c r="F71" s="385">
        <f ca="1">F43</f>
        <v>0</v>
      </c>
      <c r="O71" s="1888" t="s">
        <v>1047</v>
      </c>
      <c r="P71" s="1928" t="s">
        <v>1582</v>
      </c>
      <c r="Q71" s="1891">
        <f ca="1">C76</f>
        <v>8.5000000000000006E-2</v>
      </c>
      <c r="R71" s="1880"/>
    </row>
    <row r="72" spans="1:18" s="1836" customFormat="1" ht="13.5" thickBot="1">
      <c r="B72" s="795"/>
      <c r="C72" s="795"/>
      <c r="O72" s="1888" t="s">
        <v>1041</v>
      </c>
      <c r="P72" s="1879" t="s">
        <v>1560</v>
      </c>
      <c r="Q72" s="1891">
        <f>L52</f>
        <v>0</v>
      </c>
      <c r="R72" s="1880"/>
    </row>
    <row r="73" spans="1:18" ht="16.5" thickBot="1">
      <c r="A73" s="1836"/>
      <c r="B73" s="795"/>
      <c r="C73" s="795"/>
      <c r="D73" s="1836"/>
      <c r="E73" s="1836"/>
      <c r="F73" s="1836"/>
      <c r="O73" s="1888" t="s">
        <v>1042</v>
      </c>
      <c r="P73" s="1879" t="s">
        <v>1563</v>
      </c>
      <c r="Q73" s="1880" t="e">
        <f ca="1">L58</f>
        <v>#DIV/0!</v>
      </c>
      <c r="R73" s="1880" t="s">
        <v>1564</v>
      </c>
    </row>
    <row r="74" spans="1:18" ht="13.5" thickBot="1">
      <c r="A74" s="1836"/>
      <c r="B74" s="317" t="s">
        <v>1583</v>
      </c>
      <c r="C74" s="1930"/>
      <c r="D74" s="1836"/>
      <c r="E74" s="1836"/>
      <c r="F74" s="1836"/>
      <c r="O74" s="1888" t="s">
        <v>1049</v>
      </c>
      <c r="P74" s="1879" t="str">
        <f>K59</f>
        <v>建筑物剩余耐用年限下的土地年期修正系数Kn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1043</v>
      </c>
      <c r="P75" s="1879" t="s">
        <v>1545</v>
      </c>
      <c r="Q75" s="1880">
        <f ca="1">Q65+Q66</f>
        <v>0</v>
      </c>
      <c r="R75" s="1880" t="s">
        <v>1044</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81"/>
      <c r="C1" s="1831"/>
      <c r="D1" s="1814"/>
      <c r="E1" s="1815" t="s">
        <v>1383</v>
      </c>
      <c r="F1" s="1285" t="b">
        <f>J53</f>
        <v>0</v>
      </c>
      <c r="G1" s="1830">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3" t="s">
        <v>1584</v>
      </c>
      <c r="I3" s="1834"/>
      <c r="J3" s="1834"/>
      <c r="K3" s="1835"/>
      <c r="L3" s="1834"/>
      <c r="M3" s="1834"/>
    </row>
    <row r="4" spans="1:37" ht="18" customHeight="1">
      <c r="A4" s="340" t="s">
        <v>1591</v>
      </c>
      <c r="B4" s="341" t="s">
        <v>1592</v>
      </c>
      <c r="C4" s="341" t="s">
        <v>1593</v>
      </c>
      <c r="D4" s="341" t="s">
        <v>1594</v>
      </c>
      <c r="E4" s="342" t="s">
        <v>1595</v>
      </c>
      <c r="F4" s="343"/>
      <c r="G4" s="1845"/>
      <c r="H4" s="340" t="s">
        <v>1591</v>
      </c>
      <c r="I4" s="341" t="s">
        <v>1592</v>
      </c>
      <c r="J4" s="341" t="s">
        <v>1593</v>
      </c>
      <c r="K4" s="341" t="s">
        <v>1594</v>
      </c>
      <c r="L4" s="342" t="s">
        <v>1595</v>
      </c>
      <c r="M4" s="343"/>
    </row>
    <row r="5" spans="1:37" ht="18" customHeight="1">
      <c r="A5" s="344">
        <v>1</v>
      </c>
      <c r="B5" s="345" t="s">
        <v>1596</v>
      </c>
      <c r="C5" s="1294">
        <f ca="1">C6+C10+C12</f>
        <v>0</v>
      </c>
      <c r="D5" s="1816" t="s">
        <v>1597</v>
      </c>
      <c r="E5" s="1295"/>
      <c r="F5" s="1296"/>
      <c r="G5" s="1845"/>
      <c r="H5" s="344">
        <v>1</v>
      </c>
      <c r="I5" s="345" t="s">
        <v>1596</v>
      </c>
      <c r="J5" s="1294">
        <f ca="1">J6+J10+J12</f>
        <v>0</v>
      </c>
      <c r="K5" s="1816" t="s">
        <v>1597</v>
      </c>
      <c r="L5" s="1295"/>
      <c r="M5" s="1296"/>
    </row>
    <row r="6" spans="1:37" ht="18" customHeight="1">
      <c r="A6" s="1293" t="s">
        <v>1032</v>
      </c>
      <c r="B6" s="3224" t="s">
        <v>1399</v>
      </c>
      <c r="C6" s="1298">
        <f ca="1">ROUND(F6*F8*F7*(1-F9),0)</f>
        <v>0</v>
      </c>
      <c r="D6" s="164" t="s">
        <v>3027</v>
      </c>
      <c r="E6" s="347" t="s">
        <v>1401</v>
      </c>
      <c r="F6" s="348">
        <f ca="1">INDIRECT("'数据-取费表'!u"&amp;$G$1)</f>
        <v>0</v>
      </c>
      <c r="G6" s="1845"/>
      <c r="H6" s="1293" t="s">
        <v>1032</v>
      </c>
      <c r="I6" s="3224" t="s">
        <v>1399</v>
      </c>
      <c r="J6" s="346">
        <f ca="1">ROUND(M6*M8*M7*(1-M9),0)</f>
        <v>0</v>
      </c>
      <c r="K6" s="1828" t="s">
        <v>3028</v>
      </c>
      <c r="L6" s="347" t="s">
        <v>1401</v>
      </c>
      <c r="M6" s="348">
        <f ca="1">INDIRECT("'数据-取费表'!z"&amp;$G$1)</f>
        <v>0</v>
      </c>
    </row>
    <row r="7" spans="1:37" ht="18" customHeight="1">
      <c r="A7" s="1297"/>
      <c r="B7" s="3225"/>
      <c r="C7" s="1299"/>
      <c r="D7" s="352"/>
      <c r="E7" s="1300" t="s">
        <v>1402</v>
      </c>
      <c r="F7" s="348">
        <f ca="1">IF(INDIRECT("'数据-取费表'!ah"&amp;$G$1)="",INDIRECT("'数据-取费表'!k"&amp;$G$1),INDIRECT("'数据-取费表'!ah"&amp;$G$1))</f>
        <v>0</v>
      </c>
      <c r="G7" s="1845"/>
      <c r="H7" s="349"/>
      <c r="I7" s="3225"/>
      <c r="J7" s="351"/>
      <c r="K7" s="352"/>
      <c r="L7" s="347" t="s">
        <v>1402</v>
      </c>
      <c r="M7" s="348">
        <f ca="1">F7</f>
        <v>0</v>
      </c>
    </row>
    <row r="8" spans="1:37" ht="18" customHeight="1">
      <c r="A8" s="349"/>
      <c r="B8" s="3225"/>
      <c r="C8" s="351"/>
      <c r="D8" s="352"/>
      <c r="E8" s="347" t="s">
        <v>1403</v>
      </c>
      <c r="F8" s="348">
        <f ca="1">INDIRECT("'数据-取费表'!ai"&amp;$G$1)</f>
        <v>0</v>
      </c>
      <c r="G8" s="1845"/>
      <c r="H8" s="349"/>
      <c r="I8" s="3225"/>
      <c r="J8" s="351"/>
      <c r="K8" s="352"/>
      <c r="L8" s="347" t="s">
        <v>1403</v>
      </c>
      <c r="M8" s="348">
        <f ca="1">INDIRECT("'数据-取费表'!ai"&amp;$G$1)</f>
        <v>0</v>
      </c>
    </row>
    <row r="9" spans="1:37" ht="18" customHeight="1">
      <c r="A9" s="349"/>
      <c r="B9" s="3226"/>
      <c r="C9" s="351"/>
      <c r="D9" s="352"/>
      <c r="E9" s="347" t="s">
        <v>1404</v>
      </c>
      <c r="F9" s="357">
        <f ca="1">INDIRECT("'数据-取费表'!w"&amp;$G$1)</f>
        <v>0</v>
      </c>
      <c r="G9" s="1845"/>
      <c r="H9" s="349"/>
      <c r="I9" s="3226"/>
      <c r="J9" s="351"/>
      <c r="K9" s="352"/>
      <c r="L9" s="358" t="s">
        <v>1404</v>
      </c>
      <c r="M9" s="359">
        <f ca="1">INDIRECT("'数据-取费表'!ab"&amp;$G$1)</f>
        <v>0</v>
      </c>
    </row>
    <row r="10" spans="1:37" ht="18" customHeight="1">
      <c r="A10" s="1293" t="s">
        <v>1036</v>
      </c>
      <c r="B10" s="1817" t="s">
        <v>1405</v>
      </c>
      <c r="C10" s="361">
        <f ca="1">ROUND(IF(F10="押一",C6/12*F11,IF(F10="押二",C6/12*2*F11,IF(F10="押三",C6/12*3*F11,C11*F11))),0)</f>
        <v>0</v>
      </c>
      <c r="D10" s="1818" t="s">
        <v>3037</v>
      </c>
      <c r="E10" s="358" t="s">
        <v>1406</v>
      </c>
      <c r="F10" s="1368"/>
      <c r="G10" s="1845"/>
      <c r="H10" s="1293" t="s">
        <v>1036</v>
      </c>
      <c r="I10" s="1817" t="s">
        <v>1405</v>
      </c>
      <c r="J10" s="346">
        <f ca="1">ROUND(IF(M10="押一",J6/12*M11,IF(M10="押二",J6/12*2*M11,IF(M10="押三",J6/12*3*M11,J11*M11))),0)</f>
        <v>0</v>
      </c>
      <c r="K10" s="1829" t="s">
        <v>3039</v>
      </c>
      <c r="L10" s="358" t="s">
        <v>1406</v>
      </c>
      <c r="M10" s="1368"/>
    </row>
    <row r="11" spans="1:37" ht="18" customHeight="1">
      <c r="A11" s="353"/>
      <c r="B11" s="1819" t="s">
        <v>1598</v>
      </c>
      <c r="C11" s="1180"/>
      <c r="D11" s="352"/>
      <c r="E11" s="358" t="s">
        <v>1408</v>
      </c>
      <c r="F11" s="359">
        <f ca="1">'数据-取费表'!B39</f>
        <v>1.4999999999999999E-2</v>
      </c>
      <c r="G11" s="1845"/>
      <c r="H11" s="1301"/>
      <c r="I11" s="1819" t="s">
        <v>1599</v>
      </c>
      <c r="J11" s="1180"/>
      <c r="K11" s="747"/>
      <c r="L11" s="358" t="s">
        <v>1408</v>
      </c>
      <c r="M11" s="1058">
        <f ca="1">'数据-取费表'!B39</f>
        <v>1.4999999999999999E-2</v>
      </c>
    </row>
    <row r="12" spans="1:37" ht="18" customHeight="1" thickBot="1">
      <c r="A12" s="1335" t="s">
        <v>1072</v>
      </c>
      <c r="B12" s="1821" t="s">
        <v>1409</v>
      </c>
      <c r="C12" s="1336"/>
      <c r="D12" s="1337"/>
      <c r="E12" s="1342"/>
      <c r="F12" s="1338"/>
      <c r="G12" s="1845"/>
      <c r="H12" s="1335" t="s">
        <v>1072</v>
      </c>
      <c r="I12" s="1821"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45"/>
      <c r="H13" s="1331">
        <v>2</v>
      </c>
      <c r="I13" s="1332" t="s">
        <v>1410</v>
      </c>
      <c r="J13" s="1292">
        <f ca="1">ROUND(J14*J15,0)</f>
        <v>0</v>
      </c>
      <c r="K13" s="1339" t="s">
        <v>1411</v>
      </c>
      <c r="L13" s="1846"/>
      <c r="M13" s="1847"/>
    </row>
    <row r="14" spans="1:37" ht="18" customHeight="1">
      <c r="A14" s="1203" t="s">
        <v>1031</v>
      </c>
      <c r="B14" s="347" t="s">
        <v>1413</v>
      </c>
      <c r="C14" s="363">
        <f ca="1">ROUND(INDIRECT("'数据-取费表'!l"&amp;$G$1)*F43+'数据-取费表'!L14*INDIRECT("'数据-取费表'!S"&amp;$G$1),0)</f>
        <v>0</v>
      </c>
      <c r="D14" s="1794" t="s">
        <v>1414</v>
      </c>
      <c r="E14" s="1788"/>
      <c r="F14" s="364"/>
      <c r="G14" s="1845"/>
      <c r="H14" s="1203" t="s">
        <v>1032</v>
      </c>
      <c r="I14" s="347" t="s">
        <v>1415</v>
      </c>
      <c r="J14" s="24">
        <f ca="1">C29</f>
        <v>0</v>
      </c>
      <c r="K14" s="15"/>
      <c r="L14" s="981"/>
      <c r="M14" s="982"/>
    </row>
    <row r="15" spans="1:37" s="1852" customFormat="1" ht="18" customHeight="1" thickBot="1">
      <c r="A15" s="1203" t="s">
        <v>1033</v>
      </c>
      <c r="B15" s="347" t="s">
        <v>1416</v>
      </c>
      <c r="C15" s="24">
        <f ca="1">ROUND(C14*F15,0)</f>
        <v>0</v>
      </c>
      <c r="D15" s="365" t="s">
        <v>1417</v>
      </c>
      <c r="E15" s="365" t="s">
        <v>1418</v>
      </c>
      <c r="F15" s="366">
        <f>'数据-取费表'!B33</f>
        <v>0.05</v>
      </c>
      <c r="G15" s="1848"/>
      <c r="H15" s="1341" t="s">
        <v>1036</v>
      </c>
      <c r="I15" s="1342" t="s">
        <v>1412</v>
      </c>
      <c r="J15" s="1351">
        <f ca="1">INDIRECT("'数据-取费表'!ad"&amp;$G$1)</f>
        <v>0</v>
      </c>
      <c r="K15" s="1352"/>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45"/>
      <c r="H16" s="1331" t="s">
        <v>1027</v>
      </c>
      <c r="I16" s="1332" t="s">
        <v>1420</v>
      </c>
      <c r="J16" s="355">
        <f ca="1">ROUND(J17+J22+J23+J24,0)</f>
        <v>0</v>
      </c>
      <c r="K16" s="1339" t="s">
        <v>1421</v>
      </c>
      <c r="L16" s="1340"/>
      <c r="M16" s="1296"/>
    </row>
    <row r="17" spans="1:37" s="1852" customFormat="1" ht="18" customHeight="1">
      <c r="A17" s="1203" t="s">
        <v>1386</v>
      </c>
      <c r="B17" s="347" t="s">
        <v>1422</v>
      </c>
      <c r="C17" s="24">
        <f ca="1">ROUND(F17*(F43+INDIRECT("'数据-取费表'!S"&amp;$G$1)),0)</f>
        <v>0</v>
      </c>
      <c r="D17" s="347" t="s">
        <v>1423</v>
      </c>
      <c r="E17" s="347" t="s">
        <v>1424</v>
      </c>
      <c r="F17" s="26">
        <f>'数据-取费表'!B35</f>
        <v>200</v>
      </c>
      <c r="G17" s="1848"/>
      <c r="H17" s="1203" t="s">
        <v>1032</v>
      </c>
      <c r="I17" s="347" t="s">
        <v>1425</v>
      </c>
      <c r="J17" s="24">
        <f ca="1">ROUND(IF(项目基本情况!B11="自然人",J5*M17,J18+J19+J20),0)</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203" t="s">
        <v>1387</v>
      </c>
      <c r="B18" s="347" t="s">
        <v>1428</v>
      </c>
      <c r="C18" s="24">
        <f ca="1">ROUND(C14*F18,0)</f>
        <v>0</v>
      </c>
      <c r="D18" s="347" t="s">
        <v>1417</v>
      </c>
      <c r="E18" s="347" t="s">
        <v>1418</v>
      </c>
      <c r="F18" s="367">
        <f>'数据-取费表'!B36</f>
        <v>1.4999999999999999E-2</v>
      </c>
      <c r="G18" s="1848"/>
      <c r="H18" s="1203" t="s">
        <v>1031</v>
      </c>
      <c r="I18" s="347" t="s">
        <v>1429</v>
      </c>
      <c r="J18" s="24">
        <f ca="1">ROUND(J5*M18/(1+'数据-取费表'!C42),0)</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203" t="s">
        <v>1032</v>
      </c>
      <c r="B19" s="347" t="s">
        <v>1431</v>
      </c>
      <c r="C19" s="24">
        <f ca="1">SUM(C14:C18)</f>
        <v>0</v>
      </c>
      <c r="D19" s="140" t="s">
        <v>1432</v>
      </c>
      <c r="E19" s="1812"/>
      <c r="F19" s="26"/>
      <c r="G19" s="1845"/>
      <c r="H19" s="1203" t="s">
        <v>1033</v>
      </c>
      <c r="I19" s="347" t="s">
        <v>1433</v>
      </c>
      <c r="J19" s="24">
        <f ca="1">IF(K19="按租金收入计税",ROUND(J5*M19,0),ROUND(C29*M19*0.7,0))</f>
        <v>0</v>
      </c>
      <c r="K19" s="1822" t="s">
        <v>1434</v>
      </c>
      <c r="L19" s="347" t="s">
        <v>1418</v>
      </c>
      <c r="M19" s="367">
        <f>IF(K19="按租金收入计税",'数据-取费表'!B51,'数据-取费表'!B50)</f>
        <v>1.2E-2</v>
      </c>
    </row>
    <row r="20" spans="1:37" s="1852" customFormat="1" ht="18" customHeight="1">
      <c r="A20" s="1203" t="s">
        <v>1036</v>
      </c>
      <c r="B20" s="347" t="s">
        <v>1435</v>
      </c>
      <c r="C20" s="24">
        <f ca="1">ROUND(C19*F20,0)</f>
        <v>0</v>
      </c>
      <c r="D20" s="369" t="s">
        <v>1436</v>
      </c>
      <c r="E20" s="347" t="s">
        <v>1418</v>
      </c>
      <c r="F20" s="367">
        <f>'数据-取费表'!B37</f>
        <v>0.02</v>
      </c>
      <c r="G20" s="1848"/>
      <c r="H20" s="1203" t="s">
        <v>1385</v>
      </c>
      <c r="I20" s="164" t="s">
        <v>1437</v>
      </c>
      <c r="J20" s="25">
        <f ca="1">ROUND(M20*M21,0)</f>
        <v>0</v>
      </c>
      <c r="K20" s="370" t="s">
        <v>1438</v>
      </c>
      <c r="L20" s="347" t="s">
        <v>1439</v>
      </c>
      <c r="M20" s="371">
        <f>'数据-取费表'!B52</f>
        <v>18</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203" t="s">
        <v>1072</v>
      </c>
      <c r="B21" s="347" t="s">
        <v>1440</v>
      </c>
      <c r="C21" s="24" t="s">
        <v>1</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12"/>
      <c r="F22" s="26"/>
      <c r="G22" s="1845"/>
      <c r="H22" s="1203" t="s">
        <v>1036</v>
      </c>
      <c r="I22" s="347" t="s">
        <v>1445</v>
      </c>
      <c r="J22" s="24">
        <f ca="1">ROUND(J14*M22,0)</f>
        <v>0</v>
      </c>
      <c r="K22" s="1792" t="s">
        <v>1446</v>
      </c>
      <c r="L22" s="347" t="s">
        <v>1418</v>
      </c>
      <c r="M22" s="374">
        <f ca="1">INDIRECT("'数据-取费表'!Ak"&amp;$G$1)</f>
        <v>0</v>
      </c>
    </row>
    <row r="23" spans="1:37" s="1852" customFormat="1" ht="18" customHeight="1">
      <c r="A23" s="1203"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48"/>
      <c r="H23" s="1203" t="s">
        <v>1072</v>
      </c>
      <c r="I23" s="347" t="s">
        <v>1449</v>
      </c>
      <c r="J23" s="24">
        <f ca="1">ROUND(J13*M23,0)</f>
        <v>0</v>
      </c>
      <c r="K23" s="1792" t="s">
        <v>1450</v>
      </c>
      <c r="L23" s="347" t="s">
        <v>1451</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203"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48"/>
      <c r="H24" s="1341" t="s">
        <v>1389</v>
      </c>
      <c r="I24" s="1342" t="s">
        <v>1435</v>
      </c>
      <c r="J24" s="1343">
        <f ca="1">ROUND(J5*M24,0)</f>
        <v>0</v>
      </c>
      <c r="K24" s="1344" t="s">
        <v>1455</v>
      </c>
      <c r="L24" s="1342" t="s">
        <v>1451</v>
      </c>
      <c r="M24" s="1338">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203" t="s">
        <v>1456</v>
      </c>
      <c r="B25" s="347" t="s">
        <v>1457</v>
      </c>
      <c r="C25" s="24"/>
      <c r="D25" s="140" t="s">
        <v>1458</v>
      </c>
      <c r="E25" s="1812"/>
      <c r="F25" s="26"/>
      <c r="G25" s="1845"/>
      <c r="H25" s="1331" t="s">
        <v>1028</v>
      </c>
      <c r="I25" s="1346" t="s">
        <v>1459</v>
      </c>
      <c r="J25" s="355">
        <f ca="1">J5-J16</f>
        <v>0</v>
      </c>
      <c r="K25" s="1347" t="s">
        <v>1460</v>
      </c>
      <c r="L25" s="1348"/>
      <c r="M25" s="1349"/>
    </row>
    <row r="26" spans="1:37" ht="18" customHeight="1">
      <c r="A26" s="1203" t="s">
        <v>1031</v>
      </c>
      <c r="B26" s="347" t="s">
        <v>1461</v>
      </c>
      <c r="C26" s="24">
        <f ca="1">ROUND((C19+C20)*F26,0)</f>
        <v>0</v>
      </c>
      <c r="D26" s="369" t="s">
        <v>1462</v>
      </c>
      <c r="E26" s="358" t="s">
        <v>1463</v>
      </c>
      <c r="F26" s="357">
        <f ca="1">INDIRECT("'数据-取费表'!q"&amp;$G$1)</f>
        <v>0</v>
      </c>
      <c r="G26" s="1845"/>
      <c r="H26" s="344" t="s">
        <v>1029</v>
      </c>
      <c r="I26" s="345" t="s">
        <v>1464</v>
      </c>
      <c r="J26" s="346">
        <f ca="1">IF(J5&lt;&gt;0,ROUND(J25*(1-((1+M28)/(1+M26))^M27)/(M26-M28),0),0)</f>
        <v>0</v>
      </c>
      <c r="K26" s="370" t="s">
        <v>1465</v>
      </c>
      <c r="L26" s="347" t="s">
        <v>1466</v>
      </c>
      <c r="M26" s="357">
        <f ca="1">INDIRECT("'数据-取费表'!I"&amp;$G$1)</f>
        <v>0</v>
      </c>
    </row>
    <row r="27" spans="1:37" ht="18" customHeight="1">
      <c r="A27" s="1203" t="s">
        <v>1033</v>
      </c>
      <c r="B27" s="347" t="s">
        <v>1467</v>
      </c>
      <c r="C27" s="24">
        <f ca="1">ROUND(F21*F26,4)</f>
        <v>0</v>
      </c>
      <c r="D27" s="369" t="s">
        <v>1468</v>
      </c>
      <c r="E27" s="365"/>
      <c r="F27" s="366"/>
      <c r="G27" s="1845"/>
      <c r="H27" s="349"/>
      <c r="I27" s="350"/>
      <c r="J27" s="351"/>
      <c r="K27" s="378" t="s">
        <v>1469</v>
      </c>
      <c r="L27" s="347" t="s">
        <v>1470</v>
      </c>
      <c r="M27" s="379">
        <f ca="1">INDIRECT("'数据-取费表'!ag"&amp;$G$1)</f>
        <v>0</v>
      </c>
    </row>
    <row r="28" spans="1:37" s="1852" customFormat="1" ht="18" customHeight="1">
      <c r="A28" s="1203" t="s">
        <v>1034</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41" t="s">
        <v>1035</v>
      </c>
      <c r="B29" s="1342" t="s">
        <v>1474</v>
      </c>
      <c r="C29" s="1343">
        <f ca="1">ROUND((C19+C20+C23+C26)/(1-F21-C24-C27-C28),0)</f>
        <v>0</v>
      </c>
      <c r="D29" s="1344"/>
      <c r="E29" s="1342"/>
      <c r="F29" s="1345"/>
      <c r="G29" s="1848"/>
      <c r="H29" s="380" t="s">
        <v>1030</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31" t="s">
        <v>1027</v>
      </c>
      <c r="B30" s="1332" t="s">
        <v>1420</v>
      </c>
      <c r="C30" s="355">
        <f ca="1">ROUND(C31+C36+C37+C38,0)</f>
        <v>0</v>
      </c>
      <c r="D30" s="1339" t="s">
        <v>1421</v>
      </c>
      <c r="E30" s="1340"/>
      <c r="F30" s="1296"/>
      <c r="G30" s="1845"/>
      <c r="H30" s="744"/>
      <c r="I30" s="745"/>
      <c r="J30" s="746"/>
      <c r="K30" s="747"/>
      <c r="L30" s="748"/>
      <c r="M30" s="749"/>
    </row>
    <row r="31" spans="1:37" ht="18" customHeight="1">
      <c r="A31" s="1203" t="s">
        <v>1032</v>
      </c>
      <c r="B31" s="347" t="s">
        <v>1425</v>
      </c>
      <c r="C31" s="24">
        <f ca="1">ROUND(IF(项目基本情况!B11="自然人",C5*F31,C32+C33+C34),0)</f>
        <v>0</v>
      </c>
      <c r="D31" s="1794" t="s">
        <v>1426</v>
      </c>
      <c r="E31" s="1792" t="s">
        <v>1477</v>
      </c>
      <c r="F31" s="368" t="str">
        <f ca="1">IF(项目基本情况!B11="企业","",IF(INDIRECT("'数据-取费表'!c"&amp;$G$1)="住宅",5%,IF(F6*F7*F8/12/(1+'数据-取费表'!C42)&gt;20000,12%,7%)))</f>
        <v/>
      </c>
      <c r="G31" s="1845"/>
      <c r="H31" s="744"/>
      <c r="I31" s="745"/>
      <c r="J31" s="746"/>
      <c r="K31" s="747"/>
      <c r="L31" s="748"/>
      <c r="M31" s="749"/>
    </row>
    <row r="32" spans="1:37" ht="18" customHeight="1">
      <c r="A32" s="1203" t="s">
        <v>1031</v>
      </c>
      <c r="B32" s="347" t="s">
        <v>1429</v>
      </c>
      <c r="C32" s="24">
        <f ca="1">IF(项目基本情况!B11="自然人","——",ROUND(C5*F32/(1+'数据-取费表'!C42),0))</f>
        <v>0</v>
      </c>
      <c r="D32" s="1792" t="s">
        <v>1430</v>
      </c>
      <c r="E32" s="347" t="s">
        <v>1418</v>
      </c>
      <c r="F32" s="377">
        <f>'数据-取费表'!B41</f>
        <v>5.6000000000000001E-2</v>
      </c>
      <c r="G32" s="1845"/>
      <c r="H32" s="744"/>
      <c r="I32" s="745"/>
      <c r="J32" s="746"/>
      <c r="K32" s="747"/>
      <c r="L32" s="748"/>
      <c r="M32" s="749"/>
    </row>
    <row r="33" spans="1:18" ht="18" customHeight="1">
      <c r="A33" s="1203" t="s">
        <v>1033</v>
      </c>
      <c r="B33" s="347" t="s">
        <v>1433</v>
      </c>
      <c r="C33" s="24">
        <f ca="1">IF(项目基本情况!B11="自然人","——",IF(D33="按租金收入计税",ROUND(C5*F33,0),IF(D33="按房产原值计税",ROUND(C29*F33*0.7,0),INDIRECT("'数据-取费表'!Aj"&amp;$G$1))))</f>
        <v>0</v>
      </c>
      <c r="D33" s="1822" t="s">
        <v>1434</v>
      </c>
      <c r="E33" s="347" t="s">
        <v>1418</v>
      </c>
      <c r="F33" s="367">
        <f>IF(D33="按票据","——",IF(D33="按租金收入计税",'数据-取费表'!B51,'数据-取费表'!B50))</f>
        <v>1.2E-2</v>
      </c>
      <c r="G33" s="1845"/>
      <c r="H33" s="1853"/>
      <c r="I33" s="1854"/>
      <c r="J33" s="1855"/>
      <c r="K33" s="1856"/>
      <c r="L33" s="1853"/>
      <c r="M33" s="1853"/>
    </row>
    <row r="34" spans="1:18" ht="18" customHeight="1">
      <c r="A34" s="1293" t="s">
        <v>1385</v>
      </c>
      <c r="B34" s="164" t="s">
        <v>1437</v>
      </c>
      <c r="C34" s="25">
        <f ca="1">IF(项目基本情况!B11="自然人","——",ROUND(F34*F35,))</f>
        <v>0</v>
      </c>
      <c r="D34" s="370" t="s">
        <v>1438</v>
      </c>
      <c r="E34" s="347" t="s">
        <v>1439</v>
      </c>
      <c r="F34" s="371">
        <f>'数据-取费表'!B52</f>
        <v>18</v>
      </c>
      <c r="G34" s="1845"/>
      <c r="H34" s="744"/>
      <c r="I34" s="1854"/>
      <c r="J34" s="1855"/>
      <c r="K34" s="1857"/>
      <c r="L34" s="1858"/>
      <c r="M34" s="1858"/>
    </row>
    <row r="35" spans="1:18" ht="18" customHeight="1">
      <c r="A35" s="1355"/>
      <c r="B35" s="1353"/>
      <c r="C35" s="29"/>
      <c r="D35" s="373"/>
      <c r="E35" s="347" t="s">
        <v>1443</v>
      </c>
      <c r="F35" s="348">
        <f ca="1">INDIRECT("'数据-取费表'!r"&amp;$G$1)</f>
        <v>0</v>
      </c>
      <c r="G35" s="1845"/>
      <c r="H35" s="744"/>
      <c r="I35" s="1854"/>
      <c r="J35" s="1855"/>
      <c r="K35" s="1856"/>
      <c r="L35" s="1853"/>
      <c r="M35" s="1853"/>
    </row>
    <row r="36" spans="1:18" ht="18" customHeight="1">
      <c r="A36" s="1354" t="s">
        <v>1036</v>
      </c>
      <c r="B36" s="347" t="s">
        <v>1445</v>
      </c>
      <c r="C36" s="24">
        <f ca="1">ROUND(C29*F36,0)</f>
        <v>0</v>
      </c>
      <c r="D36" s="1792" t="s">
        <v>1478</v>
      </c>
      <c r="E36" s="347" t="s">
        <v>1418</v>
      </c>
      <c r="F36" s="374">
        <f ca="1">INDIRECT("'数据-取费表'!Ak"&amp;$G$1)</f>
        <v>0</v>
      </c>
      <c r="G36" s="1845"/>
      <c r="H36" s="1853"/>
      <c r="I36" s="1854"/>
      <c r="J36" s="1855"/>
      <c r="K36" s="750"/>
      <c r="L36" s="1853"/>
      <c r="M36" s="1853"/>
    </row>
    <row r="37" spans="1:18" ht="18" customHeight="1">
      <c r="A37" s="1203" t="s">
        <v>1072</v>
      </c>
      <c r="B37" s="347" t="s">
        <v>1449</v>
      </c>
      <c r="C37" s="24">
        <f ca="1">ROUND(C13*F37,0)</f>
        <v>0</v>
      </c>
      <c r="D37" s="1792" t="s">
        <v>1450</v>
      </c>
      <c r="E37" s="347" t="s">
        <v>1451</v>
      </c>
      <c r="F37" s="376">
        <f ca="1">INDIRECT("'数据-取费表'!Al"&amp;$G$1)</f>
        <v>0</v>
      </c>
      <c r="G37" s="1845"/>
      <c r="H37" s="1853"/>
      <c r="I37" s="1854"/>
      <c r="J37" s="1855"/>
      <c r="K37" s="750"/>
      <c r="L37" s="1853"/>
      <c r="M37" s="1853"/>
    </row>
    <row r="38" spans="1:18" ht="18" customHeight="1" thickBot="1">
      <c r="A38" s="1341" t="s">
        <v>1389</v>
      </c>
      <c r="B38" s="1342" t="s">
        <v>1435</v>
      </c>
      <c r="C38" s="1343">
        <f ca="1">ROUND(C5*F38,1)</f>
        <v>0</v>
      </c>
      <c r="D38" s="1344" t="s">
        <v>1455</v>
      </c>
      <c r="E38" s="1342" t="s">
        <v>1451</v>
      </c>
      <c r="F38" s="1338">
        <f ca="1">INDIRECT("'数据-取费表'!Am"&amp;$G$1)</f>
        <v>0</v>
      </c>
      <c r="G38" s="1845"/>
      <c r="H38" s="1853"/>
      <c r="I38" s="1854"/>
      <c r="J38" s="1855"/>
      <c r="K38" s="1859"/>
      <c r="L38" s="1853"/>
      <c r="M38" s="1853"/>
    </row>
    <row r="39" spans="1:18" ht="24.6" customHeight="1" thickTop="1">
      <c r="A39" s="1331" t="s">
        <v>1028</v>
      </c>
      <c r="B39" s="1346" t="s">
        <v>1479</v>
      </c>
      <c r="C39" s="355">
        <f ca="1">C5-C30</f>
        <v>0</v>
      </c>
      <c r="D39" s="1347" t="s">
        <v>1480</v>
      </c>
      <c r="E39" s="1348"/>
      <c r="F39" s="1349"/>
      <c r="G39" s="1845"/>
      <c r="H39" s="1853"/>
      <c r="I39" s="1854"/>
      <c r="J39" s="1855"/>
      <c r="K39" s="1859"/>
      <c r="L39" s="1853"/>
      <c r="M39" s="1853"/>
    </row>
    <row r="40" spans="1:18" ht="18" customHeight="1">
      <c r="A40" s="344" t="s">
        <v>1029</v>
      </c>
      <c r="B40" s="345" t="s">
        <v>1481</v>
      </c>
      <c r="C40" s="346" t="e">
        <f ca="1">ROUND(C39*(1-((1+F42)/(1+F40))^F41)/(F40-F42),0)</f>
        <v>#DIV/0!</v>
      </c>
      <c r="D40" s="370" t="s">
        <v>1465</v>
      </c>
      <c r="E40" s="347" t="s">
        <v>1466</v>
      </c>
      <c r="F40" s="357">
        <f ca="1">INDIRECT("'数据-取费表'!I"&amp;$G$1)</f>
        <v>0</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0</v>
      </c>
      <c r="G41" s="1845"/>
      <c r="H41" s="731"/>
      <c r="I41" s="1854"/>
      <c r="J41" s="1855"/>
      <c r="K41" s="750"/>
      <c r="L41" s="731"/>
      <c r="M41" s="731"/>
    </row>
    <row r="42" spans="1:18" ht="18" customHeight="1">
      <c r="A42" s="353"/>
      <c r="B42" s="354"/>
      <c r="C42" s="355"/>
      <c r="D42" s="373"/>
      <c r="E42" s="347" t="s">
        <v>1473</v>
      </c>
      <c r="F42" s="357">
        <f ca="1">INDIRECT("'数据-取费表'!v"&amp;$G$1)</f>
        <v>0</v>
      </c>
      <c r="G42" s="1845"/>
      <c r="H42" s="731"/>
      <c r="I42" s="1854"/>
      <c r="J42" s="1855"/>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7" t="s">
        <v>1392</v>
      </c>
      <c r="B47" s="1199" t="s">
        <v>1393</v>
      </c>
      <c r="C47" s="1199" t="s">
        <v>1394</v>
      </c>
      <c r="D47" s="1199" t="s">
        <v>1395</v>
      </c>
      <c r="E47" s="1281" t="s">
        <v>1396</v>
      </c>
      <c r="F47" s="1282"/>
      <c r="G47" s="791"/>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62" t="s">
        <v>1132</v>
      </c>
      <c r="B48" s="345" t="s">
        <v>1397</v>
      </c>
      <c r="C48" s="1811">
        <f ca="1">C49+C53+C55</f>
        <v>0</v>
      </c>
      <c r="D48" s="1364"/>
      <c r="E48" s="1365"/>
      <c r="F48" s="1183"/>
      <c r="G48" s="791"/>
      <c r="H48" s="792"/>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96" t="s">
        <v>1133</v>
      </c>
      <c r="B49" s="1823" t="s">
        <v>1486</v>
      </c>
      <c r="C49" s="1366">
        <f ca="1">ROUND(F49*F51*F50*(1-F52),0)</f>
        <v>0</v>
      </c>
      <c r="D49" s="1278" t="s">
        <v>1400</v>
      </c>
      <c r="E49" s="1824" t="s">
        <v>1487</v>
      </c>
      <c r="F49" s="1283"/>
      <c r="G49" s="1885"/>
      <c r="H49" s="792"/>
      <c r="I49" s="1881" t="s">
        <v>1530</v>
      </c>
      <c r="J49" s="1886"/>
      <c r="K49" s="1883" t="s">
        <v>1531</v>
      </c>
      <c r="L49" s="1887"/>
      <c r="O49" s="1888" t="s">
        <v>1039</v>
      </c>
      <c r="P49" s="1879" t="s">
        <v>1532</v>
      </c>
      <c r="Q49" s="1880">
        <f ca="1">C29</f>
        <v>0</v>
      </c>
      <c r="R49" s="1880" t="s">
        <v>1525</v>
      </c>
    </row>
    <row r="50" spans="1:18" s="1836" customFormat="1" ht="13.5" thickBot="1">
      <c r="A50" s="1197"/>
      <c r="B50" s="1200"/>
      <c r="C50" s="1201"/>
      <c r="D50" s="1174"/>
      <c r="E50" s="1279" t="s">
        <v>1402</v>
      </c>
      <c r="F50" s="1280">
        <f ca="1">F7</f>
        <v>0</v>
      </c>
      <c r="H50" s="792"/>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8"/>
      <c r="B51" s="1200"/>
      <c r="C51" s="1201"/>
      <c r="D51" s="1174"/>
      <c r="E51" s="1202" t="s">
        <v>1403</v>
      </c>
      <c r="F51" s="348">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8"/>
      <c r="B52" s="1200"/>
      <c r="C52" s="1201"/>
      <c r="D52" s="1174"/>
      <c r="E52" s="1202" t="s">
        <v>1404</v>
      </c>
      <c r="F52" s="1277"/>
      <c r="I52" s="1897" t="s">
        <v>1539</v>
      </c>
      <c r="J52" s="1898"/>
      <c r="K52" s="1897" t="s">
        <v>1540</v>
      </c>
      <c r="L52" s="1898"/>
      <c r="O52" s="1888" t="s">
        <v>1042</v>
      </c>
      <c r="P52" s="1879" t="s">
        <v>1541</v>
      </c>
      <c r="Q52" s="1880" t="b">
        <f>J53</f>
        <v>0</v>
      </c>
      <c r="R52" s="1880" t="s">
        <v>1542</v>
      </c>
    </row>
    <row r="53" spans="1:18" s="1836" customFormat="1" ht="30.75" customHeight="1" thickBot="1">
      <c r="A53" s="1363" t="s">
        <v>1134</v>
      </c>
      <c r="B53" s="369" t="s">
        <v>1405</v>
      </c>
      <c r="C53" s="361">
        <f ca="1">ROUND(IF(F53="押一",C49/12*F11,IF(F53="押二",C49/12*2*F11,IF(F53="押三",C49/12*3*F11,C54*F11))),0)</f>
        <v>0</v>
      </c>
      <c r="D53" s="1818" t="s">
        <v>3040</v>
      </c>
      <c r="E53" s="358" t="s">
        <v>1406</v>
      </c>
      <c r="F53" s="1368"/>
      <c r="I53" s="1899" t="s">
        <v>1543</v>
      </c>
      <c r="J53" s="1900" t="b">
        <f>IF(M47="住宅",IF(D1="——",MAX(J51,L48),IF(D1="在建（套用方法）",MAX(J51,L48-'数据-取费表'!B24),MAX(J51,L48-'数据-取费表'!B20))),IF(D1="——",MIN(J51,L48),IF(D1="在建（套用方法）",MIN(J51,L48-'数据-取费表'!B24),IF(D1="土地（套用方法）",MIN(J51,L48-'数据-取费表'!B20)))))</f>
        <v>0</v>
      </c>
      <c r="K53" s="3227" t="s">
        <v>1544</v>
      </c>
      <c r="L53" s="3228"/>
      <c r="O53" s="1878" t="s">
        <v>1043</v>
      </c>
      <c r="P53" s="1879" t="s">
        <v>1545</v>
      </c>
      <c r="Q53" s="1880" t="e">
        <f ca="1">Q47+Q48</f>
        <v>#DIV/0!</v>
      </c>
      <c r="R53" s="1880" t="s">
        <v>1044</v>
      </c>
    </row>
    <row r="54" spans="1:18" s="1836" customFormat="1" ht="13.5" thickBot="1">
      <c r="A54" s="1196"/>
      <c r="B54" s="1935" t="s">
        <v>1599</v>
      </c>
      <c r="C54" s="1180"/>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35" t="s">
        <v>1072</v>
      </c>
      <c r="B55" s="1821" t="s">
        <v>1409</v>
      </c>
      <c r="C55" s="1336"/>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8">
        <v>2</v>
      </c>
      <c r="B56" s="1179" t="s">
        <v>1410</v>
      </c>
      <c r="C56" s="276">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71" t="s">
        <v>1474</v>
      </c>
      <c r="C57" s="282">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60" t="s">
        <v>1027</v>
      </c>
      <c r="B58" s="1179" t="s">
        <v>1420</v>
      </c>
      <c r="C58" s="361">
        <f ca="1">ROUND(C59+C64+C65+C66,0)</f>
        <v>0</v>
      </c>
      <c r="D58" s="1181" t="s">
        <v>1421</v>
      </c>
      <c r="E58" s="1182"/>
      <c r="F58" s="1183"/>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203" t="s">
        <v>1032</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203" t="s">
        <v>1031</v>
      </c>
      <c r="B60" s="1171" t="s">
        <v>1429</v>
      </c>
      <c r="C60" s="24">
        <f ca="1">IF(项目基本情况!B11="自然人","——",ROUND(C48*F60/(1+'数据-取费表'!C42),0))</f>
        <v>0</v>
      </c>
      <c r="D60" s="1185" t="s">
        <v>1430</v>
      </c>
      <c r="E60" s="1171" t="s">
        <v>1418</v>
      </c>
      <c r="F60" s="377">
        <f t="shared" ref="F60:F66" si="0">F32</f>
        <v>5.6000000000000001E-2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203" t="s">
        <v>1488</v>
      </c>
      <c r="B61" s="1171" t="s">
        <v>1489</v>
      </c>
      <c r="C61" s="24">
        <f ca="1">IF(项目基本情况!B11="自然人","——",IF(D61="按租金收入计税",ROUND(C48*F61,0),IF(D61="按房产原值计税",ROUND(C57*F61*0.7,0),INDIRECT("'数据-取费表'!Aj"&amp;$G$1))))</f>
        <v>0</v>
      </c>
      <c r="D61" s="1822" t="s">
        <v>1434</v>
      </c>
      <c r="E61" s="1171" t="s">
        <v>1490</v>
      </c>
      <c r="F61" s="367">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203" t="s">
        <v>1491</v>
      </c>
      <c r="B62" s="1170" t="s">
        <v>1492</v>
      </c>
      <c r="C62" s="25">
        <f ca="1">IF(项目基本情况!B11="自然人","——",ROUND(F62*F63,0))</f>
        <v>0</v>
      </c>
      <c r="D62" s="1186" t="s">
        <v>1493</v>
      </c>
      <c r="E62" s="1171" t="s">
        <v>1494</v>
      </c>
      <c r="F62" s="371">
        <f t="shared" si="0"/>
        <v>18</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72"/>
      <c r="B63" s="1177"/>
      <c r="C63" s="29"/>
      <c r="D63" s="1187"/>
      <c r="E63" s="1171"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203" t="s">
        <v>1496</v>
      </c>
      <c r="B64" s="1171" t="s">
        <v>1497</v>
      </c>
      <c r="C64" s="24">
        <f ca="1">ROUND(C57*F64,0)</f>
        <v>0</v>
      </c>
      <c r="D64" s="1185" t="s">
        <v>1498</v>
      </c>
      <c r="E64" s="1171" t="s">
        <v>1490</v>
      </c>
      <c r="F64" s="374">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203" t="s">
        <v>1499</v>
      </c>
      <c r="B65" s="1171" t="s">
        <v>1449</v>
      </c>
      <c r="C65" s="24">
        <f ca="1">ROUND(C56*F65,0)</f>
        <v>0</v>
      </c>
      <c r="D65" s="1185" t="s">
        <v>1450</v>
      </c>
      <c r="E65" s="1171" t="s">
        <v>1451</v>
      </c>
      <c r="F65" s="376">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203" t="s">
        <v>1500</v>
      </c>
      <c r="B66" s="1171" t="s">
        <v>1435</v>
      </c>
      <c r="C66" s="24">
        <f ca="1">ROUND(C48*F66,0)</f>
        <v>0</v>
      </c>
      <c r="D66" s="1185" t="s">
        <v>1501</v>
      </c>
      <c r="E66" s="1171" t="s">
        <v>1418</v>
      </c>
      <c r="F66" s="357">
        <f t="shared" ca="1" si="0"/>
        <v>0</v>
      </c>
      <c r="O66" s="1878" t="s">
        <v>1038</v>
      </c>
      <c r="P66" s="1879" t="s">
        <v>1554</v>
      </c>
      <c r="Q66" s="1880" t="e">
        <f ca="1">L60</f>
        <v>#DIV/0!</v>
      </c>
      <c r="R66" s="1880" t="s">
        <v>1577</v>
      </c>
    </row>
    <row r="67" spans="1:18" s="1836" customFormat="1" ht="16.5" thickBot="1">
      <c r="A67" s="1178" t="s">
        <v>1028</v>
      </c>
      <c r="B67" s="1188" t="s">
        <v>1459</v>
      </c>
      <c r="C67" s="361">
        <f ca="1">C48-C58</f>
        <v>0</v>
      </c>
      <c r="D67" s="1184" t="s">
        <v>1460</v>
      </c>
      <c r="E67" s="1189"/>
      <c r="F67" s="1190"/>
      <c r="O67" s="1888" t="s">
        <v>1039</v>
      </c>
      <c r="P67" s="1879" t="s">
        <v>1558</v>
      </c>
      <c r="Q67" s="1927">
        <f ca="1">L51</f>
        <v>0</v>
      </c>
      <c r="R67" s="1880" t="s">
        <v>1578</v>
      </c>
    </row>
    <row r="68" spans="1:18" s="1836" customFormat="1" ht="16.5" thickBot="1">
      <c r="A68" s="1168" t="s">
        <v>1029</v>
      </c>
      <c r="B68" s="1169" t="s">
        <v>1481</v>
      </c>
      <c r="C68" s="346" t="e">
        <f ca="1">ROUND(C67*(1-((1+F70)/(1+F68))^F69)/(F68-F70),0)</f>
        <v>#DIV/0!</v>
      </c>
      <c r="D68" s="1186" t="s">
        <v>1465</v>
      </c>
      <c r="E68" s="1171" t="s">
        <v>1466</v>
      </c>
      <c r="F68" s="357">
        <f ca="1">F40</f>
        <v>0</v>
      </c>
      <c r="O68" s="1888" t="s">
        <v>1040</v>
      </c>
      <c r="P68" s="1928" t="s">
        <v>1579</v>
      </c>
      <c r="Q68" s="1880">
        <f ca="1">ROUND(Q69-Q70*Q71,0)</f>
        <v>0</v>
      </c>
      <c r="R68" s="1880" t="s">
        <v>1048</v>
      </c>
    </row>
    <row r="69" spans="1:18" s="1836" customFormat="1" ht="13.5" thickBot="1">
      <c r="A69" s="1172"/>
      <c r="B69" s="1173"/>
      <c r="C69" s="351"/>
      <c r="D69" s="1191" t="s">
        <v>1469</v>
      </c>
      <c r="E69" s="1171" t="s">
        <v>1470</v>
      </c>
      <c r="F69" s="379">
        <f ca="1">F41</f>
        <v>0</v>
      </c>
      <c r="O69" s="1888" t="s">
        <v>1045</v>
      </c>
      <c r="P69" s="1928" t="s">
        <v>1580</v>
      </c>
      <c r="Q69" s="1880">
        <f ca="1">C39</f>
        <v>0</v>
      </c>
      <c r="R69" s="1880" t="s">
        <v>1525</v>
      </c>
    </row>
    <row r="70" spans="1:18" s="1836" customFormat="1" ht="13.5" thickBot="1">
      <c r="A70" s="1175"/>
      <c r="B70" s="1176"/>
      <c r="C70" s="355"/>
      <c r="D70" s="1187"/>
      <c r="E70" s="1171" t="s">
        <v>1473</v>
      </c>
      <c r="F70" s="1277">
        <f ca="1">F42</f>
        <v>0</v>
      </c>
      <c r="O70" s="1888" t="s">
        <v>1046</v>
      </c>
      <c r="P70" s="1928" t="s">
        <v>1581</v>
      </c>
      <c r="Q70" s="1880">
        <f ca="1">C13</f>
        <v>0</v>
      </c>
      <c r="R70" s="1880" t="s">
        <v>1525</v>
      </c>
    </row>
    <row r="71" spans="1:18" s="1836" customFormat="1" ht="13.5" thickBot="1">
      <c r="A71" s="1192" t="s">
        <v>1030</v>
      </c>
      <c r="B71" s="1193" t="s">
        <v>1483</v>
      </c>
      <c r="C71" s="382" t="e">
        <f ca="1">ROUND(C68/F71,0)</f>
        <v>#DIV/0!</v>
      </c>
      <c r="D71" s="1194" t="s">
        <v>1484</v>
      </c>
      <c r="E71" s="1195" t="s">
        <v>1485</v>
      </c>
      <c r="F71" s="385">
        <f ca="1">F43</f>
        <v>0</v>
      </c>
      <c r="O71" s="1888" t="s">
        <v>1047</v>
      </c>
      <c r="P71" s="1928" t="s">
        <v>1582</v>
      </c>
      <c r="Q71" s="1891">
        <f ca="1">C76</f>
        <v>0</v>
      </c>
      <c r="R71" s="1880"/>
    </row>
    <row r="72" spans="1:18" s="1836" customFormat="1" ht="13.5" thickBot="1">
      <c r="B72" s="795"/>
      <c r="C72" s="795"/>
      <c r="O72" s="1888" t="s">
        <v>1041</v>
      </c>
      <c r="P72" s="1879" t="s">
        <v>1560</v>
      </c>
      <c r="Q72" s="1891">
        <f>L52</f>
        <v>0</v>
      </c>
      <c r="R72" s="1880"/>
    </row>
    <row r="73" spans="1:18" ht="16.5" thickBot="1">
      <c r="A73" s="1836"/>
      <c r="B73" s="795"/>
      <c r="C73" s="795"/>
      <c r="D73" s="1836"/>
      <c r="E73" s="1836"/>
      <c r="F73" s="1836"/>
      <c r="O73" s="1888" t="s">
        <v>1042</v>
      </c>
      <c r="P73" s="1879" t="s">
        <v>1563</v>
      </c>
      <c r="Q73" s="1880" t="e">
        <f ca="1">L58</f>
        <v>#DIV/0!</v>
      </c>
      <c r="R73" s="1880" t="s">
        <v>1564</v>
      </c>
    </row>
    <row r="74" spans="1:18" ht="13.5" thickBot="1">
      <c r="A74" s="1836"/>
      <c r="B74" s="317"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1043</v>
      </c>
      <c r="P75" s="1879" t="s">
        <v>1545</v>
      </c>
      <c r="Q75" s="1880" t="e">
        <f ca="1">Q65+Q66</f>
        <v>#DIV/0!</v>
      </c>
      <c r="R75" s="1880" t="s">
        <v>1044</v>
      </c>
    </row>
    <row r="76" spans="1:18">
      <c r="B76" s="388" t="s">
        <v>1503</v>
      </c>
      <c r="C76" s="389">
        <f ca="1">INDIRECT("'数据-取费表'!j"&amp;$G$1)</f>
        <v>0</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1073</v>
      </c>
      <c r="B1" s="3230"/>
      <c r="C1" s="3231"/>
      <c r="D1" s="3232">
        <f>SUM(I10,I15,I20,I21,I23)</f>
        <v>0</v>
      </c>
      <c r="E1" s="3232"/>
      <c r="F1" s="3232"/>
      <c r="G1" s="3232"/>
      <c r="H1" s="3232"/>
      <c r="I1" s="3233"/>
    </row>
    <row r="2" spans="1:9">
      <c r="A2" s="3234" t="s">
        <v>1074</v>
      </c>
      <c r="B2" s="3235" t="s">
        <v>1075</v>
      </c>
      <c r="C2" s="3235"/>
      <c r="D2" s="1303" t="s">
        <v>1076</v>
      </c>
      <c r="E2" s="1303" t="s">
        <v>1077</v>
      </c>
      <c r="F2" s="1303" t="s">
        <v>1078</v>
      </c>
      <c r="G2" s="1303" t="s">
        <v>1079</v>
      </c>
      <c r="H2" s="1303" t="s">
        <v>1080</v>
      </c>
      <c r="I2" s="1304" t="s">
        <v>1081</v>
      </c>
    </row>
    <row r="3" spans="1:9">
      <c r="A3" s="3234"/>
      <c r="B3" s="3235" t="s">
        <v>1082</v>
      </c>
      <c r="C3" s="3235"/>
      <c r="D3" s="1305"/>
      <c r="E3" s="1303"/>
      <c r="F3" s="1306"/>
      <c r="G3" s="1306"/>
      <c r="H3" s="1307"/>
      <c r="I3" s="1308">
        <f>ROUND(D3*E3*F3*G3*H3/10000,0)</f>
        <v>0</v>
      </c>
    </row>
    <row r="4" spans="1:9">
      <c r="A4" s="3234"/>
      <c r="B4" s="3235" t="s">
        <v>1083</v>
      </c>
      <c r="C4" s="3235"/>
      <c r="D4" s="1305"/>
      <c r="E4" s="1303"/>
      <c r="F4" s="1306"/>
      <c r="G4" s="1306"/>
      <c r="H4" s="1307"/>
      <c r="I4" s="1308">
        <f t="shared" ref="I4:I9" si="0">ROUND(D4*E4*F4*G4*H4/10000,0)</f>
        <v>0</v>
      </c>
    </row>
    <row r="5" spans="1:9">
      <c r="A5" s="3234"/>
      <c r="B5" s="3235" t="s">
        <v>1084</v>
      </c>
      <c r="C5" s="3235"/>
      <c r="D5" s="1305"/>
      <c r="E5" s="1303"/>
      <c r="F5" s="1306"/>
      <c r="G5" s="1306"/>
      <c r="H5" s="1307"/>
      <c r="I5" s="1308">
        <f t="shared" si="0"/>
        <v>0</v>
      </c>
    </row>
    <row r="6" spans="1:9">
      <c r="A6" s="3234"/>
      <c r="B6" s="3235" t="s">
        <v>1085</v>
      </c>
      <c r="C6" s="3235"/>
      <c r="D6" s="1305"/>
      <c r="E6" s="1303"/>
      <c r="F6" s="1306"/>
      <c r="G6" s="1306"/>
      <c r="H6" s="1307"/>
      <c r="I6" s="1308">
        <f t="shared" si="0"/>
        <v>0</v>
      </c>
    </row>
    <row r="7" spans="1:9">
      <c r="A7" s="3234"/>
      <c r="B7" s="3235" t="s">
        <v>1086</v>
      </c>
      <c r="C7" s="3235"/>
      <c r="D7" s="1305"/>
      <c r="E7" s="1303"/>
      <c r="F7" s="1306"/>
      <c r="G7" s="1306"/>
      <c r="H7" s="1307"/>
      <c r="I7" s="1308">
        <f t="shared" si="0"/>
        <v>0</v>
      </c>
    </row>
    <row r="8" spans="1:9">
      <c r="A8" s="3234"/>
      <c r="B8" s="3235" t="s">
        <v>1087</v>
      </c>
      <c r="C8" s="3235"/>
      <c r="D8" s="1305"/>
      <c r="E8" s="1303"/>
      <c r="F8" s="1306"/>
      <c r="G8" s="1306"/>
      <c r="H8" s="1307"/>
      <c r="I8" s="1308">
        <f t="shared" si="0"/>
        <v>0</v>
      </c>
    </row>
    <row r="9" spans="1:9">
      <c r="A9" s="3234"/>
      <c r="B9" s="3235" t="s">
        <v>1088</v>
      </c>
      <c r="C9" s="3235"/>
      <c r="D9" s="1305"/>
      <c r="E9" s="1303"/>
      <c r="F9" s="1306"/>
      <c r="G9" s="1306"/>
      <c r="H9" s="1307"/>
      <c r="I9" s="1308">
        <f t="shared" si="0"/>
        <v>0</v>
      </c>
    </row>
    <row r="10" spans="1:9">
      <c r="A10" s="3234"/>
      <c r="B10" s="3236" t="s">
        <v>1089</v>
      </c>
      <c r="C10" s="3236"/>
      <c r="D10" s="1309"/>
      <c r="E10" s="1309" t="e">
        <f>ROUND(D1*10000/D10/H9,0)</f>
        <v>#DIV/0!</v>
      </c>
      <c r="F10" s="1310"/>
      <c r="G10" s="1310"/>
      <c r="H10" s="1311"/>
      <c r="I10" s="1312">
        <f>SUM(I3:I9)</f>
        <v>0</v>
      </c>
    </row>
    <row r="11" spans="1:9" ht="14.25">
      <c r="A11" s="3234" t="s">
        <v>1090</v>
      </c>
      <c r="B11" s="3235" t="s">
        <v>1091</v>
      </c>
      <c r="C11" s="3235"/>
      <c r="D11" s="1305" t="s">
        <v>1092</v>
      </c>
      <c r="E11" s="1305" t="s">
        <v>1093</v>
      </c>
      <c r="F11" s="1306" t="s">
        <v>1094</v>
      </c>
      <c r="G11" s="1306" t="s">
        <v>1080</v>
      </c>
      <c r="H11" s="1313" t="s">
        <v>1095</v>
      </c>
      <c r="I11" s="1304" t="s">
        <v>1081</v>
      </c>
    </row>
    <row r="12" spans="1:9">
      <c r="A12" s="3234"/>
      <c r="B12" s="3235" t="s">
        <v>1096</v>
      </c>
      <c r="C12" s="3235"/>
      <c r="D12" s="1305"/>
      <c r="E12" s="1305"/>
      <c r="F12" s="1306"/>
      <c r="G12" s="1307"/>
      <c r="H12" s="1314"/>
      <c r="I12" s="1304">
        <f>ROUND(D12*E12*F12*G12/10000,0)</f>
        <v>0</v>
      </c>
    </row>
    <row r="13" spans="1:9">
      <c r="A13" s="3234"/>
      <c r="B13" s="3235" t="s">
        <v>1097</v>
      </c>
      <c r="C13" s="3235"/>
      <c r="D13" s="1305"/>
      <c r="E13" s="1305"/>
      <c r="F13" s="1306"/>
      <c r="G13" s="1307"/>
      <c r="H13" s="1314"/>
      <c r="I13" s="1304">
        <f>ROUND(D13*E13*F13*G13/10000,0)</f>
        <v>0</v>
      </c>
    </row>
    <row r="14" spans="1:9">
      <c r="A14" s="3234"/>
      <c r="B14" s="3235" t="s">
        <v>1098</v>
      </c>
      <c r="C14" s="3235"/>
      <c r="D14" s="1305"/>
      <c r="E14" s="1305"/>
      <c r="F14" s="1306"/>
      <c r="G14" s="1307"/>
      <c r="H14" s="1314"/>
      <c r="I14" s="1304">
        <f>ROUND(D14*E14*F14*G14/10000,0)</f>
        <v>0</v>
      </c>
    </row>
    <row r="15" spans="1:9">
      <c r="A15" s="3234"/>
      <c r="B15" s="3236" t="s">
        <v>1089</v>
      </c>
      <c r="C15" s="3236"/>
      <c r="D15" s="1309"/>
      <c r="E15" s="1309">
        <f>SUM(E12:E14)</f>
        <v>0</v>
      </c>
      <c r="F15" s="1310"/>
      <c r="G15" s="1307"/>
      <c r="H15" s="1314"/>
      <c r="I15" s="1315">
        <f>SUM(I12:I14)</f>
        <v>0</v>
      </c>
    </row>
    <row r="16" spans="1:9" ht="24">
      <c r="A16" s="3234" t="s">
        <v>1099</v>
      </c>
      <c r="B16" s="3235" t="s">
        <v>1100</v>
      </c>
      <c r="C16" s="3235"/>
      <c r="D16" s="1305" t="s">
        <v>1076</v>
      </c>
      <c r="E16" s="1316" t="s">
        <v>1101</v>
      </c>
      <c r="F16" s="1306" t="s">
        <v>1102</v>
      </c>
      <c r="G16" s="1307" t="s">
        <v>1080</v>
      </c>
      <c r="H16" s="1313" t="s">
        <v>1095</v>
      </c>
      <c r="I16" s="1304" t="s">
        <v>1081</v>
      </c>
    </row>
    <row r="17" spans="1:9" ht="14.25">
      <c r="A17" s="3234"/>
      <c r="B17" s="3235" t="s">
        <v>1103</v>
      </c>
      <c r="C17" s="3235"/>
      <c r="D17" s="1305"/>
      <c r="E17" s="1305"/>
      <c r="F17" s="1306"/>
      <c r="G17" s="1307"/>
      <c r="H17" s="1317"/>
      <c r="I17" s="1318">
        <f>ROUND(D17*E17*F17*G17/10000,0)</f>
        <v>0</v>
      </c>
    </row>
    <row r="18" spans="1:9" ht="14.25">
      <c r="A18" s="3234"/>
      <c r="B18" s="3235" t="s">
        <v>1104</v>
      </c>
      <c r="C18" s="3235"/>
      <c r="D18" s="1305"/>
      <c r="E18" s="1305"/>
      <c r="F18" s="1306"/>
      <c r="G18" s="1307"/>
      <c r="H18" s="1317"/>
      <c r="I18" s="1318">
        <f>ROUND(D18*E18*F18*G18/10000,0)</f>
        <v>0</v>
      </c>
    </row>
    <row r="19" spans="1:9" ht="14.25">
      <c r="A19" s="3234"/>
      <c r="B19" s="3235" t="s">
        <v>1105</v>
      </c>
      <c r="C19" s="3235"/>
      <c r="D19" s="1305"/>
      <c r="E19" s="1305"/>
      <c r="F19" s="1306"/>
      <c r="G19" s="1307"/>
      <c r="H19" s="1317"/>
      <c r="I19" s="1318">
        <f>ROUND(D19*E19*F19*G19/10000,0)</f>
        <v>0</v>
      </c>
    </row>
    <row r="20" spans="1:9">
      <c r="A20" s="3234"/>
      <c r="B20" s="3236" t="s">
        <v>1089</v>
      </c>
      <c r="C20" s="3236"/>
      <c r="D20" s="1309">
        <f>SUM(D17:D19)</f>
        <v>0</v>
      </c>
      <c r="E20" s="1309"/>
      <c r="F20" s="1310"/>
      <c r="G20" s="1307"/>
      <c r="H20" s="1314"/>
      <c r="I20" s="1315">
        <f>SUM(I17:I19)</f>
        <v>0</v>
      </c>
    </row>
    <row r="21" spans="1:9">
      <c r="A21" s="3234" t="s">
        <v>1106</v>
      </c>
      <c r="B21" s="3238"/>
      <c r="C21" s="3238"/>
      <c r="D21" s="3238"/>
      <c r="E21" s="3238"/>
      <c r="F21" s="3238"/>
      <c r="G21" s="3238"/>
      <c r="H21" s="1760">
        <v>0.1</v>
      </c>
      <c r="I21" s="1312">
        <f>ROUND(I10*H21,0)</f>
        <v>0</v>
      </c>
    </row>
    <row r="22" spans="1:9" ht="14.25">
      <c r="A22" s="3239" t="s">
        <v>1107</v>
      </c>
      <c r="B22" s="3240"/>
      <c r="C22" s="3241"/>
      <c r="D22" s="1319" t="s">
        <v>1108</v>
      </c>
      <c r="E22" s="1319" t="s">
        <v>1109</v>
      </c>
      <c r="F22" s="1320" t="s">
        <v>1110</v>
      </c>
      <c r="G22" s="1320" t="s">
        <v>1111</v>
      </c>
      <c r="H22" s="1313" t="s">
        <v>1112</v>
      </c>
      <c r="I22" s="1304" t="s">
        <v>1113</v>
      </c>
    </row>
    <row r="23" spans="1:9" ht="14.25" thickBot="1">
      <c r="A23" s="3242"/>
      <c r="B23" s="3243"/>
      <c r="C23" s="3244"/>
      <c r="D23" s="1321"/>
      <c r="E23" s="1321"/>
      <c r="F23" s="1321"/>
      <c r="G23" s="1322"/>
      <c r="H23" s="1323"/>
      <c r="I23" s="1324">
        <f>ROUND(E23*D23*F23*(1-G23)/10000,0)</f>
        <v>0</v>
      </c>
    </row>
    <row r="26" spans="1:9">
      <c r="A26" s="1325" t="s">
        <v>1114</v>
      </c>
      <c r="B26" s="1325"/>
      <c r="C26" s="1325"/>
      <c r="D26" s="1325"/>
      <c r="E26" s="3245">
        <f>C27-C30-C31-C32</f>
        <v>0</v>
      </c>
      <c r="F26" s="3245"/>
      <c r="G26" s="3245"/>
      <c r="H26" s="1732" t="s">
        <v>1336</v>
      </c>
    </row>
    <row r="27" spans="1:9">
      <c r="A27" s="1326">
        <v>1</v>
      </c>
      <c r="B27" s="1327" t="s">
        <v>1115</v>
      </c>
      <c r="C27" s="1327">
        <f>C28+C29</f>
        <v>0</v>
      </c>
      <c r="D27" s="1327"/>
      <c r="E27" s="3246"/>
      <c r="F27" s="3246"/>
      <c r="G27" s="3246"/>
    </row>
    <row r="28" spans="1:9">
      <c r="A28" s="1328" t="s">
        <v>1116</v>
      </c>
      <c r="B28" s="1327" t="s">
        <v>1117</v>
      </c>
      <c r="C28" s="1327"/>
      <c r="D28" s="1327"/>
      <c r="E28" s="3246"/>
      <c r="F28" s="3246"/>
      <c r="G28" s="3246"/>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37"/>
      <c r="F32" s="3237"/>
      <c r="G32" s="3237"/>
    </row>
    <row r="33" spans="1:7" hidden="1">
      <c r="A33" s="3247" t="s">
        <v>1126</v>
      </c>
      <c r="B33" s="3248"/>
      <c r="C33" s="3248"/>
      <c r="D33" s="3249"/>
      <c r="E33" s="3245"/>
      <c r="F33" s="3245"/>
      <c r="G33" s="3245"/>
    </row>
    <row r="34" spans="1:7" hidden="1">
      <c r="A34" s="1330">
        <v>1</v>
      </c>
      <c r="B34" s="1327" t="s">
        <v>1127</v>
      </c>
      <c r="C34" s="1327"/>
      <c r="D34" s="1327"/>
      <c r="E34" s="3246"/>
      <c r="F34" s="3246"/>
      <c r="G34" s="3246"/>
    </row>
    <row r="35" spans="1:7" hidden="1">
      <c r="A35" s="1330">
        <v>2</v>
      </c>
      <c r="B35" s="1327" t="s">
        <v>1128</v>
      </c>
      <c r="C35" s="1327"/>
      <c r="D35" s="1327"/>
      <c r="E35" s="3246"/>
      <c r="F35" s="3246"/>
      <c r="G35" s="3246"/>
    </row>
    <row r="36" spans="1:7" hidden="1">
      <c r="A36" s="1330">
        <v>3</v>
      </c>
      <c r="B36" s="1327" t="s">
        <v>1129</v>
      </c>
      <c r="C36" s="1327"/>
      <c r="D36" s="1327"/>
      <c r="E36" s="3246"/>
      <c r="F36" s="3246"/>
      <c r="G36" s="3246"/>
    </row>
    <row r="37" spans="1:7" hidden="1">
      <c r="A37" s="1330">
        <v>4</v>
      </c>
      <c r="B37" s="1327" t="s">
        <v>1130</v>
      </c>
      <c r="C37" s="1327"/>
      <c r="D37" s="1327"/>
      <c r="E37" s="3246"/>
      <c r="F37" s="3246"/>
      <c r="G37" s="3246"/>
    </row>
    <row r="38" spans="1:7" hidden="1">
      <c r="A38" s="3247" t="s">
        <v>1131</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8" t="s">
        <v>2527</v>
      </c>
      <c r="C1" s="1634" t="s">
        <v>2528</v>
      </c>
      <c r="D1" s="1621"/>
      <c r="E1" s="2579"/>
      <c r="F1" s="2580" t="s">
        <v>2529</v>
      </c>
      <c r="G1" s="1631" t="s">
        <v>2530</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1390</v>
      </c>
      <c r="B2" s="1420" t="e">
        <f ca="1">IF(C2="——",ROUND(C49*D3/10000,0),ROUND(C49*D3/10000,0)-D2)</f>
        <v>#DIV/0!</v>
      </c>
      <c r="C2" s="2582"/>
      <c r="D2" s="1367" t="e">
        <f ca="1">SUMIF(INDIRECT("'"&amp;F2&amp;"'"&amp;"!A:A"),"承租人权益价值",INDIRECT("'"&amp;F2&amp;"'"&amp;"!c:c"))</f>
        <v>#REF!</v>
      </c>
      <c r="E2" s="2583" t="s">
        <v>2531</v>
      </c>
      <c r="F2" s="2584"/>
      <c r="G2" s="1126"/>
      <c r="H2" s="1126"/>
      <c r="I2" s="1126"/>
      <c r="J2" s="1126"/>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2532</v>
      </c>
      <c r="D3" s="399">
        <f>IF(D1="",'数据-汇总表'!E3,SUMIF('数据-汇总表'!$C19:$C33,D1,'数据-汇总表'!$E19:$E33))</f>
        <v>2526.41</v>
      </c>
      <c r="E3" s="1126"/>
      <c r="F3" s="2591"/>
      <c r="G3" s="1126"/>
      <c r="H3" s="1126"/>
      <c r="I3" s="1126"/>
      <c r="J3" s="1126"/>
      <c r="K3" s="2585"/>
      <c r="L3" s="2586"/>
      <c r="M3" s="2587"/>
      <c r="N3" s="2587"/>
      <c r="O3" s="2587"/>
      <c r="P3" s="2588"/>
      <c r="Q3" s="2589"/>
      <c r="R3" s="2589"/>
      <c r="S3" s="2589"/>
      <c r="T3" s="2589"/>
      <c r="U3" s="2589"/>
      <c r="V3" s="2589"/>
      <c r="W3" s="2589"/>
      <c r="X3" s="2589"/>
      <c r="Y3" s="2589"/>
      <c r="Z3" s="2589"/>
      <c r="AA3" s="2589"/>
      <c r="AB3" s="2589"/>
      <c r="AC3" s="1284"/>
    </row>
    <row r="4" spans="1:29" ht="15">
      <c r="A4" s="401" t="s">
        <v>2533</v>
      </c>
      <c r="B4" s="402"/>
      <c r="C4" s="3268" t="s">
        <v>2534</v>
      </c>
      <c r="D4" s="3269"/>
      <c r="E4" s="3270" t="s">
        <v>2535</v>
      </c>
      <c r="F4" s="3271"/>
      <c r="G4" s="3268" t="s">
        <v>2536</v>
      </c>
      <c r="H4" s="3269"/>
      <c r="I4" s="3268" t="s">
        <v>2537</v>
      </c>
      <c r="J4" s="3269"/>
      <c r="K4" s="2592" t="s">
        <v>2538</v>
      </c>
      <c r="L4" s="1132"/>
      <c r="M4" s="1133"/>
      <c r="N4" s="1133"/>
      <c r="O4" s="1133"/>
      <c r="P4" s="3272" t="s">
        <v>2539</v>
      </c>
      <c r="Q4" s="3273"/>
      <c r="R4" s="3255" t="s">
        <v>2535</v>
      </c>
      <c r="S4" s="3256"/>
      <c r="T4" s="3255" t="s">
        <v>2536</v>
      </c>
      <c r="U4" s="3256"/>
      <c r="V4" s="3280" t="s">
        <v>2537</v>
      </c>
      <c r="W4" s="3280"/>
      <c r="X4" s="1807"/>
      <c r="Y4" s="3255" t="s">
        <v>2539</v>
      </c>
      <c r="Z4" s="3256"/>
      <c r="AA4" s="3250" t="s">
        <v>2535</v>
      </c>
      <c r="AB4" s="3250" t="s">
        <v>2536</v>
      </c>
      <c r="AC4" s="3250" t="s">
        <v>2537</v>
      </c>
    </row>
    <row r="5" spans="1:29" ht="15">
      <c r="A5" s="404"/>
      <c r="B5" s="405"/>
      <c r="C5" s="3261" t="s">
        <v>2540</v>
      </c>
      <c r="D5" s="3262"/>
      <c r="E5" s="3259" t="s">
        <v>2541</v>
      </c>
      <c r="F5" s="3260"/>
      <c r="G5" s="3261" t="s">
        <v>2542</v>
      </c>
      <c r="H5" s="3262"/>
      <c r="I5" s="3261" t="s">
        <v>2543</v>
      </c>
      <c r="J5" s="3262"/>
      <c r="K5" s="2593"/>
      <c r="L5" s="1132"/>
      <c r="M5" s="1133"/>
      <c r="N5" s="1133"/>
      <c r="O5" s="1133"/>
      <c r="P5" s="3274"/>
      <c r="Q5" s="3275"/>
      <c r="R5" s="3257"/>
      <c r="S5" s="3258"/>
      <c r="T5" s="3257"/>
      <c r="U5" s="3258"/>
      <c r="V5" s="3280"/>
      <c r="W5" s="3280"/>
      <c r="X5" s="1807"/>
      <c r="Y5" s="3257"/>
      <c r="Z5" s="3258"/>
      <c r="AA5" s="3251"/>
      <c r="AB5" s="3251"/>
      <c r="AC5" s="3251"/>
    </row>
    <row r="6" spans="1:29" ht="15.75" thickBot="1">
      <c r="A6" s="406"/>
      <c r="B6" s="407"/>
      <c r="C6" s="3263" t="s">
        <v>2544</v>
      </c>
      <c r="D6" s="3264"/>
      <c r="E6" s="3265" t="s">
        <v>2544</v>
      </c>
      <c r="F6" s="3266"/>
      <c r="G6" s="3263" t="s">
        <v>2544</v>
      </c>
      <c r="H6" s="3264"/>
      <c r="I6" s="3263" t="s">
        <v>2544</v>
      </c>
      <c r="J6" s="3264"/>
      <c r="K6" s="2593" t="s">
        <v>2545</v>
      </c>
      <c r="L6" s="1132"/>
      <c r="M6" s="1133"/>
      <c r="N6" s="1133"/>
      <c r="O6" s="1133"/>
      <c r="P6" s="3276"/>
      <c r="Q6" s="3277"/>
      <c r="R6" s="3257"/>
      <c r="S6" s="3258"/>
      <c r="T6" s="3278"/>
      <c r="U6" s="3279"/>
      <c r="V6" s="3280"/>
      <c r="W6" s="3280"/>
      <c r="X6" s="1807"/>
      <c r="Y6" s="3278"/>
      <c r="Z6" s="3279"/>
      <c r="AA6" s="3252"/>
      <c r="AB6" s="3252"/>
      <c r="AC6" s="3252"/>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4"/>
      <c r="L7" s="1134"/>
      <c r="M7" s="1135"/>
      <c r="N7" s="1135"/>
      <c r="O7" s="1135"/>
      <c r="P7" s="3253" t="s">
        <v>2547</v>
      </c>
      <c r="Q7" s="3281"/>
      <c r="R7" s="769" t="s">
        <v>23</v>
      </c>
      <c r="S7" s="770">
        <f t="shared" ref="S7:S15" si="0">F7</f>
        <v>0</v>
      </c>
      <c r="T7" s="769" t="s">
        <v>23</v>
      </c>
      <c r="U7" s="770">
        <f t="shared" ref="U7:U15" si="1">H7</f>
        <v>0</v>
      </c>
      <c r="V7" s="769" t="s">
        <v>23</v>
      </c>
      <c r="W7" s="770">
        <f t="shared" ref="W7:W15" si="2">J7</f>
        <v>0</v>
      </c>
      <c r="X7" s="771"/>
      <c r="Y7" s="3253" t="s">
        <v>2547</v>
      </c>
      <c r="Z7" s="3254"/>
      <c r="AA7" s="772" t="e">
        <f>D7/F7</f>
        <v>#DIV/0!</v>
      </c>
      <c r="AB7" s="772" t="e">
        <f>D7/H7</f>
        <v>#DIV/0!</v>
      </c>
      <c r="AC7" s="772" t="e">
        <f>D7/J7</f>
        <v>#DIV/0!</v>
      </c>
    </row>
    <row r="8" spans="1:29" s="117" customFormat="1" ht="15.75" thickBot="1">
      <c r="A8" s="408" t="s">
        <v>2548</v>
      </c>
      <c r="B8" s="409"/>
      <c r="C8" s="414" t="s">
        <v>2549</v>
      </c>
      <c r="D8" s="411">
        <v>100</v>
      </c>
      <c r="E8" s="2595"/>
      <c r="F8" s="413">
        <f>SUMIF(61:61,E8,62:62)-SUMIF(61:61,C8,62:62)+100</f>
        <v>0</v>
      </c>
      <c r="G8" s="414"/>
      <c r="H8" s="411">
        <f>SUMIF(61:61,G8,62:62)-SUMIF(61:61,C8,62:62)+100</f>
        <v>0</v>
      </c>
      <c r="I8" s="2595"/>
      <c r="J8" s="411">
        <f>SUMIF(61:61,I8,62:62)-SUMIF(61:61,C8,62:62)+100</f>
        <v>0</v>
      </c>
      <c r="K8" s="2594"/>
      <c r="L8" s="1134"/>
      <c r="M8" s="1135"/>
      <c r="N8" s="1135"/>
      <c r="O8" s="1135"/>
      <c r="P8" s="3253" t="s">
        <v>2550</v>
      </c>
      <c r="Q8" s="3254"/>
      <c r="R8" s="769" t="s">
        <v>23</v>
      </c>
      <c r="S8" s="770">
        <f t="shared" si="0"/>
        <v>0</v>
      </c>
      <c r="T8" s="769" t="s">
        <v>23</v>
      </c>
      <c r="U8" s="770">
        <f t="shared" si="1"/>
        <v>0</v>
      </c>
      <c r="V8" s="769" t="s">
        <v>23</v>
      </c>
      <c r="W8" s="770">
        <f t="shared" si="2"/>
        <v>0</v>
      </c>
      <c r="X8" s="771"/>
      <c r="Y8" s="3253" t="s">
        <v>2550</v>
      </c>
      <c r="Z8" s="3254"/>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4"/>
      <c r="L9" s="1134"/>
      <c r="M9" s="1135"/>
      <c r="N9" s="1135"/>
      <c r="O9" s="1135"/>
      <c r="P9" s="3267" t="s">
        <v>2553</v>
      </c>
      <c r="Q9" s="1789" t="str">
        <f t="shared" ref="Q9:Q15" si="6">B9</f>
        <v>用途</v>
      </c>
      <c r="R9" s="769" t="s">
        <v>17</v>
      </c>
      <c r="S9" s="770">
        <f t="shared" si="0"/>
        <v>100</v>
      </c>
      <c r="T9" s="769" t="s">
        <v>17</v>
      </c>
      <c r="U9" s="770">
        <f t="shared" si="1"/>
        <v>100</v>
      </c>
      <c r="V9" s="769" t="s">
        <v>17</v>
      </c>
      <c r="W9" s="770">
        <f t="shared" si="2"/>
        <v>100</v>
      </c>
      <c r="X9" s="771"/>
      <c r="Y9" s="3100"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67"/>
      <c r="Q10" s="1789"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67"/>
      <c r="Q11" s="1789" t="str">
        <f t="shared" si="6"/>
        <v>容积率</v>
      </c>
      <c r="R11" s="769" t="s">
        <v>21</v>
      </c>
      <c r="S11" s="770" t="e">
        <f t="shared" si="0"/>
        <v>#N/A</v>
      </c>
      <c r="T11" s="769" t="s">
        <v>21</v>
      </c>
      <c r="U11" s="770" t="e">
        <f t="shared" si="1"/>
        <v>#N/A</v>
      </c>
      <c r="V11" s="769" t="s">
        <v>21</v>
      </c>
      <c r="W11" s="770" t="e">
        <f t="shared" si="2"/>
        <v>#N/A</v>
      </c>
      <c r="X11" s="771"/>
      <c r="Y11" s="3100"/>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4"/>
      <c r="M12" s="1135"/>
      <c r="N12" s="1135"/>
      <c r="O12" s="1135"/>
      <c r="P12" s="3267"/>
      <c r="Q12" s="1789">
        <f t="shared" si="6"/>
        <v>111</v>
      </c>
      <c r="R12" s="769" t="s">
        <v>21</v>
      </c>
      <c r="S12" s="770">
        <f t="shared" si="0"/>
        <v>100</v>
      </c>
      <c r="T12" s="769" t="s">
        <v>21</v>
      </c>
      <c r="U12" s="770">
        <f t="shared" si="1"/>
        <v>100</v>
      </c>
      <c r="V12" s="769" t="s">
        <v>21</v>
      </c>
      <c r="W12" s="770">
        <f t="shared" si="2"/>
        <v>100</v>
      </c>
      <c r="X12" s="771"/>
      <c r="Y12" s="3100"/>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2"/>
      <c r="M13" s="1133"/>
      <c r="N13" s="1133"/>
      <c r="O13" s="1133"/>
      <c r="P13" s="3267"/>
      <c r="Q13" s="1789">
        <f t="shared" si="6"/>
        <v>111</v>
      </c>
      <c r="R13" s="769" t="s">
        <v>21</v>
      </c>
      <c r="S13" s="770">
        <f t="shared" si="0"/>
        <v>100</v>
      </c>
      <c r="T13" s="769" t="s">
        <v>21</v>
      </c>
      <c r="U13" s="770">
        <f t="shared" si="1"/>
        <v>100</v>
      </c>
      <c r="V13" s="769" t="s">
        <v>21</v>
      </c>
      <c r="W13" s="770">
        <f t="shared" si="2"/>
        <v>100</v>
      </c>
      <c r="X13" s="771"/>
      <c r="Y13" s="3100"/>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2"/>
      <c r="M14" s="1133"/>
      <c r="N14" s="1133"/>
      <c r="O14" s="1133"/>
      <c r="P14" s="3267"/>
      <c r="Q14" s="1789">
        <f t="shared" si="6"/>
        <v>111</v>
      </c>
      <c r="R14" s="769" t="s">
        <v>21</v>
      </c>
      <c r="S14" s="770">
        <f t="shared" si="0"/>
        <v>100</v>
      </c>
      <c r="T14" s="769" t="s">
        <v>21</v>
      </c>
      <c r="U14" s="770">
        <f t="shared" si="1"/>
        <v>100</v>
      </c>
      <c r="V14" s="769" t="s">
        <v>21</v>
      </c>
      <c r="W14" s="770">
        <f t="shared" si="2"/>
        <v>100</v>
      </c>
      <c r="X14" s="771"/>
      <c r="Y14" s="3100"/>
      <c r="Z14" s="55">
        <f t="shared" si="7"/>
        <v>111</v>
      </c>
      <c r="AA14" s="772">
        <f t="shared" si="3"/>
        <v>1</v>
      </c>
      <c r="AB14" s="772">
        <f t="shared" si="4"/>
        <v>1</v>
      </c>
      <c r="AC14" s="772">
        <f t="shared" si="5"/>
        <v>1</v>
      </c>
    </row>
    <row r="15" spans="1:29" ht="99.75">
      <c r="A15" s="440" t="s">
        <v>2557</v>
      </c>
      <c r="B15" s="69" t="s">
        <v>2083</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94" t="s">
        <v>2558</v>
      </c>
      <c r="Q15" s="1804" t="str">
        <f t="shared" si="6"/>
        <v>居住社区成熟度</v>
      </c>
      <c r="R15" s="773" t="s">
        <v>21</v>
      </c>
      <c r="S15" s="774">
        <f t="shared" si="0"/>
        <v>100</v>
      </c>
      <c r="T15" s="773" t="s">
        <v>21</v>
      </c>
      <c r="U15" s="774">
        <f t="shared" si="1"/>
        <v>100</v>
      </c>
      <c r="V15" s="773" t="s">
        <v>21</v>
      </c>
      <c r="W15" s="774">
        <f t="shared" si="2"/>
        <v>100</v>
      </c>
      <c r="X15" s="1807"/>
      <c r="Y15" s="3287" t="s">
        <v>2558</v>
      </c>
      <c r="Z15" s="1808" t="str">
        <f t="shared" si="7"/>
        <v>居住社区成熟度</v>
      </c>
      <c r="AA15" s="1805">
        <f t="shared" si="3"/>
        <v>1</v>
      </c>
      <c r="AB15" s="1805">
        <f t="shared" si="4"/>
        <v>1</v>
      </c>
      <c r="AC15" s="1805">
        <f t="shared" si="5"/>
        <v>1</v>
      </c>
    </row>
    <row r="16" spans="1:29" ht="15">
      <c r="A16" s="428"/>
      <c r="B16" s="446"/>
      <c r="C16" s="447"/>
      <c r="D16" s="448"/>
      <c r="E16" s="2600"/>
      <c r="F16" s="448"/>
      <c r="G16" s="2601"/>
      <c r="H16" s="450"/>
      <c r="I16" s="2601"/>
      <c r="J16" s="448"/>
      <c r="K16" s="2602"/>
      <c r="L16" s="1142"/>
      <c r="M16" s="1133"/>
      <c r="N16" s="1133"/>
      <c r="O16" s="1133"/>
      <c r="P16" s="3295"/>
      <c r="Q16" s="1804"/>
      <c r="R16" s="773"/>
      <c r="S16" s="774"/>
      <c r="T16" s="773"/>
      <c r="U16" s="774"/>
      <c r="V16" s="773"/>
      <c r="W16" s="774"/>
      <c r="X16" s="1807"/>
      <c r="Y16" s="3288"/>
      <c r="Z16" s="1808"/>
      <c r="AA16" s="1805">
        <v>1</v>
      </c>
      <c r="AB16" s="1805">
        <v>1</v>
      </c>
      <c r="AC16" s="1805">
        <v>1</v>
      </c>
    </row>
    <row r="17" spans="1:29" ht="185.25">
      <c r="A17" s="428"/>
      <c r="B17" s="451" t="s">
        <v>2094</v>
      </c>
      <c r="C17" s="2603" t="str">
        <f>估价对象房地状况!C6</f>
        <v>估价对象周边2公里范围内有18路、123路、413路、635路、916路等公交线路，南距地铁二号线东直门站及东直门交通枢纽约1公里，公交便捷度较好、停车便捷程度较好，综合评价交通便捷度较好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95"/>
      <c r="Q17" s="1804" t="str">
        <f>B17</f>
        <v>交通便捷度</v>
      </c>
      <c r="R17" s="773" t="s">
        <v>21</v>
      </c>
      <c r="S17" s="774">
        <f>F17</f>
        <v>100</v>
      </c>
      <c r="T17" s="773" t="s">
        <v>21</v>
      </c>
      <c r="U17" s="774">
        <f>H17</f>
        <v>100</v>
      </c>
      <c r="V17" s="773" t="s">
        <v>21</v>
      </c>
      <c r="W17" s="774">
        <f>J17</f>
        <v>100</v>
      </c>
      <c r="X17" s="1807"/>
      <c r="Y17" s="3288"/>
      <c r="Z17" s="1808" t="str">
        <f>Q17</f>
        <v>交通便捷度</v>
      </c>
      <c r="AA17" s="1805">
        <f t="shared" si="3"/>
        <v>1</v>
      </c>
      <c r="AB17" s="1805">
        <f t="shared" si="4"/>
        <v>1</v>
      </c>
      <c r="AC17" s="1805">
        <f t="shared" si="5"/>
        <v>1</v>
      </c>
    </row>
    <row r="18" spans="1:29" ht="15">
      <c r="A18" s="428"/>
      <c r="B18" s="456"/>
      <c r="C18" s="2604"/>
      <c r="D18" s="450"/>
      <c r="E18" s="2605"/>
      <c r="F18" s="450"/>
      <c r="G18" s="2606"/>
      <c r="H18" s="448"/>
      <c r="I18" s="2606"/>
      <c r="J18" s="448"/>
      <c r="K18" s="2602"/>
      <c r="L18" s="1142"/>
      <c r="M18" s="1133"/>
      <c r="N18" s="1133"/>
      <c r="O18" s="1133"/>
      <c r="P18" s="3295"/>
      <c r="Q18" s="1804"/>
      <c r="R18" s="773"/>
      <c r="S18" s="774"/>
      <c r="T18" s="773"/>
      <c r="U18" s="774"/>
      <c r="V18" s="773"/>
      <c r="W18" s="774"/>
      <c r="X18" s="1807"/>
      <c r="Y18" s="3288"/>
      <c r="Z18" s="1808"/>
      <c r="AA18" s="1805">
        <v>1</v>
      </c>
      <c r="AB18" s="1805">
        <v>1</v>
      </c>
      <c r="AC18" s="1805">
        <v>1</v>
      </c>
    </row>
    <row r="19" spans="1:29" ht="213.75">
      <c r="A19" s="428"/>
      <c r="B19" s="451" t="s">
        <v>2092</v>
      </c>
      <c r="C19" s="2603" t="str">
        <f>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95"/>
      <c r="Q19" s="1804" t="str">
        <f>B19</f>
        <v>公共配套设施</v>
      </c>
      <c r="R19" s="773" t="s">
        <v>21</v>
      </c>
      <c r="S19" s="774">
        <f>F19</f>
        <v>100</v>
      </c>
      <c r="T19" s="773" t="s">
        <v>21</v>
      </c>
      <c r="U19" s="774">
        <f>H19</f>
        <v>100</v>
      </c>
      <c r="V19" s="773" t="s">
        <v>21</v>
      </c>
      <c r="W19" s="774">
        <f>J19</f>
        <v>100</v>
      </c>
      <c r="X19" s="1807"/>
      <c r="Y19" s="3288"/>
      <c r="Z19" s="1808" t="str">
        <f>Q19</f>
        <v>公共配套设施</v>
      </c>
      <c r="AA19" s="1805">
        <f t="shared" si="3"/>
        <v>1</v>
      </c>
      <c r="AB19" s="1805">
        <f t="shared" si="4"/>
        <v>1</v>
      </c>
      <c r="AC19" s="1805">
        <f t="shared" si="5"/>
        <v>1</v>
      </c>
    </row>
    <row r="20" spans="1:29" ht="15">
      <c r="A20" s="428"/>
      <c r="B20" s="456"/>
      <c r="C20" s="447"/>
      <c r="D20" s="448"/>
      <c r="E20" s="2600"/>
      <c r="F20" s="448"/>
      <c r="G20" s="2601"/>
      <c r="H20" s="448"/>
      <c r="I20" s="2601"/>
      <c r="J20" s="448"/>
      <c r="K20" s="2602"/>
      <c r="L20" s="1142"/>
      <c r="M20" s="1133"/>
      <c r="N20" s="1133"/>
      <c r="O20" s="1133"/>
      <c r="P20" s="3295"/>
      <c r="Q20" s="1804"/>
      <c r="R20" s="773"/>
      <c r="S20" s="774"/>
      <c r="T20" s="773"/>
      <c r="U20" s="774"/>
      <c r="V20" s="773"/>
      <c r="W20" s="774"/>
      <c r="X20" s="1807"/>
      <c r="Y20" s="3288"/>
      <c r="Z20" s="1808"/>
      <c r="AA20" s="1805">
        <v>1</v>
      </c>
      <c r="AB20" s="1805">
        <v>1</v>
      </c>
      <c r="AC20" s="1805">
        <v>1</v>
      </c>
    </row>
    <row r="21" spans="1:29" ht="42.75">
      <c r="A21" s="428"/>
      <c r="B21" s="1386" t="s">
        <v>2095</v>
      </c>
      <c r="C21" s="2603" t="str">
        <f>估价对象房地状况!C8</f>
        <v>估价对象所在区域基础设施水平好（七通）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95"/>
      <c r="Q21" s="1804" t="str">
        <f>B21</f>
        <v>基础设施水平</v>
      </c>
      <c r="R21" s="773" t="s">
        <v>17</v>
      </c>
      <c r="S21" s="774">
        <f>F21</f>
        <v>100</v>
      </c>
      <c r="T21" s="773" t="s">
        <v>17</v>
      </c>
      <c r="U21" s="774">
        <f>H21</f>
        <v>100</v>
      </c>
      <c r="V21" s="773" t="s">
        <v>17</v>
      </c>
      <c r="W21" s="774">
        <f>J21</f>
        <v>100</v>
      </c>
      <c r="X21" s="1807"/>
      <c r="Y21" s="3288"/>
      <c r="Z21" s="1808" t="str">
        <f>Q21</f>
        <v>基础设施水平</v>
      </c>
      <c r="AA21" s="1805">
        <f t="shared" ref="AA21" si="8">D21/F21</f>
        <v>1</v>
      </c>
      <c r="AB21" s="1805">
        <f t="shared" ref="AB21" si="9">D21/H21</f>
        <v>1</v>
      </c>
      <c r="AC21" s="1805">
        <f t="shared" ref="AC21" si="10">D21/J21</f>
        <v>1</v>
      </c>
    </row>
    <row r="22" spans="1:29" ht="15">
      <c r="A22" s="428"/>
      <c r="B22" s="1386"/>
      <c r="C22" s="2604"/>
      <c r="D22" s="448"/>
      <c r="E22" s="447"/>
      <c r="F22" s="448"/>
      <c r="G22" s="2607"/>
      <c r="H22" s="448"/>
      <c r="I22" s="447"/>
      <c r="J22" s="448"/>
      <c r="K22" s="2608"/>
      <c r="L22" s="1142"/>
      <c r="M22" s="1133"/>
      <c r="N22" s="1133"/>
      <c r="O22" s="1133"/>
      <c r="P22" s="3295"/>
      <c r="Q22" s="1804"/>
      <c r="R22" s="773"/>
      <c r="S22" s="774"/>
      <c r="T22" s="773"/>
      <c r="U22" s="774"/>
      <c r="V22" s="773"/>
      <c r="W22" s="774"/>
      <c r="X22" s="1807"/>
      <c r="Y22" s="3288"/>
      <c r="Z22" s="1808"/>
      <c r="AA22" s="1805">
        <v>1</v>
      </c>
      <c r="AB22" s="1805">
        <v>1</v>
      </c>
      <c r="AC22" s="1805">
        <v>1</v>
      </c>
    </row>
    <row r="23" spans="1:29" ht="99.75">
      <c r="A23" s="428"/>
      <c r="B23" s="451" t="s">
        <v>2099</v>
      </c>
      <c r="C23" s="2603" t="str">
        <f>估价对象房地状况!C9</f>
        <v>区域自然环境：芳沁园、南馆公园；人文环境：北京电大朝阳分校等教育机构；综合评价环境状况较好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95"/>
      <c r="Q23" s="1804" t="str">
        <f>B23</f>
        <v>自然及人文环境</v>
      </c>
      <c r="R23" s="773" t="s">
        <v>21</v>
      </c>
      <c r="S23" s="774">
        <f>F23</f>
        <v>100</v>
      </c>
      <c r="T23" s="773" t="s">
        <v>21</v>
      </c>
      <c r="U23" s="774">
        <f>H23</f>
        <v>100</v>
      </c>
      <c r="V23" s="773" t="s">
        <v>21</v>
      </c>
      <c r="W23" s="774">
        <f>J23</f>
        <v>100</v>
      </c>
      <c r="X23" s="1807"/>
      <c r="Y23" s="3288"/>
      <c r="Z23" s="1808" t="str">
        <f>Q23</f>
        <v>自然及人文环境</v>
      </c>
      <c r="AA23" s="1805">
        <f>D23/F23</f>
        <v>1</v>
      </c>
      <c r="AB23" s="1805">
        <f>D23/H23</f>
        <v>1</v>
      </c>
      <c r="AC23" s="1805">
        <f>D23/J23</f>
        <v>1</v>
      </c>
    </row>
    <row r="24" spans="1:29" ht="15">
      <c r="A24" s="428"/>
      <c r="B24" s="456"/>
      <c r="C24" s="447"/>
      <c r="D24" s="448"/>
      <c r="E24" s="2600"/>
      <c r="F24" s="448"/>
      <c r="G24" s="2601"/>
      <c r="H24" s="448"/>
      <c r="I24" s="2601"/>
      <c r="J24" s="448"/>
      <c r="K24" s="2602"/>
      <c r="L24" s="1142"/>
      <c r="M24" s="1133"/>
      <c r="N24" s="1133"/>
      <c r="O24" s="1133"/>
      <c r="P24" s="3295"/>
      <c r="Q24" s="1804"/>
      <c r="R24" s="773"/>
      <c r="S24" s="774"/>
      <c r="T24" s="773"/>
      <c r="U24" s="774"/>
      <c r="V24" s="773"/>
      <c r="W24" s="774"/>
      <c r="X24" s="1807"/>
      <c r="Y24" s="3288"/>
      <c r="Z24" s="1808"/>
      <c r="AA24" s="1805">
        <v>1</v>
      </c>
      <c r="AB24" s="1805">
        <v>1</v>
      </c>
      <c r="AC24" s="1805">
        <v>1</v>
      </c>
    </row>
    <row r="25" spans="1:29" ht="15">
      <c r="A25" s="428"/>
      <c r="B25" s="422" t="s">
        <v>2559</v>
      </c>
      <c r="C25" s="460"/>
      <c r="D25" s="435">
        <v>100</v>
      </c>
      <c r="E25" s="2609"/>
      <c r="F25" s="435">
        <f>SUMIF(86:86,E25,87:87)-SUMIF(86:86,C25,87:87)+100</f>
        <v>100</v>
      </c>
      <c r="G25" s="2610"/>
      <c r="H25" s="435">
        <f>SUMIF(86:86,G25,87:87)-SUMIF(86:86,C25,87:87)+100</f>
        <v>100</v>
      </c>
      <c r="I25" s="2610"/>
      <c r="J25" s="435">
        <f>SUMIF(86:86,I25,87:87)-SUMIF(86:86,C25,87:87)+100</f>
        <v>100</v>
      </c>
      <c r="K25" s="426"/>
      <c r="L25" s="1142"/>
      <c r="M25" s="1133"/>
      <c r="N25" s="1133"/>
      <c r="O25" s="1133"/>
      <c r="P25" s="3295"/>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88"/>
      <c r="Z25" s="1808" t="str">
        <f>Q25</f>
        <v>楼层-1</v>
      </c>
      <c r="AA25" s="1805">
        <f t="shared" ref="AA25:AA46" si="15">D25/F25</f>
        <v>1</v>
      </c>
      <c r="AB25" s="1805">
        <f t="shared" ref="AB25:AB46" si="16">D25/H25</f>
        <v>1</v>
      </c>
      <c r="AC25" s="1805">
        <f t="shared" ref="AC25:AC46" si="17">D25/J25</f>
        <v>1</v>
      </c>
    </row>
    <row r="26" spans="1:29" ht="15">
      <c r="A26" s="428"/>
      <c r="B26" s="422" t="s">
        <v>2560</v>
      </c>
      <c r="C26" s="460"/>
      <c r="D26" s="435">
        <v>100</v>
      </c>
      <c r="E26" s="2609"/>
      <c r="F26" s="435">
        <f>SUMIF(88:88,E26,89:89)-SUMIF(88:88,C26,89:89)+100</f>
        <v>100</v>
      </c>
      <c r="G26" s="2610"/>
      <c r="H26" s="435">
        <f>SUMIF(88:88,G26,89:89)-SUMIF(88:88,C26,89:89)+100</f>
        <v>100</v>
      </c>
      <c r="I26" s="2610"/>
      <c r="J26" s="435">
        <f>SUMIF(88:88,I26,89:89)-SUMIF(88:88,C26,89:89)+100</f>
        <v>100</v>
      </c>
      <c r="K26" s="426"/>
      <c r="L26" s="1142"/>
      <c r="M26" s="1133"/>
      <c r="N26" s="1133"/>
      <c r="O26" s="1133"/>
      <c r="P26" s="3295"/>
      <c r="Q26" s="1804" t="str">
        <f t="shared" si="11"/>
        <v>朝向</v>
      </c>
      <c r="R26" s="773" t="s">
        <v>21</v>
      </c>
      <c r="S26" s="774">
        <f t="shared" si="12"/>
        <v>100</v>
      </c>
      <c r="T26" s="773" t="s">
        <v>21</v>
      </c>
      <c r="U26" s="774">
        <f t="shared" si="13"/>
        <v>100</v>
      </c>
      <c r="V26" s="773" t="s">
        <v>21</v>
      </c>
      <c r="W26" s="774">
        <f t="shared" si="14"/>
        <v>100</v>
      </c>
      <c r="X26" s="1807"/>
      <c r="Y26" s="3288"/>
      <c r="Z26" s="1808" t="str">
        <f>Q26</f>
        <v>朝向</v>
      </c>
      <c r="AA26" s="1805">
        <f t="shared" si="15"/>
        <v>1</v>
      </c>
      <c r="AB26" s="1805">
        <f t="shared" si="16"/>
        <v>1</v>
      </c>
      <c r="AC26" s="1805">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7"/>
      <c r="L27" s="1134"/>
      <c r="M27" s="1135"/>
      <c r="N27" s="1135"/>
      <c r="O27" s="1135"/>
      <c r="P27" s="3295"/>
      <c r="Q27" s="1789">
        <f t="shared" si="11"/>
        <v>111</v>
      </c>
      <c r="R27" s="769" t="s">
        <v>21</v>
      </c>
      <c r="S27" s="770">
        <f t="shared" si="12"/>
        <v>100</v>
      </c>
      <c r="T27" s="769" t="s">
        <v>21</v>
      </c>
      <c r="U27" s="770">
        <f t="shared" si="13"/>
        <v>100</v>
      </c>
      <c r="V27" s="769" t="s">
        <v>21</v>
      </c>
      <c r="W27" s="770">
        <f t="shared" si="14"/>
        <v>100</v>
      </c>
      <c r="X27" s="771"/>
      <c r="Y27" s="3288"/>
      <c r="Z27" s="55">
        <f>Q27</f>
        <v>111</v>
      </c>
      <c r="AA27" s="1805">
        <f t="shared" si="15"/>
        <v>1</v>
      </c>
      <c r="AB27" s="1805">
        <f t="shared" si="16"/>
        <v>1</v>
      </c>
      <c r="AC27" s="1805">
        <f t="shared" si="17"/>
        <v>1</v>
      </c>
    </row>
    <row r="28" spans="1:29" ht="15">
      <c r="A28" s="428"/>
      <c r="B28" s="1388">
        <v>111</v>
      </c>
      <c r="C28" s="434"/>
      <c r="D28" s="435">
        <v>100</v>
      </c>
      <c r="E28" s="434"/>
      <c r="F28" s="435">
        <f>SUMIF(92:92,E28,93:93)-SUMIF(92:92,C28,93:93)+100</f>
        <v>100</v>
      </c>
      <c r="G28" s="2611"/>
      <c r="H28" s="435">
        <f>SUMIF(92:92,G28,93:93)-SUMIF(92:92,C28,93:93)+100</f>
        <v>100</v>
      </c>
      <c r="I28" s="434"/>
      <c r="J28" s="435">
        <f>SUMIF(92:92,I28,93:93)-SUMIF(92:92,C28,93:93)+100</f>
        <v>100</v>
      </c>
      <c r="K28" s="2597"/>
      <c r="L28" s="1142"/>
      <c r="M28" s="1133"/>
      <c r="N28" s="1133"/>
      <c r="O28" s="1133"/>
      <c r="P28" s="3295"/>
      <c r="Q28" s="1804">
        <f t="shared" si="11"/>
        <v>111</v>
      </c>
      <c r="R28" s="773" t="s">
        <v>21</v>
      </c>
      <c r="S28" s="774">
        <f t="shared" si="12"/>
        <v>100</v>
      </c>
      <c r="T28" s="773" t="s">
        <v>21</v>
      </c>
      <c r="U28" s="774">
        <f t="shared" si="13"/>
        <v>100</v>
      </c>
      <c r="V28" s="773" t="s">
        <v>21</v>
      </c>
      <c r="W28" s="774">
        <f t="shared" si="14"/>
        <v>100</v>
      </c>
      <c r="X28" s="1807"/>
      <c r="Y28" s="3288"/>
      <c r="Z28" s="1808">
        <f t="shared" ref="Z28:Z46" si="18">Q28</f>
        <v>111</v>
      </c>
      <c r="AA28" s="1805">
        <f t="shared" si="15"/>
        <v>1</v>
      </c>
      <c r="AB28" s="1805">
        <f t="shared" si="16"/>
        <v>1</v>
      </c>
      <c r="AC28" s="1805">
        <f t="shared" si="17"/>
        <v>1</v>
      </c>
    </row>
    <row r="29" spans="1:29" ht="15">
      <c r="A29" s="428"/>
      <c r="B29" s="1388">
        <v>111</v>
      </c>
      <c r="C29" s="434"/>
      <c r="D29" s="435">
        <v>100</v>
      </c>
      <c r="E29" s="434"/>
      <c r="F29" s="435">
        <f>SUMIF(94:94,E29,95:95)-SUMIF(94:94,C29,95:95)+100</f>
        <v>100</v>
      </c>
      <c r="G29" s="2611"/>
      <c r="H29" s="435">
        <f>SUMIF(94:94,G29,95:95)-SUMIF(94:94,C29,95:95)+100</f>
        <v>100</v>
      </c>
      <c r="I29" s="434"/>
      <c r="J29" s="435">
        <f>SUMIF(94:94,I29,95:95)-SUMIF(94:94,C29,95:95)+100</f>
        <v>100</v>
      </c>
      <c r="K29" s="2597"/>
      <c r="L29" s="1142"/>
      <c r="M29" s="1133"/>
      <c r="N29" s="1133"/>
      <c r="O29" s="1133"/>
      <c r="P29" s="3295"/>
      <c r="Q29" s="1804">
        <f t="shared" si="11"/>
        <v>111</v>
      </c>
      <c r="R29" s="773" t="s">
        <v>21</v>
      </c>
      <c r="S29" s="774">
        <f t="shared" si="12"/>
        <v>100</v>
      </c>
      <c r="T29" s="773" t="s">
        <v>21</v>
      </c>
      <c r="U29" s="774">
        <f t="shared" si="13"/>
        <v>100</v>
      </c>
      <c r="V29" s="773" t="s">
        <v>21</v>
      </c>
      <c r="W29" s="774">
        <f t="shared" si="14"/>
        <v>100</v>
      </c>
      <c r="X29" s="1807"/>
      <c r="Y29" s="3288"/>
      <c r="Z29" s="1808">
        <f t="shared" si="18"/>
        <v>111</v>
      </c>
      <c r="AA29" s="1805">
        <f t="shared" si="15"/>
        <v>1</v>
      </c>
      <c r="AB29" s="1805">
        <f t="shared" si="16"/>
        <v>1</v>
      </c>
      <c r="AC29" s="1805">
        <f t="shared" si="17"/>
        <v>1</v>
      </c>
    </row>
    <row r="30" spans="1:29" ht="15">
      <c r="A30" s="428"/>
      <c r="B30" s="1388">
        <v>111</v>
      </c>
      <c r="C30" s="434"/>
      <c r="D30" s="435">
        <v>100</v>
      </c>
      <c r="E30" s="434"/>
      <c r="F30" s="435">
        <f>SUMIF(96:96,E30,97:97)-SUMIF(96:96,C30,97:97)+100</f>
        <v>100</v>
      </c>
      <c r="G30" s="2611"/>
      <c r="H30" s="435">
        <f>SUMIF(96:96,G30,97:97)-SUMIF(96:96,C30,97:97)+100</f>
        <v>100</v>
      </c>
      <c r="I30" s="434"/>
      <c r="J30" s="435">
        <f>SUMIF(96:96,I30,97:97)-SUMIF(96:96,C30,97:97)+100</f>
        <v>100</v>
      </c>
      <c r="K30" s="2597"/>
      <c r="L30" s="1142"/>
      <c r="M30" s="1133"/>
      <c r="N30" s="1133"/>
      <c r="O30" s="1133"/>
      <c r="P30" s="3295"/>
      <c r="Q30" s="1804">
        <f t="shared" si="11"/>
        <v>111</v>
      </c>
      <c r="R30" s="773" t="s">
        <v>21</v>
      </c>
      <c r="S30" s="774">
        <f t="shared" si="12"/>
        <v>100</v>
      </c>
      <c r="T30" s="773" t="s">
        <v>21</v>
      </c>
      <c r="U30" s="774">
        <f t="shared" si="13"/>
        <v>100</v>
      </c>
      <c r="V30" s="773" t="s">
        <v>21</v>
      </c>
      <c r="W30" s="774">
        <f t="shared" si="14"/>
        <v>100</v>
      </c>
      <c r="X30" s="1807"/>
      <c r="Y30" s="3288"/>
      <c r="Z30" s="1808">
        <f t="shared" si="18"/>
        <v>111</v>
      </c>
      <c r="AA30" s="1805">
        <f t="shared" si="15"/>
        <v>1</v>
      </c>
      <c r="AB30" s="1805">
        <f t="shared" si="16"/>
        <v>1</v>
      </c>
      <c r="AC30" s="1805">
        <f t="shared" si="17"/>
        <v>1</v>
      </c>
    </row>
    <row r="31" spans="1:29" ht="15.75" thickBot="1">
      <c r="A31" s="436"/>
      <c r="B31" s="1388">
        <v>111</v>
      </c>
      <c r="C31" s="437"/>
      <c r="D31" s="438">
        <v>100</v>
      </c>
      <c r="E31" s="437"/>
      <c r="F31" s="438">
        <f>SUMIF(98:98,E31,99:99)-SUMIF(98:98,C31,99:99)+100</f>
        <v>100</v>
      </c>
      <c r="G31" s="2612"/>
      <c r="H31" s="438">
        <f>SUMIF(98:98,G31,99:99)-SUMIF(98:98,C31,99:99)+100</f>
        <v>100</v>
      </c>
      <c r="I31" s="437"/>
      <c r="J31" s="438">
        <f>SUMIF(98:98,I31,99:99)-SUMIF(98:98,C31,99:99)+100</f>
        <v>100</v>
      </c>
      <c r="K31" s="2597"/>
      <c r="L31" s="1142"/>
      <c r="M31" s="1133"/>
      <c r="N31" s="1133"/>
      <c r="O31" s="1133"/>
      <c r="P31" s="3295"/>
      <c r="Q31" s="1804">
        <f t="shared" si="11"/>
        <v>111</v>
      </c>
      <c r="R31" s="773" t="s">
        <v>21</v>
      </c>
      <c r="S31" s="774">
        <f t="shared" si="12"/>
        <v>100</v>
      </c>
      <c r="T31" s="773" t="s">
        <v>21</v>
      </c>
      <c r="U31" s="774">
        <f t="shared" si="13"/>
        <v>100</v>
      </c>
      <c r="V31" s="773" t="s">
        <v>21</v>
      </c>
      <c r="W31" s="774">
        <f t="shared" si="14"/>
        <v>100</v>
      </c>
      <c r="X31" s="1807"/>
      <c r="Y31" s="3288"/>
      <c r="Z31" s="1808">
        <f t="shared" si="18"/>
        <v>111</v>
      </c>
      <c r="AA31" s="1805">
        <f t="shared" si="15"/>
        <v>1</v>
      </c>
      <c r="AB31" s="1805">
        <f t="shared" si="16"/>
        <v>1</v>
      </c>
      <c r="AC31" s="1805">
        <f t="shared" si="17"/>
        <v>1</v>
      </c>
    </row>
    <row r="32" spans="1:29" ht="15">
      <c r="A32" s="440" t="s">
        <v>2561</v>
      </c>
      <c r="B32" s="71" t="s">
        <v>2562</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2"/>
      <c r="M32" s="1133"/>
      <c r="N32" s="1133"/>
      <c r="O32" s="1133"/>
      <c r="P32" s="3289" t="s">
        <v>2563</v>
      </c>
      <c r="Q32" s="1804" t="str">
        <f t="shared" si="11"/>
        <v>建筑类型</v>
      </c>
      <c r="R32" s="773" t="s">
        <v>21</v>
      </c>
      <c r="S32" s="774">
        <f t="shared" si="12"/>
        <v>100</v>
      </c>
      <c r="T32" s="773" t="s">
        <v>21</v>
      </c>
      <c r="U32" s="774">
        <f t="shared" si="13"/>
        <v>100</v>
      </c>
      <c r="V32" s="773" t="s">
        <v>21</v>
      </c>
      <c r="W32" s="774">
        <f t="shared" si="14"/>
        <v>100</v>
      </c>
      <c r="X32" s="1807"/>
      <c r="Y32" s="3292" t="s">
        <v>2563</v>
      </c>
      <c r="Z32" s="1808" t="str">
        <f t="shared" si="18"/>
        <v>建筑类型</v>
      </c>
      <c r="AA32" s="1805">
        <f t="shared" si="15"/>
        <v>1</v>
      </c>
      <c r="AB32" s="1805">
        <f t="shared" si="16"/>
        <v>1</v>
      </c>
      <c r="AC32" s="1805">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0"/>
      <c r="M33" s="1143"/>
      <c r="N33" s="1143"/>
      <c r="O33" s="1143"/>
      <c r="P33" s="3290"/>
      <c r="Q33" s="775" t="str">
        <f t="shared" si="11"/>
        <v>项目建筑规模</v>
      </c>
      <c r="R33" s="776" t="s">
        <v>21</v>
      </c>
      <c r="S33" s="777" t="e">
        <f t="shared" si="12"/>
        <v>#N/A</v>
      </c>
      <c r="T33" s="776" t="s">
        <v>21</v>
      </c>
      <c r="U33" s="777" t="e">
        <f t="shared" si="13"/>
        <v>#N/A</v>
      </c>
      <c r="V33" s="776" t="s">
        <v>21</v>
      </c>
      <c r="W33" s="777" t="e">
        <f t="shared" si="14"/>
        <v>#N/A</v>
      </c>
      <c r="X33" s="778"/>
      <c r="Y33" s="3292"/>
      <c r="Z33" s="779" t="str">
        <f t="shared" si="18"/>
        <v>项目建筑规模</v>
      </c>
      <c r="AA33" s="1805" t="e">
        <f t="shared" si="15"/>
        <v>#N/A</v>
      </c>
      <c r="AB33" s="1805" t="e">
        <f t="shared" si="16"/>
        <v>#N/A</v>
      </c>
      <c r="AC33" s="1805" t="e">
        <f t="shared" si="17"/>
        <v>#N/A</v>
      </c>
    </row>
    <row r="34" spans="1:29" ht="15">
      <c r="A34" s="472"/>
      <c r="B34" s="422" t="s">
        <v>2565</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2"/>
      <c r="M34" s="1133"/>
      <c r="N34" s="1133"/>
      <c r="O34" s="1133"/>
      <c r="P34" s="3290"/>
      <c r="Q34" s="1804" t="str">
        <f t="shared" si="11"/>
        <v>建筑结构</v>
      </c>
      <c r="R34" s="773" t="s">
        <v>21</v>
      </c>
      <c r="S34" s="774">
        <f t="shared" si="12"/>
        <v>100</v>
      </c>
      <c r="T34" s="773" t="s">
        <v>21</v>
      </c>
      <c r="U34" s="774">
        <f t="shared" si="13"/>
        <v>100</v>
      </c>
      <c r="V34" s="773" t="s">
        <v>21</v>
      </c>
      <c r="W34" s="774">
        <f t="shared" si="14"/>
        <v>100</v>
      </c>
      <c r="X34" s="1807"/>
      <c r="Y34" s="3292"/>
      <c r="Z34" s="1808" t="str">
        <f t="shared" si="18"/>
        <v>建筑结构</v>
      </c>
      <c r="AA34" s="1805">
        <f t="shared" si="15"/>
        <v>1</v>
      </c>
      <c r="AB34" s="1805">
        <f t="shared" si="16"/>
        <v>1</v>
      </c>
      <c r="AC34" s="1805">
        <f t="shared" si="17"/>
        <v>1</v>
      </c>
    </row>
    <row r="35" spans="1:29" ht="15">
      <c r="A35" s="472"/>
      <c r="B35" s="422" t="s">
        <v>2566</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2"/>
      <c r="M35" s="1133"/>
      <c r="N35" s="1133"/>
      <c r="O35" s="1133"/>
      <c r="P35" s="3290"/>
      <c r="Q35" s="1804" t="str">
        <f t="shared" si="11"/>
        <v>建筑品质</v>
      </c>
      <c r="R35" s="773" t="s">
        <v>21</v>
      </c>
      <c r="S35" s="774">
        <f t="shared" si="12"/>
        <v>100</v>
      </c>
      <c r="T35" s="773" t="s">
        <v>21</v>
      </c>
      <c r="U35" s="774">
        <f t="shared" si="13"/>
        <v>100</v>
      </c>
      <c r="V35" s="773" t="s">
        <v>21</v>
      </c>
      <c r="W35" s="774">
        <f t="shared" si="14"/>
        <v>100</v>
      </c>
      <c r="X35" s="1807"/>
      <c r="Y35" s="3292"/>
      <c r="Z35" s="1808" t="str">
        <f t="shared" si="18"/>
        <v>建筑品质</v>
      </c>
      <c r="AA35" s="1805">
        <f t="shared" si="15"/>
        <v>1</v>
      </c>
      <c r="AB35" s="1805">
        <f t="shared" si="16"/>
        <v>1</v>
      </c>
      <c r="AC35" s="1805">
        <f t="shared" si="17"/>
        <v>1</v>
      </c>
    </row>
    <row r="36" spans="1:29" ht="15">
      <c r="A36" s="472"/>
      <c r="B36" s="422" t="s">
        <v>2567</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2"/>
      <c r="M36" s="1133"/>
      <c r="N36" s="1133"/>
      <c r="O36" s="1133"/>
      <c r="P36" s="3290"/>
      <c r="Q36" s="1804" t="str">
        <f t="shared" si="11"/>
        <v>公共部分装修</v>
      </c>
      <c r="R36" s="773" t="s">
        <v>21</v>
      </c>
      <c r="S36" s="774">
        <f t="shared" si="12"/>
        <v>100</v>
      </c>
      <c r="T36" s="773" t="s">
        <v>21</v>
      </c>
      <c r="U36" s="774">
        <f t="shared" si="13"/>
        <v>100</v>
      </c>
      <c r="V36" s="773" t="s">
        <v>21</v>
      </c>
      <c r="W36" s="774">
        <f t="shared" si="14"/>
        <v>100</v>
      </c>
      <c r="X36" s="1807"/>
      <c r="Y36" s="3292"/>
      <c r="Z36" s="1808" t="str">
        <f t="shared" si="18"/>
        <v>公共部分装修</v>
      </c>
      <c r="AA36" s="1805">
        <f t="shared" si="15"/>
        <v>1</v>
      </c>
      <c r="AB36" s="1805">
        <f t="shared" si="16"/>
        <v>1</v>
      </c>
      <c r="AC36" s="1805">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90"/>
      <c r="Q37" s="1789" t="str">
        <f t="shared" si="11"/>
        <v>成新度</v>
      </c>
      <c r="R37" s="769" t="s">
        <v>21</v>
      </c>
      <c r="S37" s="770" t="e">
        <f t="shared" si="12"/>
        <v>#N/A</v>
      </c>
      <c r="T37" s="769" t="s">
        <v>21</v>
      </c>
      <c r="U37" s="770" t="e">
        <f t="shared" si="13"/>
        <v>#N/A</v>
      </c>
      <c r="V37" s="769" t="s">
        <v>21</v>
      </c>
      <c r="W37" s="770" t="e">
        <f t="shared" si="14"/>
        <v>#N/A</v>
      </c>
      <c r="X37" s="771"/>
      <c r="Y37" s="3292"/>
      <c r="Z37" s="55" t="str">
        <f t="shared" si="18"/>
        <v>成新度</v>
      </c>
      <c r="AA37" s="772" t="e">
        <f t="shared" si="15"/>
        <v>#N/A</v>
      </c>
      <c r="AB37" s="772" t="e">
        <f t="shared" si="16"/>
        <v>#N/A</v>
      </c>
      <c r="AC37" s="772" t="e">
        <f t="shared" si="17"/>
        <v>#N/A</v>
      </c>
    </row>
    <row r="38" spans="1:29" ht="15">
      <c r="A38" s="472"/>
      <c r="B38" s="422" t="s">
        <v>2569</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2"/>
      <c r="M38" s="1133"/>
      <c r="N38" s="1133"/>
      <c r="O38" s="1133"/>
      <c r="P38" s="3290" t="s">
        <v>2563</v>
      </c>
      <c r="Q38" s="1804" t="str">
        <f t="shared" si="11"/>
        <v>物业管理</v>
      </c>
      <c r="R38" s="773" t="s">
        <v>21</v>
      </c>
      <c r="S38" s="774">
        <f t="shared" si="12"/>
        <v>100</v>
      </c>
      <c r="T38" s="773" t="s">
        <v>21</v>
      </c>
      <c r="U38" s="774">
        <f t="shared" si="13"/>
        <v>100</v>
      </c>
      <c r="V38" s="773" t="s">
        <v>21</v>
      </c>
      <c r="W38" s="774">
        <f t="shared" si="14"/>
        <v>100</v>
      </c>
      <c r="X38" s="1807"/>
      <c r="Y38" s="3292" t="s">
        <v>2563</v>
      </c>
      <c r="Z38" s="1808" t="str">
        <f t="shared" si="18"/>
        <v>物业管理</v>
      </c>
      <c r="AA38" s="1805">
        <f t="shared" si="15"/>
        <v>1</v>
      </c>
      <c r="AB38" s="1805">
        <f t="shared" si="16"/>
        <v>1</v>
      </c>
      <c r="AC38" s="1805">
        <f t="shared" si="17"/>
        <v>1</v>
      </c>
    </row>
    <row r="39" spans="1:29" ht="15">
      <c r="A39" s="472"/>
      <c r="B39" s="422" t="s">
        <v>2570</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2"/>
      <c r="M39" s="1133"/>
      <c r="N39" s="1133"/>
      <c r="O39" s="1133"/>
      <c r="P39" s="3290"/>
      <c r="Q39" s="1804" t="str">
        <f t="shared" si="11"/>
        <v>市政基础设施</v>
      </c>
      <c r="R39" s="773" t="s">
        <v>21</v>
      </c>
      <c r="S39" s="774">
        <f t="shared" si="12"/>
        <v>100</v>
      </c>
      <c r="T39" s="773" t="s">
        <v>21</v>
      </c>
      <c r="U39" s="774">
        <f t="shared" si="13"/>
        <v>100</v>
      </c>
      <c r="V39" s="773" t="s">
        <v>21</v>
      </c>
      <c r="W39" s="774">
        <f t="shared" si="14"/>
        <v>100</v>
      </c>
      <c r="X39" s="1807"/>
      <c r="Y39" s="3292"/>
      <c r="Z39" s="1808" t="str">
        <f t="shared" si="18"/>
        <v>市政基础设施</v>
      </c>
      <c r="AA39" s="1805">
        <f t="shared" si="15"/>
        <v>1</v>
      </c>
      <c r="AB39" s="1805">
        <f t="shared" si="16"/>
        <v>1</v>
      </c>
      <c r="AC39" s="1805">
        <f t="shared" si="17"/>
        <v>1</v>
      </c>
    </row>
    <row r="40" spans="1:29" ht="15">
      <c r="A40" s="472"/>
      <c r="B40" s="422" t="s">
        <v>2571</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2"/>
      <c r="M40" s="1133"/>
      <c r="N40" s="1133"/>
      <c r="O40" s="1133"/>
      <c r="P40" s="3290"/>
      <c r="Q40" s="1804" t="str">
        <f t="shared" si="11"/>
        <v>房型</v>
      </c>
      <c r="R40" s="773" t="s">
        <v>21</v>
      </c>
      <c r="S40" s="774">
        <f t="shared" si="12"/>
        <v>100</v>
      </c>
      <c r="T40" s="773" t="s">
        <v>21</v>
      </c>
      <c r="U40" s="774">
        <f t="shared" si="13"/>
        <v>100</v>
      </c>
      <c r="V40" s="773" t="s">
        <v>21</v>
      </c>
      <c r="W40" s="774">
        <f t="shared" si="14"/>
        <v>100</v>
      </c>
      <c r="X40" s="1807"/>
      <c r="Y40" s="3292"/>
      <c r="Z40" s="1808" t="str">
        <f t="shared" si="18"/>
        <v>房型</v>
      </c>
      <c r="AA40" s="1805">
        <f t="shared" si="15"/>
        <v>1</v>
      </c>
      <c r="AB40" s="1805">
        <f t="shared" si="16"/>
        <v>1</v>
      </c>
      <c r="AC40" s="1805">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0"/>
      <c r="M41" s="1143"/>
      <c r="N41" s="1143"/>
      <c r="O41" s="1143"/>
      <c r="P41" s="3290"/>
      <c r="Q41" s="775" t="str">
        <f t="shared" si="11"/>
        <v>单套/主力户型建筑面积</v>
      </c>
      <c r="R41" s="776" t="s">
        <v>21</v>
      </c>
      <c r="S41" s="777">
        <f t="shared" si="12"/>
        <v>100</v>
      </c>
      <c r="T41" s="776" t="s">
        <v>21</v>
      </c>
      <c r="U41" s="777">
        <f t="shared" si="13"/>
        <v>100</v>
      </c>
      <c r="V41" s="776" t="s">
        <v>21</v>
      </c>
      <c r="W41" s="777">
        <f t="shared" si="14"/>
        <v>100</v>
      </c>
      <c r="X41" s="778"/>
      <c r="Y41" s="3292"/>
      <c r="Z41" s="779" t="str">
        <f t="shared" si="18"/>
        <v>单套/主力户型建筑面积</v>
      </c>
      <c r="AA41" s="1805">
        <f t="shared" si="15"/>
        <v>1</v>
      </c>
      <c r="AB41" s="1805">
        <f t="shared" si="16"/>
        <v>1</v>
      </c>
      <c r="AC41" s="1805">
        <f t="shared" si="17"/>
        <v>1</v>
      </c>
    </row>
    <row r="42" spans="1:29" ht="15">
      <c r="A42" s="472"/>
      <c r="B42" s="422" t="s">
        <v>2573</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2"/>
      <c r="M42" s="1133"/>
      <c r="N42" s="1133"/>
      <c r="O42" s="1133"/>
      <c r="P42" s="3290"/>
      <c r="Q42" s="1804" t="str">
        <f t="shared" si="11"/>
        <v>内部装修</v>
      </c>
      <c r="R42" s="773" t="s">
        <v>21</v>
      </c>
      <c r="S42" s="774">
        <f t="shared" si="12"/>
        <v>100</v>
      </c>
      <c r="T42" s="773" t="s">
        <v>21</v>
      </c>
      <c r="U42" s="774">
        <f t="shared" si="13"/>
        <v>100</v>
      </c>
      <c r="V42" s="773" t="s">
        <v>21</v>
      </c>
      <c r="W42" s="774">
        <f t="shared" si="14"/>
        <v>100</v>
      </c>
      <c r="X42" s="1807"/>
      <c r="Y42" s="3292"/>
      <c r="Z42" s="1808" t="str">
        <f t="shared" si="18"/>
        <v>内部装修</v>
      </c>
      <c r="AA42" s="1805">
        <f t="shared" si="15"/>
        <v>1</v>
      </c>
      <c r="AB42" s="1805">
        <f t="shared" si="16"/>
        <v>1</v>
      </c>
      <c r="AC42" s="1805">
        <f t="shared" si="17"/>
        <v>1</v>
      </c>
    </row>
    <row r="43" spans="1:29" ht="15">
      <c r="A43" s="472"/>
      <c r="B43" s="422" t="s">
        <v>2574</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2"/>
      <c r="M43" s="1133"/>
      <c r="N43" s="1133"/>
      <c r="O43" s="1133"/>
      <c r="P43" s="3290"/>
      <c r="Q43" s="1804" t="str">
        <f t="shared" si="11"/>
        <v>内部装修维护情况</v>
      </c>
      <c r="R43" s="773" t="s">
        <v>21</v>
      </c>
      <c r="S43" s="774">
        <f t="shared" si="12"/>
        <v>100</v>
      </c>
      <c r="T43" s="773" t="s">
        <v>21</v>
      </c>
      <c r="U43" s="774">
        <f t="shared" si="13"/>
        <v>100</v>
      </c>
      <c r="V43" s="773" t="s">
        <v>21</v>
      </c>
      <c r="W43" s="774">
        <f t="shared" si="14"/>
        <v>100</v>
      </c>
      <c r="X43" s="1807"/>
      <c r="Y43" s="3292"/>
      <c r="Z43" s="1808" t="str">
        <f t="shared" si="18"/>
        <v>内部装修维护情况</v>
      </c>
      <c r="AA43" s="1805">
        <f t="shared" si="15"/>
        <v>1</v>
      </c>
      <c r="AB43" s="1805">
        <f t="shared" si="16"/>
        <v>1</v>
      </c>
      <c r="AC43" s="1805">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4"/>
      <c r="M44" s="1135"/>
      <c r="N44" s="1135"/>
      <c r="O44" s="1135"/>
      <c r="P44" s="3290"/>
      <c r="Q44" s="1789">
        <f t="shared" si="11"/>
        <v>111</v>
      </c>
      <c r="R44" s="769" t="s">
        <v>21</v>
      </c>
      <c r="S44" s="770">
        <f t="shared" si="12"/>
        <v>100</v>
      </c>
      <c r="T44" s="769" t="s">
        <v>21</v>
      </c>
      <c r="U44" s="770">
        <f t="shared" si="13"/>
        <v>100</v>
      </c>
      <c r="V44" s="769" t="s">
        <v>21</v>
      </c>
      <c r="W44" s="770">
        <f t="shared" si="14"/>
        <v>100</v>
      </c>
      <c r="X44" s="771"/>
      <c r="Y44" s="329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2"/>
      <c r="M45" s="1133"/>
      <c r="N45" s="1133"/>
      <c r="O45" s="1133"/>
      <c r="P45" s="3290"/>
      <c r="Q45" s="1804">
        <f t="shared" si="11"/>
        <v>111</v>
      </c>
      <c r="R45" s="773" t="s">
        <v>21</v>
      </c>
      <c r="S45" s="774">
        <f t="shared" si="12"/>
        <v>100</v>
      </c>
      <c r="T45" s="773" t="s">
        <v>21</v>
      </c>
      <c r="U45" s="774">
        <f t="shared" si="13"/>
        <v>100</v>
      </c>
      <c r="V45" s="773" t="s">
        <v>21</v>
      </c>
      <c r="W45" s="774">
        <f t="shared" si="14"/>
        <v>100</v>
      </c>
      <c r="X45" s="1807"/>
      <c r="Y45" s="3292"/>
      <c r="Z45" s="1808">
        <f t="shared" si="18"/>
        <v>111</v>
      </c>
      <c r="AA45" s="1805">
        <f t="shared" si="15"/>
        <v>1</v>
      </c>
      <c r="AB45" s="1805">
        <f t="shared" si="16"/>
        <v>1</v>
      </c>
      <c r="AC45" s="1805">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2"/>
      <c r="M46" s="1133"/>
      <c r="N46" s="1133"/>
      <c r="O46" s="1133"/>
      <c r="P46" s="3291"/>
      <c r="Q46" s="1804">
        <f t="shared" si="11"/>
        <v>111</v>
      </c>
      <c r="R46" s="773" t="s">
        <v>20</v>
      </c>
      <c r="S46" s="774">
        <f t="shared" si="12"/>
        <v>100</v>
      </c>
      <c r="T46" s="773" t="s">
        <v>20</v>
      </c>
      <c r="U46" s="774">
        <f t="shared" si="13"/>
        <v>100</v>
      </c>
      <c r="V46" s="773" t="s">
        <v>20</v>
      </c>
      <c r="W46" s="774">
        <f t="shared" si="14"/>
        <v>100</v>
      </c>
      <c r="X46" s="1807"/>
      <c r="Y46" s="3293"/>
      <c r="Z46" s="1808">
        <f t="shared" si="18"/>
        <v>111</v>
      </c>
      <c r="AA46" s="1805">
        <f t="shared" si="15"/>
        <v>1</v>
      </c>
      <c r="AB46" s="1805">
        <f t="shared" si="16"/>
        <v>1</v>
      </c>
      <c r="AC46" s="1805">
        <f t="shared" si="17"/>
        <v>1</v>
      </c>
    </row>
    <row r="47" spans="1:29" ht="15">
      <c r="A47" s="479" t="s">
        <v>2575</v>
      </c>
      <c r="B47" s="480"/>
      <c r="C47" s="1409" t="s">
        <v>19</v>
      </c>
      <c r="D47" s="1410"/>
      <c r="E47" s="1411"/>
      <c r="F47" s="1412"/>
      <c r="G47" s="1413"/>
      <c r="H47" s="1414"/>
      <c r="I47" s="1411"/>
      <c r="J47" s="1414"/>
      <c r="K47" s="2617"/>
      <c r="L47" s="1145"/>
      <c r="M47" s="1146"/>
      <c r="N47" s="1133"/>
      <c r="O47" s="1146"/>
      <c r="P47" s="3285" t="str">
        <f>A47</f>
        <v>成交单价（元/平方米）</v>
      </c>
      <c r="Q47" s="3285"/>
      <c r="R47" s="3286">
        <f>E47</f>
        <v>0</v>
      </c>
      <c r="S47" s="3286"/>
      <c r="T47" s="3286">
        <f>G47</f>
        <v>0</v>
      </c>
      <c r="U47" s="3286"/>
      <c r="V47" s="3286">
        <f>I47</f>
        <v>0</v>
      </c>
      <c r="W47" s="3286"/>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18"/>
      <c r="L48" s="1145"/>
      <c r="M48" s="1146"/>
      <c r="N48" s="1146"/>
      <c r="O48" s="1146"/>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19"/>
      <c r="L49" s="1145"/>
      <c r="M49" s="1146"/>
      <c r="N49" s="1146"/>
      <c r="O49" s="1146"/>
      <c r="P49" s="3282" t="str">
        <f>A49</f>
        <v>估价对象XX用房的比较价值（楼面单价，元/平方米）</v>
      </c>
      <c r="Q49" s="3283"/>
      <c r="R49" s="3284" t="e">
        <f>IF(F1="售价",ROUND(AVERAGE(R48:V48),0),ROUND(AVERAGE(R48:V48),1))</f>
        <v>#DIV/0!</v>
      </c>
      <c r="S49" s="3284"/>
      <c r="T49" s="3284"/>
      <c r="U49" s="3284"/>
      <c r="V49" s="3284"/>
      <c r="W49" s="328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1"/>
    </row>
    <row r="55" spans="1:29" s="502" customFormat="1">
      <c r="A55" s="1147"/>
      <c r="B55" s="1148"/>
      <c r="C55" s="1152"/>
      <c r="D55" s="1147"/>
      <c r="E55" s="1147"/>
      <c r="F55" s="1147"/>
      <c r="G55" s="1147"/>
      <c r="H55" s="1147"/>
      <c r="I55" s="1147"/>
      <c r="J55" s="1147"/>
      <c r="K55" s="1150"/>
      <c r="L55" s="1151"/>
      <c r="M55" s="1147"/>
      <c r="N55" s="1147"/>
      <c r="O55" s="1147"/>
      <c r="P55" s="2621"/>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2"/>
      <c r="Q57" s="504"/>
    </row>
    <row r="58" spans="1:29" s="508" customFormat="1" ht="15">
      <c r="A58" s="505" t="s">
        <v>2582</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2583</v>
      </c>
      <c r="B60" s="516"/>
      <c r="C60" s="517"/>
      <c r="D60" s="518"/>
      <c r="E60" s="518"/>
      <c r="F60" s="518"/>
      <c r="G60" s="518"/>
      <c r="H60" s="518"/>
      <c r="I60" s="518"/>
      <c r="J60" s="518"/>
      <c r="K60" s="518"/>
      <c r="L60" s="518"/>
      <c r="M60" s="519"/>
      <c r="N60" s="518"/>
      <c r="O60" s="519"/>
      <c r="P60" s="2624"/>
      <c r="Q60" s="504"/>
    </row>
    <row r="61" spans="1:29" s="117" customFormat="1" ht="15">
      <c r="A61" s="521" t="s">
        <v>2584</v>
      </c>
      <c r="B61" s="510"/>
      <c r="C61" s="522" t="s">
        <v>2585</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2586</v>
      </c>
      <c r="B63" s="528" t="s">
        <v>2552</v>
      </c>
      <c r="C63" s="529">
        <f>C9</f>
        <v>0</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6"/>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6"/>
      <c r="Q67" s="504"/>
    </row>
    <row r="68" spans="1:17" ht="15">
      <c r="A68" s="534"/>
      <c r="B68" s="548"/>
      <c r="C68" s="549"/>
      <c r="D68" s="549"/>
      <c r="E68" s="549"/>
      <c r="F68" s="549"/>
      <c r="G68" s="549"/>
      <c r="H68" s="549"/>
      <c r="I68" s="549"/>
      <c r="J68" s="549"/>
      <c r="K68" s="550"/>
      <c r="L68" s="551"/>
      <c r="M68" s="552"/>
      <c r="N68" s="1154"/>
      <c r="O68" s="1154"/>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60"/>
      <c r="E73" s="560"/>
      <c r="F73" s="560"/>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6"/>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2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6"/>
      <c r="Q85" s="504"/>
    </row>
    <row r="86" spans="1:17" s="117" customFormat="1" ht="15.75" thickTop="1">
      <c r="A86" s="579"/>
      <c r="B86" s="538" t="s">
        <v>2608</v>
      </c>
      <c r="C86" s="554"/>
      <c r="D86" s="554"/>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6"/>
      <c r="Q87" s="504"/>
    </row>
    <row r="88" spans="1:17" s="117" customFormat="1" ht="15.75" thickTop="1">
      <c r="A88" s="579"/>
      <c r="B88" s="538" t="s">
        <v>2609</v>
      </c>
      <c r="C88" s="554"/>
      <c r="D88" s="554"/>
      <c r="E88" s="554"/>
      <c r="F88" s="2631"/>
      <c r="G88" s="554"/>
      <c r="H88" s="554"/>
      <c r="I88" s="554"/>
      <c r="J88" s="554"/>
      <c r="K88" s="554"/>
      <c r="L88" s="554"/>
      <c r="M88" s="581"/>
      <c r="N88" s="1153"/>
      <c r="O88" s="1153"/>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6"/>
      <c r="Q89" s="504"/>
    </row>
    <row r="90" spans="1:17" s="471" customFormat="1" ht="15.75" thickTop="1">
      <c r="A90" s="553"/>
      <c r="B90" s="538">
        <f>B27</f>
        <v>111</v>
      </c>
      <c r="C90" s="554"/>
      <c r="D90" s="554"/>
      <c r="E90" s="554"/>
      <c r="F90" s="554"/>
      <c r="G90" s="554"/>
      <c r="H90" s="555"/>
      <c r="I90" s="555"/>
      <c r="J90" s="555"/>
      <c r="K90" s="555"/>
      <c r="L90" s="556"/>
      <c r="M90" s="557"/>
      <c r="N90" s="1156"/>
      <c r="O90" s="1156"/>
      <c r="P90" s="2627"/>
      <c r="Q90" s="559"/>
    </row>
    <row r="91" spans="1:17" s="471" customFormat="1" ht="15.75" thickBot="1">
      <c r="A91" s="553"/>
      <c r="B91" s="543"/>
      <c r="C91" s="560"/>
      <c r="D91" s="560"/>
      <c r="E91" s="560"/>
      <c r="F91" s="560"/>
      <c r="G91" s="560"/>
      <c r="H91" s="562"/>
      <c r="I91" s="562"/>
      <c r="J91" s="562"/>
      <c r="K91" s="562"/>
      <c r="L91" s="562"/>
      <c r="M91" s="563"/>
      <c r="N91" s="1156"/>
      <c r="O91" s="1156"/>
      <c r="P91" s="2627"/>
      <c r="Q91" s="559"/>
    </row>
    <row r="92" spans="1:17" ht="15.75" thickTop="1">
      <c r="A92" s="534"/>
      <c r="B92" s="538">
        <f>B28</f>
        <v>111</v>
      </c>
      <c r="C92" s="554"/>
      <c r="D92" s="554"/>
      <c r="E92" s="554"/>
      <c r="F92" s="554"/>
      <c r="G92" s="583"/>
      <c r="H92" s="583"/>
      <c r="I92" s="583"/>
      <c r="J92" s="583"/>
      <c r="K92" s="584"/>
      <c r="L92" s="585"/>
      <c r="M92" s="586"/>
      <c r="N92" s="1154"/>
      <c r="O92" s="1154"/>
      <c r="P92" s="2626"/>
      <c r="Q92" s="504"/>
    </row>
    <row r="93" spans="1:17" ht="15.75" thickBot="1">
      <c r="A93" s="534"/>
      <c r="B93" s="543"/>
      <c r="C93" s="560"/>
      <c r="D93" s="536"/>
      <c r="E93" s="536"/>
      <c r="F93" s="536"/>
      <c r="G93" s="536"/>
      <c r="H93" s="536"/>
      <c r="I93" s="536"/>
      <c r="J93" s="536"/>
      <c r="K93" s="536"/>
      <c r="L93" s="536"/>
      <c r="M93" s="537"/>
      <c r="N93" s="1155"/>
      <c r="O93" s="1155"/>
      <c r="P93" s="2626"/>
      <c r="Q93" s="504"/>
    </row>
    <row r="94" spans="1:17" ht="15.75" thickTop="1">
      <c r="A94" s="534"/>
      <c r="B94" s="538">
        <f>B29</f>
        <v>111</v>
      </c>
      <c r="C94" s="554"/>
      <c r="D94" s="554"/>
      <c r="E94" s="554"/>
      <c r="F94" s="554"/>
      <c r="G94" s="583"/>
      <c r="H94" s="583"/>
      <c r="I94" s="583"/>
      <c r="J94" s="583"/>
      <c r="K94" s="584"/>
      <c r="L94" s="585"/>
      <c r="M94" s="586"/>
      <c r="N94" s="1154"/>
      <c r="O94" s="1154"/>
      <c r="P94" s="2626"/>
      <c r="Q94" s="504"/>
    </row>
    <row r="95" spans="1:17" ht="15.75" thickBot="1">
      <c r="A95" s="534"/>
      <c r="B95" s="543"/>
      <c r="C95" s="560"/>
      <c r="D95" s="560"/>
      <c r="E95" s="560"/>
      <c r="F95" s="560"/>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70"/>
      <c r="D97" s="570"/>
      <c r="E97" s="570"/>
      <c r="F97" s="570"/>
      <c r="G97" s="536"/>
      <c r="H97" s="536"/>
      <c r="I97" s="536"/>
      <c r="J97" s="536"/>
      <c r="K97" s="536"/>
      <c r="L97" s="536"/>
      <c r="M97" s="537"/>
      <c r="N97" s="1155"/>
      <c r="O97" s="1155"/>
      <c r="P97" s="2626"/>
      <c r="Q97" s="504"/>
    </row>
    <row r="98" spans="1:17" ht="15.75" thickTop="1">
      <c r="A98" s="534"/>
      <c r="B98" s="546">
        <f>B31</f>
        <v>111</v>
      </c>
      <c r="C98" s="587"/>
      <c r="D98" s="587"/>
      <c r="E98" s="587"/>
      <c r="F98" s="587"/>
      <c r="G98" s="587"/>
      <c r="H98" s="587"/>
      <c r="I98" s="587"/>
      <c r="J98" s="587"/>
      <c r="K98" s="588"/>
      <c r="L98" s="589"/>
      <c r="M98" s="590"/>
      <c r="N98" s="1154"/>
      <c r="O98" s="1154"/>
      <c r="P98" s="2626"/>
      <c r="Q98" s="504"/>
    </row>
    <row r="99" spans="1:17" ht="15.75" thickBot="1">
      <c r="A99" s="2632"/>
      <c r="B99" s="569"/>
      <c r="C99" s="591"/>
      <c r="D99" s="591"/>
      <c r="E99" s="591"/>
      <c r="F99" s="591"/>
      <c r="G99" s="591"/>
      <c r="H99" s="591"/>
      <c r="I99" s="591"/>
      <c r="J99" s="591"/>
      <c r="K99" s="591"/>
      <c r="L99" s="591"/>
      <c r="M99" s="592"/>
      <c r="N99" s="1155"/>
      <c r="O99" s="1155"/>
      <c r="P99" s="2626"/>
      <c r="Q99" s="504"/>
    </row>
    <row r="100" spans="1:17">
      <c r="A100" s="527" t="s">
        <v>2561</v>
      </c>
      <c r="B100" s="528" t="s">
        <v>2610</v>
      </c>
      <c r="C100" s="530"/>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6"/>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6"/>
      <c r="Q102" s="504"/>
    </row>
    <row r="103" spans="1:17" s="471" customFormat="1">
      <c r="A103" s="593"/>
      <c r="B103" s="594"/>
      <c r="C103" s="595"/>
      <c r="D103" s="595"/>
      <c r="E103" s="595"/>
      <c r="F103" s="595"/>
      <c r="G103" s="595"/>
      <c r="H103" s="595"/>
      <c r="I103" s="595"/>
      <c r="J103" s="596"/>
      <c r="K103" s="596"/>
      <c r="L103" s="597"/>
      <c r="M103" s="598"/>
      <c r="N103" s="1156"/>
      <c r="O103" s="1156"/>
      <c r="P103" s="2627"/>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7"/>
      <c r="Q104" s="559"/>
    </row>
    <row r="105" spans="1:17" ht="15" thickTop="1">
      <c r="A105" s="599"/>
      <c r="B105" s="538" t="s">
        <v>2612</v>
      </c>
      <c r="C105" s="554"/>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6"/>
      <c r="Q106" s="504"/>
    </row>
    <row r="107" spans="1:17" ht="15" thickTop="1">
      <c r="A107" s="599"/>
      <c r="B107" s="538" t="s">
        <v>2613</v>
      </c>
      <c r="C107" s="583"/>
      <c r="D107" s="583"/>
      <c r="E107" s="583"/>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6"/>
      <c r="Q108" s="504"/>
    </row>
    <row r="109" spans="1:17" ht="15" thickTop="1">
      <c r="A109" s="599"/>
      <c r="B109" s="538" t="s">
        <v>2614</v>
      </c>
      <c r="C109" s="554"/>
      <c r="D109" s="554"/>
      <c r="E109" s="554"/>
      <c r="F109" s="583"/>
      <c r="G109" s="583"/>
      <c r="H109" s="583"/>
      <c r="I109" s="583"/>
      <c r="J109" s="583"/>
      <c r="K109" s="584"/>
      <c r="L109" s="585"/>
      <c r="M109" s="586"/>
      <c r="N109" s="1154"/>
      <c r="O109" s="1154"/>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7"/>
      <c r="Q113" s="559"/>
    </row>
    <row r="114" spans="1:17" ht="15" thickTop="1">
      <c r="A114" s="599"/>
      <c r="B114" s="538" t="s">
        <v>2615</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6"/>
      <c r="Q115" s="504"/>
    </row>
    <row r="116" spans="1:17" ht="15" thickTop="1">
      <c r="A116" s="599"/>
      <c r="B116" s="538" t="s">
        <v>2616</v>
      </c>
      <c r="C116" s="554"/>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6"/>
      <c r="Q117" s="504"/>
    </row>
    <row r="118" spans="1:17" ht="15" thickTop="1">
      <c r="A118" s="599"/>
      <c r="B118" s="538" t="s">
        <v>2617</v>
      </c>
      <c r="C118" s="583"/>
      <c r="D118" s="583"/>
      <c r="E118" s="583"/>
      <c r="F118" s="583"/>
      <c r="G118" s="583"/>
      <c r="H118" s="583"/>
      <c r="I118" s="583"/>
      <c r="J118" s="583"/>
      <c r="K118" s="584"/>
      <c r="L118" s="585"/>
      <c r="M118" s="586"/>
      <c r="N118" s="1154"/>
      <c r="O118" s="1154"/>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6"/>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27"/>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7"/>
      <c r="Q121" s="559"/>
    </row>
    <row r="122" spans="1:17" ht="15" thickTop="1">
      <c r="A122" s="599"/>
      <c r="B122" s="538" t="s">
        <v>2618</v>
      </c>
      <c r="C122" s="554"/>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60"/>
      <c r="E129" s="560"/>
      <c r="F129" s="560"/>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row r="136" spans="1:17" ht="15" thickBot="1">
      <c r="B136" s="2633" t="s">
        <v>2620</v>
      </c>
    </row>
    <row r="137" spans="1:17" ht="15">
      <c r="B137" s="2634" t="s">
        <v>2621</v>
      </c>
      <c r="C137" s="2635"/>
      <c r="D137" s="2635"/>
      <c r="E137" s="2635"/>
      <c r="F137" s="2635"/>
      <c r="G137" s="2636"/>
      <c r="H137" s="2637"/>
      <c r="I137" s="2638" t="s">
        <v>2622</v>
      </c>
      <c r="J137" s="2635"/>
      <c r="K137" s="2639"/>
    </row>
    <row r="138" spans="1:17" ht="15">
      <c r="B138" s="2640"/>
      <c r="C138" s="146" t="s">
        <v>2623</v>
      </c>
      <c r="D138" s="146" t="s">
        <v>2624</v>
      </c>
      <c r="E138" s="2641" t="s">
        <v>2625</v>
      </c>
      <c r="F138" s="2642" t="s">
        <v>2626</v>
      </c>
      <c r="G138" s="146" t="s">
        <v>2624</v>
      </c>
      <c r="H138" s="147" t="s">
        <v>2625</v>
      </c>
      <c r="I138" s="2643"/>
      <c r="J138" s="146" t="s">
        <v>2627</v>
      </c>
      <c r="K138" s="147" t="s">
        <v>2628</v>
      </c>
    </row>
    <row r="139" spans="1:17" ht="15">
      <c r="B139" s="1086">
        <v>6</v>
      </c>
      <c r="C139" s="1087">
        <v>96</v>
      </c>
      <c r="D139" s="2644" t="s">
        <v>2629</v>
      </c>
      <c r="E139" s="1088">
        <v>100</v>
      </c>
      <c r="F139" s="1089">
        <v>102.5</v>
      </c>
      <c r="G139" s="2644" t="s">
        <v>2629</v>
      </c>
      <c r="H139" s="1090">
        <v>105</v>
      </c>
      <c r="I139" s="2645" t="s">
        <v>2630</v>
      </c>
      <c r="J139" s="1087">
        <v>20</v>
      </c>
      <c r="K139" s="1091">
        <f>C145/(J139-2)</f>
        <v>4.0555555555555553E-3</v>
      </c>
    </row>
    <row r="140" spans="1:17" ht="15">
      <c r="B140" s="1092">
        <v>5</v>
      </c>
      <c r="C140" s="1093">
        <v>100</v>
      </c>
      <c r="D140" s="1093"/>
      <c r="E140" s="1094"/>
      <c r="F140" s="1095">
        <v>102</v>
      </c>
      <c r="G140" s="1093"/>
      <c r="H140" s="1096"/>
      <c r="I140" s="2646" t="s">
        <v>2631</v>
      </c>
      <c r="J140" s="315">
        <f>ROUNDUP((J139-1)/2,0)</f>
        <v>10</v>
      </c>
      <c r="K140" s="1097">
        <v>100</v>
      </c>
    </row>
    <row r="141" spans="1:17" ht="15">
      <c r="B141" s="1092">
        <v>4</v>
      </c>
      <c r="C141" s="1093">
        <v>102</v>
      </c>
      <c r="D141" s="1093"/>
      <c r="E141" s="1094"/>
      <c r="F141" s="1095">
        <v>101.5</v>
      </c>
      <c r="G141" s="1093"/>
      <c r="H141" s="1096"/>
      <c r="I141" s="2646" t="s">
        <v>2632</v>
      </c>
      <c r="J141" s="315">
        <v>1</v>
      </c>
      <c r="K141" s="1098">
        <f>ROUND(100+(J141-J140)*K139*100,1)</f>
        <v>96.4</v>
      </c>
    </row>
    <row r="142" spans="1:17" ht="15">
      <c r="B142" s="1092">
        <v>3</v>
      </c>
      <c r="C142" s="1093">
        <v>103</v>
      </c>
      <c r="D142" s="1093"/>
      <c r="E142" s="1094"/>
      <c r="F142" s="1095">
        <v>101</v>
      </c>
      <c r="G142" s="1093"/>
      <c r="H142" s="1096"/>
      <c r="I142" s="2646" t="s">
        <v>2633</v>
      </c>
      <c r="J142" s="315">
        <f>J139</f>
        <v>20</v>
      </c>
      <c r="K142" s="1099">
        <v>95</v>
      </c>
    </row>
    <row r="143" spans="1:17" ht="15">
      <c r="B143" s="1092">
        <v>2</v>
      </c>
      <c r="C143" s="1093">
        <v>100</v>
      </c>
      <c r="D143" s="1093"/>
      <c r="E143" s="1094"/>
      <c r="F143" s="1095">
        <v>100.5</v>
      </c>
      <c r="G143" s="1093"/>
      <c r="H143" s="1096"/>
      <c r="I143" s="2646" t="s">
        <v>2634</v>
      </c>
      <c r="J143" s="1093">
        <v>15</v>
      </c>
      <c r="K143" s="1098">
        <f>ROUND(100+(J143-J140)*K139*100,1)</f>
        <v>102</v>
      </c>
    </row>
    <row r="144" spans="1:17" ht="15">
      <c r="B144" s="1092">
        <v>1</v>
      </c>
      <c r="C144" s="1093">
        <v>98</v>
      </c>
      <c r="D144" s="2647" t="s">
        <v>2635</v>
      </c>
      <c r="E144" s="1094">
        <v>102</v>
      </c>
      <c r="F144" s="1100">
        <v>100</v>
      </c>
      <c r="G144" s="2647" t="s">
        <v>2635</v>
      </c>
      <c r="H144" s="1096">
        <v>105</v>
      </c>
      <c r="I144" s="2646" t="s">
        <v>2634</v>
      </c>
      <c r="J144" s="1093">
        <v>18</v>
      </c>
      <c r="K144" s="1098">
        <f>ROUND(100+(J144-J140)*K139*100,1)</f>
        <v>103.2</v>
      </c>
    </row>
    <row r="145" spans="2:11" ht="15.75" thickBot="1">
      <c r="B145" s="2648" t="s">
        <v>2636</v>
      </c>
      <c r="C145" s="1101">
        <f>ROUND(MAX(C139:C144)/MIN(C139:C144)-1,3)</f>
        <v>7.2999999999999995E-2</v>
      </c>
      <c r="D145" s="1102"/>
      <c r="E145" s="1102"/>
      <c r="F145" s="2649" t="s">
        <v>2637</v>
      </c>
      <c r="G145" s="2650"/>
      <c r="H145" s="2651"/>
      <c r="I145" s="2652" t="s">
        <v>2634</v>
      </c>
      <c r="J145" s="1103">
        <v>8</v>
      </c>
      <c r="K145" s="1104">
        <f>ROUND(100+(J145-J140)*K139*100,1)</f>
        <v>99.2</v>
      </c>
    </row>
    <row r="147" spans="2:11">
      <c r="B147" s="2633" t="s">
        <v>2638</v>
      </c>
    </row>
    <row r="148" spans="2:11">
      <c r="B148" s="2633"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M25" sqref="M2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8" t="s">
        <v>2640</v>
      </c>
      <c r="C1" s="1634" t="s">
        <v>2528</v>
      </c>
      <c r="D1" s="1621"/>
      <c r="E1" s="2653"/>
      <c r="F1" s="2580" t="s">
        <v>3342</v>
      </c>
      <c r="G1" s="1631" t="s">
        <v>2641</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2325</v>
      </c>
      <c r="B2" s="1420">
        <f>IF(C2="——",ROUND(C49*D3/10000,0),ROUND(C49*D3/10000,0)-D2)</f>
        <v>22077</v>
      </c>
      <c r="C2" s="2582" t="s">
        <v>70</v>
      </c>
      <c r="D2" s="1367" t="e">
        <f ca="1">SUMIF(INDIRECT("'"&amp;F2&amp;"'"&amp;"!A:A"),"承租人权益价值",INDIRECT("'"&amp;F2&amp;"'"&amp;"!c:c"))</f>
        <v>#REF!</v>
      </c>
      <c r="E2" s="2583" t="s">
        <v>2326</v>
      </c>
      <c r="F2" s="2584"/>
      <c r="G2" s="1127"/>
      <c r="H2" s="1127"/>
      <c r="I2" s="1127"/>
      <c r="J2" s="1127"/>
      <c r="K2" s="1127"/>
      <c r="L2" s="1130"/>
      <c r="M2" s="1131"/>
      <c r="N2" s="1131"/>
      <c r="O2" s="1131"/>
      <c r="P2" s="2657"/>
      <c r="Q2" s="1131"/>
      <c r="R2" s="1131"/>
      <c r="S2" s="1131"/>
      <c r="T2" s="1131"/>
      <c r="U2" s="1131"/>
      <c r="V2" s="1131"/>
      <c r="W2" s="1131"/>
      <c r="X2" s="1131"/>
      <c r="Y2" s="1131"/>
      <c r="Z2" s="1131"/>
      <c r="AA2" s="1131"/>
      <c r="AB2" s="1131"/>
      <c r="AC2" s="2658"/>
    </row>
    <row r="3" spans="1:29" s="398" customFormat="1" ht="28.5" customHeight="1" thickBot="1">
      <c r="A3" s="247" t="s">
        <v>2327</v>
      </c>
      <c r="B3" s="609">
        <f>IF(C2="——",C49,ROUND(B2*10000/D3,0))</f>
        <v>87385</v>
      </c>
      <c r="C3" s="400" t="s">
        <v>2642</v>
      </c>
      <c r="D3" s="399">
        <f>IF(D1="",'数据-汇总表'!E3,SUMIF('数据-汇总表'!$C19:$C33,D1,'数据-汇总表'!$E19:$E33))</f>
        <v>2526.41</v>
      </c>
      <c r="E3" s="2659"/>
      <c r="F3" s="1128"/>
      <c r="G3" s="1127"/>
      <c r="H3" s="1127"/>
      <c r="I3" s="1127"/>
      <c r="J3" s="1127"/>
      <c r="K3" s="1129"/>
      <c r="L3" s="1130"/>
      <c r="M3" s="1131"/>
      <c r="N3" s="1131"/>
      <c r="O3" s="1131"/>
      <c r="P3" s="2657"/>
      <c r="Q3" s="1131"/>
      <c r="R3" s="1131"/>
      <c r="S3" s="1131"/>
      <c r="T3" s="1131"/>
      <c r="U3" s="1131"/>
      <c r="V3" s="1131"/>
      <c r="W3" s="1131"/>
      <c r="X3" s="1131"/>
      <c r="Y3" s="1131"/>
      <c r="Z3" s="1131"/>
      <c r="AA3" s="1131"/>
      <c r="AB3" s="1131"/>
      <c r="AC3" s="2659"/>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55" t="s">
        <v>2645</v>
      </c>
      <c r="S4" s="3256"/>
      <c r="T4" s="3255" t="s">
        <v>2646</v>
      </c>
      <c r="U4" s="3256"/>
      <c r="V4" s="3280" t="s">
        <v>2647</v>
      </c>
      <c r="W4" s="3280"/>
      <c r="X4" s="1807"/>
      <c r="Y4" s="3255" t="s">
        <v>2649</v>
      </c>
      <c r="Z4" s="3256"/>
      <c r="AA4" s="3250" t="s">
        <v>2645</v>
      </c>
      <c r="AB4" s="3280" t="s">
        <v>2646</v>
      </c>
      <c r="AC4" s="3250" t="s">
        <v>2647</v>
      </c>
    </row>
    <row r="5" spans="1:29" ht="15">
      <c r="A5" s="404"/>
      <c r="B5" s="405"/>
      <c r="C5" s="3261" t="s">
        <v>2540</v>
      </c>
      <c r="D5" s="3262"/>
      <c r="E5" s="3296" t="s">
        <v>3356</v>
      </c>
      <c r="F5" s="3260"/>
      <c r="G5" s="3297" t="s">
        <v>3357</v>
      </c>
      <c r="H5" s="3262"/>
      <c r="I5" s="3297" t="s">
        <v>3358</v>
      </c>
      <c r="J5" s="3262"/>
      <c r="K5" s="610"/>
      <c r="L5" s="1132"/>
      <c r="M5" s="1133"/>
      <c r="N5" s="1133"/>
      <c r="O5" s="1133"/>
      <c r="P5" s="3274"/>
      <c r="Q5" s="3275"/>
      <c r="R5" s="3257"/>
      <c r="S5" s="3258"/>
      <c r="T5" s="3257"/>
      <c r="U5" s="3258"/>
      <c r="V5" s="3280"/>
      <c r="W5" s="3280"/>
      <c r="X5" s="1807"/>
      <c r="Y5" s="3257"/>
      <c r="Z5" s="3258"/>
      <c r="AA5" s="3251"/>
      <c r="AB5" s="3280"/>
      <c r="AC5" s="3251"/>
    </row>
    <row r="6" spans="1:29" ht="15.75" thickBot="1">
      <c r="A6" s="406"/>
      <c r="B6" s="407"/>
      <c r="C6" s="3263" t="s">
        <v>2544</v>
      </c>
      <c r="D6" s="3264"/>
      <c r="E6" s="3265" t="s">
        <v>2544</v>
      </c>
      <c r="F6" s="3266"/>
      <c r="G6" s="3263" t="s">
        <v>2544</v>
      </c>
      <c r="H6" s="3264"/>
      <c r="I6" s="3263" t="s">
        <v>2544</v>
      </c>
      <c r="J6" s="3264"/>
      <c r="K6" s="610" t="s">
        <v>2545</v>
      </c>
      <c r="L6" s="1132"/>
      <c r="M6" s="1133"/>
      <c r="N6" s="1133"/>
      <c r="O6" s="1133"/>
      <c r="P6" s="3276"/>
      <c r="Q6" s="3277"/>
      <c r="R6" s="3257"/>
      <c r="S6" s="3258"/>
      <c r="T6" s="3278"/>
      <c r="U6" s="3279"/>
      <c r="V6" s="3280"/>
      <c r="W6" s="3280"/>
      <c r="X6" s="1807"/>
      <c r="Y6" s="3278"/>
      <c r="Z6" s="3279"/>
      <c r="AA6" s="3252"/>
      <c r="AB6" s="3280"/>
      <c r="AC6" s="3252"/>
    </row>
    <row r="7" spans="1:29" s="117" customFormat="1" ht="15.75" thickBot="1">
      <c r="A7" s="408" t="s">
        <v>2546</v>
      </c>
      <c r="B7" s="409"/>
      <c r="C7" s="410">
        <f>'数据-取费表'!B2</f>
        <v>43957</v>
      </c>
      <c r="D7" s="411">
        <v>100</v>
      </c>
      <c r="E7" s="412">
        <v>43952</v>
      </c>
      <c r="F7" s="413">
        <f>SUMIF(58:58,YEAR(E7)&amp;"-"&amp;MONTH(E7),59:59)</f>
        <v>100</v>
      </c>
      <c r="G7" s="412">
        <v>43952</v>
      </c>
      <c r="H7" s="411">
        <f>SUMIF(58:58,YEAR(G7)&amp;"-"&amp;MONTH(G7),59:59)</f>
        <v>100</v>
      </c>
      <c r="I7" s="412">
        <v>43952</v>
      </c>
      <c r="J7" s="411">
        <f>SUMIF(58:58,YEAR(I7)&amp;"-"&amp;MONTH(I7),59:59)</f>
        <v>100</v>
      </c>
      <c r="K7" s="611"/>
      <c r="L7" s="1134"/>
      <c r="M7" s="1135"/>
      <c r="N7" s="1135"/>
      <c r="O7" s="1135"/>
      <c r="P7" s="3253" t="s">
        <v>2547</v>
      </c>
      <c r="Q7" s="3281"/>
      <c r="R7" s="769" t="s">
        <v>17</v>
      </c>
      <c r="S7" s="770">
        <f t="shared" ref="S7:S15" si="0">F7</f>
        <v>100</v>
      </c>
      <c r="T7" s="769" t="s">
        <v>17</v>
      </c>
      <c r="U7" s="770">
        <f t="shared" ref="U7:U15" si="1">H7</f>
        <v>100</v>
      </c>
      <c r="V7" s="769" t="s">
        <v>17</v>
      </c>
      <c r="W7" s="770">
        <f t="shared" ref="W7:W15" si="2">J7</f>
        <v>100</v>
      </c>
      <c r="X7" s="771"/>
      <c r="Y7" s="3253" t="s">
        <v>2547</v>
      </c>
      <c r="Z7" s="3254"/>
      <c r="AA7" s="772">
        <f>D7/F7</f>
        <v>1</v>
      </c>
      <c r="AB7" s="772">
        <f>D7/H7</f>
        <v>1</v>
      </c>
      <c r="AC7" s="772">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4"/>
      <c r="M8" s="1135"/>
      <c r="N8" s="1135"/>
      <c r="O8" s="1135"/>
      <c r="P8" s="3253" t="s">
        <v>2550</v>
      </c>
      <c r="Q8" s="3254"/>
      <c r="R8" s="769" t="s">
        <v>17</v>
      </c>
      <c r="S8" s="770">
        <f t="shared" si="0"/>
        <v>100</v>
      </c>
      <c r="T8" s="769" t="s">
        <v>17</v>
      </c>
      <c r="U8" s="770">
        <f t="shared" si="1"/>
        <v>100</v>
      </c>
      <c r="V8" s="769" t="s">
        <v>17</v>
      </c>
      <c r="W8" s="770">
        <f t="shared" si="2"/>
        <v>100</v>
      </c>
      <c r="X8" s="771"/>
      <c r="Y8" s="3253" t="s">
        <v>2550</v>
      </c>
      <c r="Z8" s="3254"/>
      <c r="AA8" s="772">
        <f t="shared" ref="AA8:AA46" si="3">D8/F8</f>
        <v>1</v>
      </c>
      <c r="AB8" s="772">
        <f t="shared" ref="AB8:AB46" si="4">D8/H8</f>
        <v>1</v>
      </c>
      <c r="AC8" s="772">
        <f t="shared" ref="AC8:AC46" si="5">D8/J8</f>
        <v>1</v>
      </c>
    </row>
    <row r="9" spans="1:29" s="117" customFormat="1">
      <c r="A9" s="415" t="s">
        <v>2551</v>
      </c>
      <c r="B9" s="71" t="s">
        <v>2552</v>
      </c>
      <c r="C9" s="2993" t="s">
        <v>3304</v>
      </c>
      <c r="D9" s="135">
        <v>100</v>
      </c>
      <c r="E9" s="2993" t="s">
        <v>3304</v>
      </c>
      <c r="F9" s="418">
        <f>SUMIF(63:63,E9,64:64)-SUMIF(63:63,C9,64:64)+100</f>
        <v>100</v>
      </c>
      <c r="G9" s="2993" t="s">
        <v>3304</v>
      </c>
      <c r="H9" s="135">
        <f>SUMIF(63:63,G9,64:64)-SUMIF(63:63,C9,64:64)+100</f>
        <v>100</v>
      </c>
      <c r="I9" s="2993" t="s">
        <v>3304</v>
      </c>
      <c r="J9" s="135">
        <f>SUMIF(63:63,I9,64:64)-SUMIF(63:63,C9,64:64)+100</f>
        <v>100</v>
      </c>
      <c r="K9" s="611"/>
      <c r="L9" s="1134"/>
      <c r="M9" s="1135"/>
      <c r="N9" s="1135"/>
      <c r="O9" s="1135"/>
      <c r="P9" s="3267" t="s">
        <v>2553</v>
      </c>
      <c r="Q9" s="1789" t="str">
        <f t="shared" ref="Q9:Q15" si="6">B9</f>
        <v>用途</v>
      </c>
      <c r="R9" s="769" t="s">
        <v>17</v>
      </c>
      <c r="S9" s="770">
        <f t="shared" si="0"/>
        <v>100</v>
      </c>
      <c r="T9" s="769" t="s">
        <v>17</v>
      </c>
      <c r="U9" s="770">
        <f t="shared" si="1"/>
        <v>100</v>
      </c>
      <c r="V9" s="769" t="s">
        <v>17</v>
      </c>
      <c r="W9" s="770">
        <f t="shared" si="2"/>
        <v>100</v>
      </c>
      <c r="X9" s="771"/>
      <c r="Y9" s="3100" t="s">
        <v>2554</v>
      </c>
      <c r="Z9" s="55" t="str">
        <f t="shared" ref="Z9:Z15" si="7">Q9</f>
        <v>用途</v>
      </c>
      <c r="AA9" s="772">
        <f t="shared" si="3"/>
        <v>1</v>
      </c>
      <c r="AB9" s="772">
        <f t="shared" si="4"/>
        <v>1</v>
      </c>
      <c r="AC9" s="772">
        <f t="shared" si="5"/>
        <v>1</v>
      </c>
    </row>
    <row r="10" spans="1:29" s="427" customFormat="1" ht="27.75" thickBot="1">
      <c r="A10" s="421"/>
      <c r="B10" s="422" t="s">
        <v>2555</v>
      </c>
      <c r="C10" s="423" t="s">
        <v>3305</v>
      </c>
      <c r="D10" s="136">
        <v>100</v>
      </c>
      <c r="E10" s="424" t="s">
        <v>3305</v>
      </c>
      <c r="F10" s="425">
        <f>SUMIF(65:65,E10,66:66)-SUMIF(65:65,C10,66:66)+100</f>
        <v>100</v>
      </c>
      <c r="G10" s="423" t="s">
        <v>3305</v>
      </c>
      <c r="H10" s="136">
        <f>SUMIF(65:65,G10,66:66)-SUMIF(65:65,C10,66:66)+100</f>
        <v>100</v>
      </c>
      <c r="I10" s="423" t="s">
        <v>3305</v>
      </c>
      <c r="J10" s="136">
        <f>SUMIF(65:65,I10,66:66)-SUMIF(65:65,C10,66:66)+100</f>
        <v>100</v>
      </c>
      <c r="K10" s="612"/>
      <c r="L10" s="1137"/>
      <c r="M10" s="1138"/>
      <c r="N10" s="1138"/>
      <c r="O10" s="1138"/>
      <c r="P10" s="3267"/>
      <c r="Q10" s="1789"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67"/>
      <c r="Q11" s="1789" t="str">
        <f t="shared" si="6"/>
        <v>容积率</v>
      </c>
      <c r="R11" s="769" t="s">
        <v>17</v>
      </c>
      <c r="S11" s="770">
        <f t="shared" si="0"/>
        <v>100</v>
      </c>
      <c r="T11" s="769" t="s">
        <v>17</v>
      </c>
      <c r="U11" s="770">
        <f t="shared" si="1"/>
        <v>100</v>
      </c>
      <c r="V11" s="769" t="s">
        <v>17</v>
      </c>
      <c r="W11" s="770">
        <f t="shared" si="2"/>
        <v>100</v>
      </c>
      <c r="X11" s="771"/>
      <c r="Y11" s="3100"/>
      <c r="Z11" s="55" t="str">
        <f t="shared" si="7"/>
        <v>容积率</v>
      </c>
      <c r="AA11" s="772">
        <f t="shared" si="3"/>
        <v>1</v>
      </c>
      <c r="AB11" s="772">
        <f t="shared" si="4"/>
        <v>1</v>
      </c>
      <c r="AC11" s="772">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67"/>
      <c r="Q12" s="1789">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67"/>
      <c r="Q13" s="1789">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67"/>
      <c r="Q14" s="1789">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772">
        <f t="shared" si="5"/>
        <v>1</v>
      </c>
    </row>
    <row r="15" spans="1:29" ht="69" customHeight="1">
      <c r="A15" s="440" t="s">
        <v>2557</v>
      </c>
      <c r="B15" s="69" t="s">
        <v>2651</v>
      </c>
      <c r="C15" s="2599" t="str">
        <f>估价对象房地状况!C4</f>
        <v>估价对象位于东直门商圈，周边商业氛围成熟，人流量大，商业繁华度好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42"/>
      <c r="M15" s="1133"/>
      <c r="N15" s="1133"/>
      <c r="O15" s="1133"/>
      <c r="P15" s="3294" t="s">
        <v>2558</v>
      </c>
      <c r="Q15" s="1804" t="str">
        <f t="shared" si="6"/>
        <v>商业繁华度</v>
      </c>
      <c r="R15" s="773" t="s">
        <v>17</v>
      </c>
      <c r="S15" s="774">
        <f t="shared" si="0"/>
        <v>105</v>
      </c>
      <c r="T15" s="773" t="s">
        <v>17</v>
      </c>
      <c r="U15" s="774">
        <f t="shared" si="1"/>
        <v>105</v>
      </c>
      <c r="V15" s="773" t="s">
        <v>17</v>
      </c>
      <c r="W15" s="774">
        <f t="shared" si="2"/>
        <v>105</v>
      </c>
      <c r="X15" s="1807"/>
      <c r="Y15" s="3287" t="s">
        <v>2558</v>
      </c>
      <c r="Z15" s="1808" t="str">
        <f t="shared" si="7"/>
        <v>商业繁华度</v>
      </c>
      <c r="AA15" s="1805">
        <f t="shared" si="3"/>
        <v>0.95238095238095233</v>
      </c>
      <c r="AB15" s="1805">
        <f t="shared" si="4"/>
        <v>0.95238095238095233</v>
      </c>
      <c r="AC15" s="1805">
        <f t="shared" si="5"/>
        <v>0.95238095238095233</v>
      </c>
    </row>
    <row r="16" spans="1:29" ht="15">
      <c r="A16" s="428"/>
      <c r="B16" s="446"/>
      <c r="C16" s="447" t="s">
        <v>3345</v>
      </c>
      <c r="D16" s="448"/>
      <c r="E16" s="447" t="s">
        <v>3326</v>
      </c>
      <c r="F16" s="449"/>
      <c r="G16" s="447" t="s">
        <v>3326</v>
      </c>
      <c r="H16" s="450"/>
      <c r="I16" s="447" t="s">
        <v>3326</v>
      </c>
      <c r="J16" s="448"/>
      <c r="K16" s="615"/>
      <c r="L16" s="1142"/>
      <c r="M16" s="1133"/>
      <c r="N16" s="1133"/>
      <c r="O16" s="1133"/>
      <c r="P16" s="3295"/>
      <c r="Q16" s="1804"/>
      <c r="R16" s="773"/>
      <c r="S16" s="774"/>
      <c r="T16" s="773"/>
      <c r="U16" s="774"/>
      <c r="V16" s="773"/>
      <c r="W16" s="774"/>
      <c r="X16" s="1807"/>
      <c r="Y16" s="3288"/>
      <c r="Z16" s="1808"/>
      <c r="AA16" s="1805">
        <v>1</v>
      </c>
      <c r="AB16" s="1805">
        <v>1</v>
      </c>
      <c r="AC16" s="1805">
        <v>1</v>
      </c>
    </row>
    <row r="17" spans="1:29" ht="110.25" customHeight="1">
      <c r="A17" s="428"/>
      <c r="B17" s="451" t="s">
        <v>2094</v>
      </c>
      <c r="C17" s="2603" t="str">
        <f>估价对象房地状况!C6</f>
        <v>估价对象周边2公里范围内有18路、123路、413路、635路、916路等公交线路，南距地铁二号线东直门站及东直门交通枢纽约1公里，公交便捷度较好、停车便捷程度较好，综合评价交通便捷度较好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2"/>
      <c r="M17" s="1133"/>
      <c r="N17" s="1133"/>
      <c r="O17" s="1133"/>
      <c r="P17" s="3295"/>
      <c r="Q17" s="1804" t="str">
        <f>B17</f>
        <v>交通便捷度</v>
      </c>
      <c r="R17" s="773" t="s">
        <v>17</v>
      </c>
      <c r="S17" s="774">
        <f>F17</f>
        <v>102</v>
      </c>
      <c r="T17" s="773" t="s">
        <v>17</v>
      </c>
      <c r="U17" s="774">
        <f>H17</f>
        <v>102</v>
      </c>
      <c r="V17" s="773" t="s">
        <v>17</v>
      </c>
      <c r="W17" s="774">
        <f>J17</f>
        <v>102</v>
      </c>
      <c r="X17" s="1807"/>
      <c r="Y17" s="3288"/>
      <c r="Z17" s="1808" t="str">
        <f>Q17</f>
        <v>交通便捷度</v>
      </c>
      <c r="AA17" s="1805">
        <f t="shared" si="3"/>
        <v>0.98039215686274506</v>
      </c>
      <c r="AB17" s="1805">
        <f t="shared" si="4"/>
        <v>0.98039215686274506</v>
      </c>
      <c r="AC17" s="1805">
        <f t="shared" si="5"/>
        <v>0.98039215686274506</v>
      </c>
    </row>
    <row r="18" spans="1:29" ht="15">
      <c r="A18" s="428"/>
      <c r="B18" s="456"/>
      <c r="C18" s="2604" t="s">
        <v>3345</v>
      </c>
      <c r="D18" s="450"/>
      <c r="E18" s="2606" t="s">
        <v>3326</v>
      </c>
      <c r="F18" s="453"/>
      <c r="G18" s="447" t="s">
        <v>3326</v>
      </c>
      <c r="H18" s="448"/>
      <c r="I18" s="447" t="s">
        <v>3326</v>
      </c>
      <c r="J18" s="448"/>
      <c r="K18" s="615"/>
      <c r="L18" s="1142"/>
      <c r="M18" s="1133"/>
      <c r="N18" s="1133"/>
      <c r="O18" s="1133"/>
      <c r="P18" s="3295"/>
      <c r="Q18" s="1804"/>
      <c r="R18" s="773"/>
      <c r="S18" s="774"/>
      <c r="T18" s="773"/>
      <c r="U18" s="774"/>
      <c r="V18" s="773"/>
      <c r="W18" s="774"/>
      <c r="X18" s="1807"/>
      <c r="Y18" s="3288"/>
      <c r="Z18" s="1808"/>
      <c r="AA18" s="1805">
        <v>1</v>
      </c>
      <c r="AB18" s="1805">
        <v>1</v>
      </c>
      <c r="AC18" s="1805">
        <v>1</v>
      </c>
    </row>
    <row r="19" spans="1:29" ht="104.25" customHeight="1">
      <c r="A19" s="428"/>
      <c r="B19" s="451" t="s">
        <v>2652</v>
      </c>
      <c r="C19" s="2603" t="str">
        <f>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295"/>
      <c r="Q19" s="1804" t="str">
        <f>B19</f>
        <v>公共配套设施</v>
      </c>
      <c r="R19" s="773" t="s">
        <v>17</v>
      </c>
      <c r="S19" s="774">
        <f>F19</f>
        <v>100</v>
      </c>
      <c r="T19" s="773" t="s">
        <v>17</v>
      </c>
      <c r="U19" s="774">
        <f>H19</f>
        <v>100</v>
      </c>
      <c r="V19" s="773" t="s">
        <v>17</v>
      </c>
      <c r="W19" s="774">
        <f>J19</f>
        <v>100</v>
      </c>
      <c r="X19" s="1807"/>
      <c r="Y19" s="3288"/>
      <c r="Z19" s="1808" t="str">
        <f>Q19</f>
        <v>公共配套设施</v>
      </c>
      <c r="AA19" s="1805">
        <f t="shared" si="3"/>
        <v>1</v>
      </c>
      <c r="AB19" s="1805">
        <f t="shared" si="4"/>
        <v>1</v>
      </c>
      <c r="AC19" s="1805">
        <f t="shared" si="5"/>
        <v>1</v>
      </c>
    </row>
    <row r="20" spans="1:29" ht="15">
      <c r="A20" s="428"/>
      <c r="B20" s="456"/>
      <c r="C20" s="447" t="s">
        <v>3326</v>
      </c>
      <c r="D20" s="448"/>
      <c r="E20" s="447" t="s">
        <v>3326</v>
      </c>
      <c r="F20" s="449"/>
      <c r="G20" s="447" t="s">
        <v>3326</v>
      </c>
      <c r="H20" s="448"/>
      <c r="I20" s="447" t="s">
        <v>3326</v>
      </c>
      <c r="J20" s="448"/>
      <c r="K20" s="615"/>
      <c r="L20" s="1142"/>
      <c r="M20" s="1133"/>
      <c r="N20" s="1133"/>
      <c r="O20" s="1133"/>
      <c r="P20" s="3295"/>
      <c r="Q20" s="1804"/>
      <c r="R20" s="773"/>
      <c r="S20" s="774"/>
      <c r="T20" s="773"/>
      <c r="U20" s="774"/>
      <c r="V20" s="773"/>
      <c r="W20" s="774"/>
      <c r="X20" s="1807"/>
      <c r="Y20" s="3288"/>
      <c r="Z20" s="1808"/>
      <c r="AA20" s="1805">
        <v>1</v>
      </c>
      <c r="AB20" s="1805">
        <v>1</v>
      </c>
      <c r="AC20" s="1805">
        <v>1</v>
      </c>
    </row>
    <row r="21" spans="1:29" ht="42.75">
      <c r="A21" s="428"/>
      <c r="B21" s="1386" t="s">
        <v>2653</v>
      </c>
      <c r="C21" s="2603" t="str">
        <f>估价对象房地状况!C8</f>
        <v>估价对象所在区域基础设施水平好（七通）</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295"/>
      <c r="Q21" s="1804" t="str">
        <f>B21</f>
        <v>基础设施水平</v>
      </c>
      <c r="R21" s="773" t="s">
        <v>17</v>
      </c>
      <c r="S21" s="774">
        <f>F21</f>
        <v>100</v>
      </c>
      <c r="T21" s="773" t="s">
        <v>17</v>
      </c>
      <c r="U21" s="774">
        <f>H21</f>
        <v>100</v>
      </c>
      <c r="V21" s="773" t="s">
        <v>17</v>
      </c>
      <c r="W21" s="774">
        <f>J21</f>
        <v>100</v>
      </c>
      <c r="X21" s="1807"/>
      <c r="Y21" s="3288"/>
      <c r="Z21" s="1808" t="str">
        <f>Q21</f>
        <v>基础设施水平</v>
      </c>
      <c r="AA21" s="1805">
        <f t="shared" ref="AA21" si="8">D21/F21</f>
        <v>1</v>
      </c>
      <c r="AB21" s="1805">
        <f t="shared" ref="AB21" si="9">D21/H21</f>
        <v>1</v>
      </c>
      <c r="AC21" s="1805">
        <f t="shared" ref="AC21" si="10">D21/J21</f>
        <v>1</v>
      </c>
    </row>
    <row r="22" spans="1:29" ht="15">
      <c r="A22" s="428"/>
      <c r="B22" s="1386"/>
      <c r="C22" s="2604" t="s">
        <v>3349</v>
      </c>
      <c r="D22" s="448"/>
      <c r="E22" s="2604" t="s">
        <v>3349</v>
      </c>
      <c r="F22" s="449"/>
      <c r="G22" s="2604" t="s">
        <v>3349</v>
      </c>
      <c r="H22" s="448"/>
      <c r="I22" s="2604" t="s">
        <v>3349</v>
      </c>
      <c r="J22" s="448"/>
      <c r="K22" s="1385"/>
      <c r="L22" s="1142"/>
      <c r="M22" s="1133"/>
      <c r="N22" s="1133"/>
      <c r="O22" s="1133"/>
      <c r="P22" s="3295"/>
      <c r="Q22" s="1804"/>
      <c r="R22" s="773"/>
      <c r="S22" s="774"/>
      <c r="T22" s="773"/>
      <c r="U22" s="774"/>
      <c r="V22" s="773"/>
      <c r="W22" s="774"/>
      <c r="X22" s="1807"/>
      <c r="Y22" s="3288"/>
      <c r="Z22" s="1808"/>
      <c r="AA22" s="1805">
        <v>1</v>
      </c>
      <c r="AB22" s="1805">
        <v>1</v>
      </c>
      <c r="AC22" s="1805">
        <v>1</v>
      </c>
    </row>
    <row r="23" spans="1:29" ht="99.75">
      <c r="A23" s="428"/>
      <c r="B23" s="451" t="s">
        <v>2099</v>
      </c>
      <c r="C23" s="2660" t="str">
        <f>估价对象房地状况!C9</f>
        <v>区域自然环境：芳沁园、南馆公园；人文环境：北京电大朝阳分校等教育机构；综合评价环境状况较好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295"/>
      <c r="Q23" s="1804" t="str">
        <f>B23</f>
        <v>自然及人文环境</v>
      </c>
      <c r="R23" s="773" t="s">
        <v>17</v>
      </c>
      <c r="S23" s="774">
        <f>F23</f>
        <v>100</v>
      </c>
      <c r="T23" s="773" t="s">
        <v>17</v>
      </c>
      <c r="U23" s="774">
        <f>H23</f>
        <v>100</v>
      </c>
      <c r="V23" s="773" t="s">
        <v>17</v>
      </c>
      <c r="W23" s="774">
        <f>J23</f>
        <v>100</v>
      </c>
      <c r="X23" s="1807"/>
      <c r="Y23" s="3288"/>
      <c r="Z23" s="1808" t="str">
        <f>Q23</f>
        <v>自然及人文环境</v>
      </c>
      <c r="AA23" s="1805">
        <f t="shared" si="3"/>
        <v>1</v>
      </c>
      <c r="AB23" s="1805">
        <f t="shared" si="4"/>
        <v>1</v>
      </c>
      <c r="AC23" s="1805">
        <f t="shared" si="5"/>
        <v>1</v>
      </c>
    </row>
    <row r="24" spans="1:29" ht="15">
      <c r="A24" s="428"/>
      <c r="B24" s="456"/>
      <c r="C24" s="447" t="s">
        <v>3326</v>
      </c>
      <c r="D24" s="448"/>
      <c r="E24" s="447" t="s">
        <v>3326</v>
      </c>
      <c r="F24" s="449"/>
      <c r="G24" s="447" t="s">
        <v>3326</v>
      </c>
      <c r="H24" s="448"/>
      <c r="I24" s="447" t="s">
        <v>3326</v>
      </c>
      <c r="J24" s="448"/>
      <c r="K24" s="615"/>
      <c r="L24" s="1142"/>
      <c r="M24" s="1133"/>
      <c r="N24" s="1133"/>
      <c r="O24" s="1133"/>
      <c r="P24" s="3295"/>
      <c r="Q24" s="1804"/>
      <c r="R24" s="773"/>
      <c r="S24" s="774"/>
      <c r="T24" s="773"/>
      <c r="U24" s="774"/>
      <c r="V24" s="773"/>
      <c r="W24" s="774"/>
      <c r="X24" s="1807"/>
      <c r="Y24" s="3288"/>
      <c r="Z24" s="1808"/>
      <c r="AA24" s="1805">
        <v>1</v>
      </c>
      <c r="AB24" s="1805">
        <v>1</v>
      </c>
      <c r="AC24" s="1805">
        <v>1</v>
      </c>
    </row>
    <row r="25" spans="1:29" ht="15">
      <c r="A25" s="428"/>
      <c r="B25" s="422" t="s">
        <v>2654</v>
      </c>
      <c r="C25" s="616" t="s">
        <v>3308</v>
      </c>
      <c r="D25" s="435">
        <v>100</v>
      </c>
      <c r="E25" s="616" t="s">
        <v>3306</v>
      </c>
      <c r="F25" s="461">
        <f>SUMIF(86:86,E25,87:87)-SUMIF(86:86,C25,87:87)+100</f>
        <v>102.5</v>
      </c>
      <c r="G25" s="616" t="s">
        <v>3306</v>
      </c>
      <c r="H25" s="435">
        <f>SUMIF(86:86,G25,87:87)-SUMIF(86:86,C25,87:87)+100</f>
        <v>102.5</v>
      </c>
      <c r="I25" s="616" t="s">
        <v>3306</v>
      </c>
      <c r="J25" s="435">
        <f>SUMIF(86:86,I25,87:87)-SUMIF(86:86,C25,87:87)+100</f>
        <v>102.5</v>
      </c>
      <c r="K25" s="612">
        <v>2.5</v>
      </c>
      <c r="L25" s="1142"/>
      <c r="M25" s="1133"/>
      <c r="N25" s="1133"/>
      <c r="O25" s="1133"/>
      <c r="P25" s="3295"/>
      <c r="Q25" s="1804" t="str">
        <f t="shared" ref="Q25:Q46" si="11">B25</f>
        <v>临街状况</v>
      </c>
      <c r="R25" s="773" t="s">
        <v>17</v>
      </c>
      <c r="S25" s="774">
        <f>F25</f>
        <v>102.5</v>
      </c>
      <c r="T25" s="773" t="s">
        <v>17</v>
      </c>
      <c r="U25" s="774">
        <f>H25</f>
        <v>102.5</v>
      </c>
      <c r="V25" s="773" t="s">
        <v>17</v>
      </c>
      <c r="W25" s="774">
        <f>J25</f>
        <v>102.5</v>
      </c>
      <c r="X25" s="1807"/>
      <c r="Y25" s="3288"/>
      <c r="Z25" s="1808" t="str">
        <f>Q25</f>
        <v>临街状况</v>
      </c>
      <c r="AA25" s="1805">
        <f t="shared" si="3"/>
        <v>0.97560975609756095</v>
      </c>
      <c r="AB25" s="1805">
        <f t="shared" si="4"/>
        <v>0.97560975609756095</v>
      </c>
      <c r="AC25" s="1805">
        <f t="shared" si="5"/>
        <v>0.97560975609756095</v>
      </c>
    </row>
    <row r="26" spans="1:29" ht="15">
      <c r="A26" s="428"/>
      <c r="B26" s="1388" t="s">
        <v>2655</v>
      </c>
      <c r="C26" s="2996" t="s">
        <v>3352</v>
      </c>
      <c r="D26" s="435">
        <v>100</v>
      </c>
      <c r="E26" s="2996" t="s">
        <v>3351</v>
      </c>
      <c r="F26" s="461">
        <f>SUMIF(88:88,E26,89:89)-SUMIF(88:88,C26,89:89)+100</f>
        <v>103</v>
      </c>
      <c r="G26" s="2996" t="s">
        <v>3351</v>
      </c>
      <c r="H26" s="435">
        <f>SUMIF(88:88,G26,89:89)-SUMIF(88:88,C26,89:89)+100</f>
        <v>103</v>
      </c>
      <c r="I26" s="2996" t="s">
        <v>3351</v>
      </c>
      <c r="J26" s="435">
        <f>SUMIF(88:88,I26,89:89)-SUMIF(88:88,C26,89:89)+100</f>
        <v>103</v>
      </c>
      <c r="K26" s="613"/>
      <c r="L26" s="1142"/>
      <c r="M26" s="1133"/>
      <c r="N26" s="1133"/>
      <c r="O26" s="1133"/>
      <c r="P26" s="3295"/>
      <c r="Q26" s="1804" t="str">
        <f t="shared" si="11"/>
        <v>平面位置/可视性</v>
      </c>
      <c r="R26" s="773" t="s">
        <v>17</v>
      </c>
      <c r="S26" s="774">
        <f>F26</f>
        <v>103</v>
      </c>
      <c r="T26" s="773" t="s">
        <v>17</v>
      </c>
      <c r="U26" s="774">
        <f>H26</f>
        <v>103</v>
      </c>
      <c r="V26" s="773" t="s">
        <v>17</v>
      </c>
      <c r="W26" s="774">
        <f>J26</f>
        <v>103</v>
      </c>
      <c r="X26" s="1807"/>
      <c r="Y26" s="3288"/>
      <c r="Z26" s="1808" t="str">
        <f>Q26</f>
        <v>平面位置/可视性</v>
      </c>
      <c r="AA26" s="1805">
        <f t="shared" si="3"/>
        <v>0.970873786407767</v>
      </c>
      <c r="AB26" s="1805">
        <f t="shared" si="4"/>
        <v>0.970873786407767</v>
      </c>
      <c r="AC26" s="1805">
        <f t="shared" si="5"/>
        <v>0.970873786407767</v>
      </c>
    </row>
    <row r="27" spans="1:29" s="117" customFormat="1" ht="15">
      <c r="A27" s="431"/>
      <c r="B27" s="451" t="s">
        <v>2656</v>
      </c>
      <c r="C27" s="2661" t="s">
        <v>3345</v>
      </c>
      <c r="D27" s="462">
        <v>100</v>
      </c>
      <c r="E27" s="2661" t="s">
        <v>3354</v>
      </c>
      <c r="F27" s="464">
        <f>SUMIF(90:90,E27,91:91)-SUMIF(90:90,C27,91:91)+100</f>
        <v>103</v>
      </c>
      <c r="G27" s="2661" t="s">
        <v>3354</v>
      </c>
      <c r="H27" s="462">
        <f>SUMIF(90:90,G27,91:91)-SUMIF(90:90,C27,91:91)+100</f>
        <v>103</v>
      </c>
      <c r="I27" s="2661" t="s">
        <v>3354</v>
      </c>
      <c r="J27" s="462">
        <f>SUMIF(90:90,I27,91:91)-SUMIF(90:90,C27,91:91)+100</f>
        <v>103</v>
      </c>
      <c r="K27" s="612">
        <v>3</v>
      </c>
      <c r="L27" s="1134"/>
      <c r="M27" s="1135"/>
      <c r="N27" s="1135"/>
      <c r="O27" s="1135"/>
      <c r="P27" s="3295"/>
      <c r="Q27" s="1789" t="str">
        <f t="shared" si="11"/>
        <v>人流量</v>
      </c>
      <c r="R27" s="769" t="s">
        <v>17</v>
      </c>
      <c r="S27" s="770">
        <f>F27</f>
        <v>103</v>
      </c>
      <c r="T27" s="769" t="s">
        <v>17</v>
      </c>
      <c r="U27" s="770">
        <f>H27</f>
        <v>103</v>
      </c>
      <c r="V27" s="769" t="s">
        <v>17</v>
      </c>
      <c r="W27" s="770">
        <f>J27</f>
        <v>103</v>
      </c>
      <c r="X27" s="771"/>
      <c r="Y27" s="3288"/>
      <c r="Z27" s="55" t="str">
        <f>Q27</f>
        <v>人流量</v>
      </c>
      <c r="AA27" s="1805">
        <f>D27/F27</f>
        <v>0.970873786407767</v>
      </c>
      <c r="AB27" s="1805">
        <f>D27/H27</f>
        <v>0.970873786407767</v>
      </c>
      <c r="AC27" s="1805">
        <f>D27/J27</f>
        <v>0.970873786407767</v>
      </c>
    </row>
    <row r="28" spans="1:29" ht="15.75" thickBot="1">
      <c r="A28" s="428"/>
      <c r="B28" s="422" t="s">
        <v>2657</v>
      </c>
      <c r="C28" s="616" t="s">
        <v>3372</v>
      </c>
      <c r="D28" s="435">
        <v>100</v>
      </c>
      <c r="E28" s="616" t="s">
        <v>3372</v>
      </c>
      <c r="F28" s="461">
        <f>SUMIF(92:92,E28,93:93)-SUMIF(92:92,C28,93:93)+100</f>
        <v>100</v>
      </c>
      <c r="G28" s="616" t="s">
        <v>3372</v>
      </c>
      <c r="H28" s="435">
        <f>SUMIF(92:92,G28,93:93)-SUMIF(92:92,C28,93:93)+100</f>
        <v>100</v>
      </c>
      <c r="I28" s="616" t="s">
        <v>3372</v>
      </c>
      <c r="J28" s="435">
        <f>SUMIF(92:92,I28,93:93)-SUMIF(92:92,C28,93:93)+100</f>
        <v>100</v>
      </c>
      <c r="K28" s="613"/>
      <c r="L28" s="1142"/>
      <c r="M28" s="1133"/>
      <c r="N28" s="1133"/>
      <c r="O28" s="1133"/>
      <c r="P28" s="3295"/>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88"/>
      <c r="Z28" s="1808" t="str">
        <f t="shared" ref="Z28:Z46" si="15">Q28</f>
        <v>楼层</v>
      </c>
      <c r="AA28" s="1805">
        <f t="shared" si="3"/>
        <v>1</v>
      </c>
      <c r="AB28" s="1805">
        <f t="shared" si="4"/>
        <v>1</v>
      </c>
      <c r="AC28" s="1805">
        <f t="shared" si="5"/>
        <v>1</v>
      </c>
    </row>
    <row r="29" spans="1:29" ht="15" hidden="1">
      <c r="A29" s="428"/>
      <c r="B29" s="2995" t="s">
        <v>3310</v>
      </c>
      <c r="C29" s="2996"/>
      <c r="D29" s="435">
        <v>100</v>
      </c>
      <c r="E29" s="2996"/>
      <c r="F29" s="461">
        <f>SUMIF(94:94,E29,95:95)-SUMIF(94:94,C29,95:95)+100</f>
        <v>100</v>
      </c>
      <c r="G29" s="2996"/>
      <c r="H29" s="435">
        <f>SUMIF(94:94,G29,95:95)-SUMIF(94:94,C29,95:95)+100</f>
        <v>100</v>
      </c>
      <c r="I29" s="434"/>
      <c r="J29" s="435">
        <f>SUMIF(94:94,I29,95:95)-SUMIF(94:94,C29,95:95)+100</f>
        <v>100</v>
      </c>
      <c r="K29" s="613"/>
      <c r="L29" s="1142"/>
      <c r="M29" s="1133"/>
      <c r="N29" s="1133"/>
      <c r="O29" s="1133"/>
      <c r="P29" s="3295"/>
      <c r="Q29" s="1804" t="str">
        <f t="shared" si="11"/>
        <v>餐饮</v>
      </c>
      <c r="R29" s="773" t="s">
        <v>17</v>
      </c>
      <c r="S29" s="774">
        <f t="shared" si="12"/>
        <v>100</v>
      </c>
      <c r="T29" s="773" t="s">
        <v>17</v>
      </c>
      <c r="U29" s="774">
        <f t="shared" si="13"/>
        <v>100</v>
      </c>
      <c r="V29" s="773" t="s">
        <v>17</v>
      </c>
      <c r="W29" s="774">
        <f t="shared" si="14"/>
        <v>100</v>
      </c>
      <c r="X29" s="1807"/>
      <c r="Y29" s="3288"/>
      <c r="Z29" s="1808" t="str">
        <f t="shared" si="15"/>
        <v>餐饮</v>
      </c>
      <c r="AA29" s="1805">
        <f t="shared" si="3"/>
        <v>1</v>
      </c>
      <c r="AB29" s="1805">
        <f t="shared" si="4"/>
        <v>1</v>
      </c>
      <c r="AC29" s="1805">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95"/>
      <c r="Q30" s="1804">
        <f t="shared" si="11"/>
        <v>111</v>
      </c>
      <c r="R30" s="773" t="s">
        <v>17</v>
      </c>
      <c r="S30" s="774">
        <f t="shared" si="12"/>
        <v>100</v>
      </c>
      <c r="T30" s="773" t="s">
        <v>17</v>
      </c>
      <c r="U30" s="774">
        <f t="shared" si="13"/>
        <v>100</v>
      </c>
      <c r="V30" s="773" t="s">
        <v>17</v>
      </c>
      <c r="W30" s="774">
        <f t="shared" si="14"/>
        <v>100</v>
      </c>
      <c r="X30" s="1807"/>
      <c r="Y30" s="3288"/>
      <c r="Z30" s="1808">
        <f t="shared" si="15"/>
        <v>111</v>
      </c>
      <c r="AA30" s="1805">
        <f t="shared" si="3"/>
        <v>1</v>
      </c>
      <c r="AB30" s="1805">
        <f t="shared" si="4"/>
        <v>1</v>
      </c>
      <c r="AC30" s="1805">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95"/>
      <c r="Q31" s="1804">
        <f t="shared" si="11"/>
        <v>111</v>
      </c>
      <c r="R31" s="773" t="s">
        <v>17</v>
      </c>
      <c r="S31" s="774">
        <f t="shared" si="12"/>
        <v>100</v>
      </c>
      <c r="T31" s="773" t="s">
        <v>17</v>
      </c>
      <c r="U31" s="774">
        <f t="shared" si="13"/>
        <v>100</v>
      </c>
      <c r="V31" s="773" t="s">
        <v>17</v>
      </c>
      <c r="W31" s="774">
        <f t="shared" si="14"/>
        <v>100</v>
      </c>
      <c r="X31" s="1807"/>
      <c r="Y31" s="3288"/>
      <c r="Z31" s="1808">
        <f t="shared" si="15"/>
        <v>111</v>
      </c>
      <c r="AA31" s="1805">
        <f t="shared" si="3"/>
        <v>1</v>
      </c>
      <c r="AB31" s="1805">
        <f t="shared" si="4"/>
        <v>1</v>
      </c>
      <c r="AC31" s="1805">
        <f t="shared" si="5"/>
        <v>1</v>
      </c>
    </row>
    <row r="32" spans="1:29" ht="15">
      <c r="A32" s="440" t="s">
        <v>2561</v>
      </c>
      <c r="B32" s="71" t="s">
        <v>2658</v>
      </c>
      <c r="C32" s="2613" t="s">
        <v>3359</v>
      </c>
      <c r="D32" s="467">
        <v>100</v>
      </c>
      <c r="E32" s="2613" t="s">
        <v>3359</v>
      </c>
      <c r="F32" s="461">
        <f>SUMIF(100:100,E32,101:101)-SUMIF(100:100,C32,101:101)+100</f>
        <v>100</v>
      </c>
      <c r="G32" s="2613" t="s">
        <v>3359</v>
      </c>
      <c r="H32" s="435">
        <f>SUMIF(100:100,G32,101:101)-SUMIF(100:100,C32,101:101)+100</f>
        <v>100</v>
      </c>
      <c r="I32" s="2613" t="s">
        <v>3359</v>
      </c>
      <c r="J32" s="467">
        <f>SUMIF(100:100,I32,101:101)-SUMIF(100:100,C32,101:101)+100</f>
        <v>100</v>
      </c>
      <c r="K32" s="612">
        <v>1</v>
      </c>
      <c r="L32" s="1142"/>
      <c r="M32" s="1133"/>
      <c r="N32" s="1133"/>
      <c r="O32" s="1133"/>
      <c r="P32" s="3289" t="s">
        <v>2563</v>
      </c>
      <c r="Q32" s="1804" t="str">
        <f t="shared" si="11"/>
        <v>商业类型</v>
      </c>
      <c r="R32" s="773" t="s">
        <v>17</v>
      </c>
      <c r="S32" s="774">
        <f t="shared" si="12"/>
        <v>100</v>
      </c>
      <c r="T32" s="773" t="s">
        <v>17</v>
      </c>
      <c r="U32" s="774">
        <f t="shared" si="13"/>
        <v>100</v>
      </c>
      <c r="V32" s="773" t="s">
        <v>17</v>
      </c>
      <c r="W32" s="774">
        <f t="shared" si="14"/>
        <v>100</v>
      </c>
      <c r="X32" s="1807"/>
      <c r="Y32" s="3292" t="s">
        <v>2563</v>
      </c>
      <c r="Z32" s="1808" t="str">
        <f t="shared" si="15"/>
        <v>商业类型</v>
      </c>
      <c r="AA32" s="1805">
        <f t="shared" si="3"/>
        <v>1</v>
      </c>
      <c r="AB32" s="1805">
        <f t="shared" si="4"/>
        <v>1</v>
      </c>
      <c r="AC32" s="1805">
        <f t="shared" si="5"/>
        <v>1</v>
      </c>
    </row>
    <row r="33" spans="1:29" s="471" customFormat="1" ht="15">
      <c r="A33" s="468"/>
      <c r="B33" s="422" t="s">
        <v>2564</v>
      </c>
      <c r="C33" s="469">
        <f>清单!H2</f>
        <v>116.97</v>
      </c>
      <c r="D33" s="136">
        <v>100</v>
      </c>
      <c r="E33" s="430">
        <v>88.7</v>
      </c>
      <c r="F33" s="425">
        <f>LOOKUP(E33,103:103,104:104)-LOOKUP(C33,103:103,104:104)+100</f>
        <v>98</v>
      </c>
      <c r="G33" s="429">
        <v>143.80000000000001</v>
      </c>
      <c r="H33" s="136">
        <f>LOOKUP(G33,103:103,104:104)-LOOKUP(C33,103:103,104:104)+100</f>
        <v>100</v>
      </c>
      <c r="I33" s="429">
        <v>63.3</v>
      </c>
      <c r="J33" s="136">
        <f>LOOKUP(I33,103:103,104:104)-LOOKUP(C33,103:103,104:104)+100</f>
        <v>98</v>
      </c>
      <c r="K33" s="613"/>
      <c r="L33" s="1140"/>
      <c r="M33" s="1143"/>
      <c r="N33" s="1143"/>
      <c r="O33" s="1143"/>
      <c r="P33" s="3290"/>
      <c r="Q33" s="775" t="str">
        <f t="shared" si="11"/>
        <v>项目建筑规模</v>
      </c>
      <c r="R33" s="776" t="s">
        <v>17</v>
      </c>
      <c r="S33" s="777">
        <f t="shared" si="12"/>
        <v>98</v>
      </c>
      <c r="T33" s="776" t="s">
        <v>17</v>
      </c>
      <c r="U33" s="777">
        <f t="shared" si="13"/>
        <v>100</v>
      </c>
      <c r="V33" s="776" t="s">
        <v>17</v>
      </c>
      <c r="W33" s="777">
        <f t="shared" si="14"/>
        <v>98</v>
      </c>
      <c r="X33" s="778"/>
      <c r="Y33" s="3292"/>
      <c r="Z33" s="779" t="str">
        <f t="shared" si="15"/>
        <v>项目建筑规模</v>
      </c>
      <c r="AA33" s="1805">
        <f t="shared" si="3"/>
        <v>1.0204081632653061</v>
      </c>
      <c r="AB33" s="1805">
        <f t="shared" si="4"/>
        <v>1</v>
      </c>
      <c r="AC33" s="1805">
        <f t="shared" si="5"/>
        <v>1.0204081632653061</v>
      </c>
    </row>
    <row r="34" spans="1:29" ht="15">
      <c r="A34" s="472"/>
      <c r="B34" s="422" t="s">
        <v>2565</v>
      </c>
      <c r="C34" s="2615" t="s">
        <v>3322</v>
      </c>
      <c r="D34" s="435">
        <v>100</v>
      </c>
      <c r="E34" s="2615" t="s">
        <v>3322</v>
      </c>
      <c r="F34" s="461">
        <f>SUMIF(105:105,E34,106:106)-SUMIF(105:105,C34,106:106)+100</f>
        <v>100</v>
      </c>
      <c r="G34" s="2615" t="s">
        <v>3322</v>
      </c>
      <c r="H34" s="435">
        <f>SUMIF(105:105,G34,106:106)-SUMIF(105:105,C34,106:106)+100</f>
        <v>100</v>
      </c>
      <c r="I34" s="2615" t="s">
        <v>3322</v>
      </c>
      <c r="J34" s="435">
        <f>SUMIF(105:105,I34,106:106)-SUMIF(105:105,C34,106:106)+100</f>
        <v>100</v>
      </c>
      <c r="K34" s="612">
        <v>1</v>
      </c>
      <c r="L34" s="1142"/>
      <c r="M34" s="1133"/>
      <c r="N34" s="1133"/>
      <c r="O34" s="1133"/>
      <c r="P34" s="3290"/>
      <c r="Q34" s="1804" t="str">
        <f t="shared" si="11"/>
        <v>建筑结构</v>
      </c>
      <c r="R34" s="773" t="s">
        <v>17</v>
      </c>
      <c r="S34" s="774">
        <f t="shared" si="12"/>
        <v>100</v>
      </c>
      <c r="T34" s="773" t="s">
        <v>17</v>
      </c>
      <c r="U34" s="774">
        <f t="shared" si="13"/>
        <v>100</v>
      </c>
      <c r="V34" s="773" t="s">
        <v>17</v>
      </c>
      <c r="W34" s="774">
        <f t="shared" si="14"/>
        <v>100</v>
      </c>
      <c r="X34" s="1807"/>
      <c r="Y34" s="3292"/>
      <c r="Z34" s="1808" t="str">
        <f t="shared" si="15"/>
        <v>建筑结构</v>
      </c>
      <c r="AA34" s="1805">
        <f t="shared" si="3"/>
        <v>1</v>
      </c>
      <c r="AB34" s="1805">
        <f t="shared" si="4"/>
        <v>1</v>
      </c>
      <c r="AC34" s="1805">
        <f t="shared" si="5"/>
        <v>1</v>
      </c>
    </row>
    <row r="35" spans="1:29" ht="15">
      <c r="A35" s="472"/>
      <c r="B35" s="422" t="s">
        <v>2659</v>
      </c>
      <c r="C35" s="2609" t="s">
        <v>3361</v>
      </c>
      <c r="D35" s="435">
        <v>100</v>
      </c>
      <c r="E35" s="2609" t="s">
        <v>3361</v>
      </c>
      <c r="F35" s="461">
        <f>SUMIF(107:107,E35,108:108)-SUMIF(107:107,C35,108:108)+100</f>
        <v>100</v>
      </c>
      <c r="G35" s="2609" t="s">
        <v>3361</v>
      </c>
      <c r="H35" s="435">
        <f>SUMIF(107:107,G35,108:108)-SUMIF(107:107,C35,108:108)+100</f>
        <v>100</v>
      </c>
      <c r="I35" s="2609" t="s">
        <v>3361</v>
      </c>
      <c r="J35" s="435">
        <f>SUMIF(107:107,I35,108:108)-SUMIF(107:107,C35,108:108)+100</f>
        <v>100</v>
      </c>
      <c r="K35" s="612">
        <v>1</v>
      </c>
      <c r="L35" s="1142"/>
      <c r="M35" s="1133"/>
      <c r="N35" s="1133"/>
      <c r="O35" s="1133"/>
      <c r="P35" s="3290"/>
      <c r="Q35" s="1804" t="str">
        <f t="shared" si="11"/>
        <v>公共部分装修</v>
      </c>
      <c r="R35" s="773" t="s">
        <v>17</v>
      </c>
      <c r="S35" s="774">
        <f t="shared" si="12"/>
        <v>100</v>
      </c>
      <c r="T35" s="773" t="s">
        <v>17</v>
      </c>
      <c r="U35" s="774">
        <f t="shared" si="13"/>
        <v>100</v>
      </c>
      <c r="V35" s="773" t="s">
        <v>17</v>
      </c>
      <c r="W35" s="774">
        <f t="shared" si="14"/>
        <v>100</v>
      </c>
      <c r="X35" s="1807"/>
      <c r="Y35" s="3292"/>
      <c r="Z35" s="1808" t="str">
        <f t="shared" si="15"/>
        <v>公共部分装修</v>
      </c>
      <c r="AA35" s="1805">
        <f t="shared" si="3"/>
        <v>1</v>
      </c>
      <c r="AB35" s="1805">
        <f t="shared" si="4"/>
        <v>1</v>
      </c>
      <c r="AC35" s="1805">
        <f t="shared" si="5"/>
        <v>1</v>
      </c>
    </row>
    <row r="36" spans="1:29" ht="15">
      <c r="A36" s="472"/>
      <c r="B36" s="422" t="s">
        <v>2660</v>
      </c>
      <c r="C36" s="474">
        <f>'数据-取费表'!N7</f>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2"/>
      <c r="M36" s="1133"/>
      <c r="N36" s="1133"/>
      <c r="O36" s="1133"/>
      <c r="P36" s="3290"/>
      <c r="Q36" s="1804" t="str">
        <f t="shared" si="11"/>
        <v>成新度</v>
      </c>
      <c r="R36" s="773" t="s">
        <v>17</v>
      </c>
      <c r="S36" s="774">
        <f t="shared" si="12"/>
        <v>100</v>
      </c>
      <c r="T36" s="773" t="s">
        <v>17</v>
      </c>
      <c r="U36" s="774">
        <f t="shared" si="13"/>
        <v>100</v>
      </c>
      <c r="V36" s="773" t="s">
        <v>17</v>
      </c>
      <c r="W36" s="774">
        <f t="shared" si="14"/>
        <v>100</v>
      </c>
      <c r="X36" s="1807"/>
      <c r="Y36" s="3292"/>
      <c r="Z36" s="1808" t="str">
        <f t="shared" si="15"/>
        <v>成新度</v>
      </c>
      <c r="AA36" s="1805">
        <f t="shared" si="3"/>
        <v>1</v>
      </c>
      <c r="AB36" s="1805">
        <f t="shared" si="4"/>
        <v>1</v>
      </c>
      <c r="AC36" s="1805">
        <f t="shared" si="5"/>
        <v>1</v>
      </c>
    </row>
    <row r="37" spans="1:29" s="117" customFormat="1" ht="15">
      <c r="A37" s="473"/>
      <c r="B37" s="422" t="s">
        <v>2661</v>
      </c>
      <c r="C37" s="2609" t="s">
        <v>3364</v>
      </c>
      <c r="D37" s="136">
        <v>100</v>
      </c>
      <c r="E37" s="2609" t="s">
        <v>3349</v>
      </c>
      <c r="F37" s="461">
        <f>SUMIF(112:112,E37,113:113)-SUMIF(112:112,C37,113:113)+100</f>
        <v>101</v>
      </c>
      <c r="G37" s="2609" t="s">
        <v>3349</v>
      </c>
      <c r="H37" s="435">
        <f>SUMIF(112:112,G37,113:113)-SUMIF(112:112,C37,113:113)+100</f>
        <v>101</v>
      </c>
      <c r="I37" s="2609" t="s">
        <v>3349</v>
      </c>
      <c r="J37" s="435">
        <f>SUMIF(112:112,I37,113:113)-SUMIF(112:112,C37,113:113)+100</f>
        <v>101</v>
      </c>
      <c r="K37" s="612">
        <v>1</v>
      </c>
      <c r="L37" s="1134"/>
      <c r="M37" s="1135"/>
      <c r="N37" s="1135"/>
      <c r="O37" s="1135"/>
      <c r="P37" s="3290"/>
      <c r="Q37" s="1789" t="str">
        <f t="shared" si="11"/>
        <v>市政基础设施</v>
      </c>
      <c r="R37" s="769" t="s">
        <v>17</v>
      </c>
      <c r="S37" s="770">
        <f t="shared" si="12"/>
        <v>101</v>
      </c>
      <c r="T37" s="769" t="s">
        <v>17</v>
      </c>
      <c r="U37" s="770">
        <f t="shared" si="13"/>
        <v>101</v>
      </c>
      <c r="V37" s="769" t="s">
        <v>17</v>
      </c>
      <c r="W37" s="770">
        <f t="shared" si="14"/>
        <v>101</v>
      </c>
      <c r="X37" s="771"/>
      <c r="Y37" s="3292"/>
      <c r="Z37" s="55" t="str">
        <f t="shared" si="15"/>
        <v>市政基础设施</v>
      </c>
      <c r="AA37" s="772">
        <f t="shared" si="3"/>
        <v>0.99009900990099009</v>
      </c>
      <c r="AB37" s="772">
        <f t="shared" si="4"/>
        <v>0.99009900990099009</v>
      </c>
      <c r="AC37" s="772">
        <f t="shared" si="5"/>
        <v>0.99009900990099009</v>
      </c>
    </row>
    <row r="38" spans="1:29" ht="15" hidden="1">
      <c r="A38" s="472"/>
      <c r="B38" s="422" t="s">
        <v>2662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2"/>
      <c r="M38" s="1133"/>
      <c r="N38" s="1133"/>
      <c r="O38" s="1133"/>
      <c r="P38" s="3290" t="s">
        <v>2563</v>
      </c>
      <c r="Q38" s="1804" t="str">
        <f t="shared" si="11"/>
        <v>业态</v>
      </c>
      <c r="R38" s="773" t="s">
        <v>17</v>
      </c>
      <c r="S38" s="774">
        <f t="shared" si="12"/>
        <v>100</v>
      </c>
      <c r="T38" s="773" t="s">
        <v>17</v>
      </c>
      <c r="U38" s="774">
        <f t="shared" si="13"/>
        <v>100</v>
      </c>
      <c r="V38" s="773" t="s">
        <v>17</v>
      </c>
      <c r="W38" s="774">
        <f t="shared" si="14"/>
        <v>100</v>
      </c>
      <c r="X38" s="1807"/>
      <c r="Y38" s="3292" t="s">
        <v>2563</v>
      </c>
      <c r="Z38" s="1808" t="str">
        <f t="shared" si="15"/>
        <v>业态</v>
      </c>
      <c r="AA38" s="1805">
        <f t="shared" si="3"/>
        <v>1</v>
      </c>
      <c r="AB38" s="1805">
        <f t="shared" si="4"/>
        <v>1</v>
      </c>
      <c r="AC38" s="1805">
        <f t="shared" si="5"/>
        <v>1</v>
      </c>
    </row>
    <row r="39" spans="1:29" ht="15">
      <c r="A39" s="472"/>
      <c r="B39" s="422" t="s">
        <v>2663</v>
      </c>
      <c r="C39" s="2609" t="s">
        <v>3366</v>
      </c>
      <c r="D39" s="435">
        <v>100</v>
      </c>
      <c r="E39" s="2609" t="s">
        <v>3366</v>
      </c>
      <c r="F39" s="461">
        <f>SUMIF(116:116,E39,117:117)-SUMIF(116:116,C39,117:117)+100</f>
        <v>100</v>
      </c>
      <c r="G39" s="2609" t="s">
        <v>3366</v>
      </c>
      <c r="H39" s="435">
        <f>SUMIF(116:116,G39,117:117)-SUMIF(116:116,C39,117:117)+100</f>
        <v>100</v>
      </c>
      <c r="I39" s="2609" t="s">
        <v>3366</v>
      </c>
      <c r="J39" s="435">
        <f>SUMIF(116:116,I39,117:117)-SUMIF(116:116,C39,117:117)+100</f>
        <v>100</v>
      </c>
      <c r="K39" s="612">
        <v>1</v>
      </c>
      <c r="L39" s="1142"/>
      <c r="M39" s="1133"/>
      <c r="N39" s="1133"/>
      <c r="O39" s="1133"/>
      <c r="P39" s="3290"/>
      <c r="Q39" s="1804" t="str">
        <f t="shared" si="11"/>
        <v>层高</v>
      </c>
      <c r="R39" s="773" t="s">
        <v>17</v>
      </c>
      <c r="S39" s="774">
        <f t="shared" si="12"/>
        <v>100</v>
      </c>
      <c r="T39" s="773" t="s">
        <v>17</v>
      </c>
      <c r="U39" s="774">
        <f t="shared" si="13"/>
        <v>100</v>
      </c>
      <c r="V39" s="773" t="s">
        <v>17</v>
      </c>
      <c r="W39" s="774">
        <f t="shared" si="14"/>
        <v>100</v>
      </c>
      <c r="X39" s="1807"/>
      <c r="Y39" s="3292"/>
      <c r="Z39" s="1808" t="str">
        <f t="shared" si="15"/>
        <v>层高</v>
      </c>
      <c r="AA39" s="1805">
        <f t="shared" si="3"/>
        <v>1</v>
      </c>
      <c r="AB39" s="1805">
        <f t="shared" si="4"/>
        <v>1</v>
      </c>
      <c r="AC39" s="1805">
        <f t="shared" si="5"/>
        <v>1</v>
      </c>
    </row>
    <row r="40" spans="1:29" ht="15" hidden="1">
      <c r="A40" s="472"/>
      <c r="B40" s="422" t="s">
        <v>2664</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90"/>
      <c r="Q40" s="1804" t="str">
        <f t="shared" si="11"/>
        <v>单套建筑面积</v>
      </c>
      <c r="R40" s="773" t="s">
        <v>17</v>
      </c>
      <c r="S40" s="774">
        <f t="shared" si="12"/>
        <v>100</v>
      </c>
      <c r="T40" s="773" t="s">
        <v>17</v>
      </c>
      <c r="U40" s="774">
        <f t="shared" si="13"/>
        <v>100</v>
      </c>
      <c r="V40" s="773" t="s">
        <v>17</v>
      </c>
      <c r="W40" s="774">
        <f t="shared" si="14"/>
        <v>100</v>
      </c>
      <c r="X40" s="1807"/>
      <c r="Y40" s="3292"/>
      <c r="Z40" s="1808" t="str">
        <f t="shared" si="15"/>
        <v>单套建筑面积</v>
      </c>
      <c r="AA40" s="1805">
        <f t="shared" si="3"/>
        <v>1</v>
      </c>
      <c r="AB40" s="1805">
        <f t="shared" si="4"/>
        <v>1</v>
      </c>
      <c r="AC40" s="1805">
        <f t="shared" si="5"/>
        <v>1</v>
      </c>
    </row>
    <row r="41" spans="1:29" s="471" customFormat="1" ht="15" hidden="1">
      <c r="A41" s="468"/>
      <c r="B41" s="180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90"/>
      <c r="Q41" s="775" t="str">
        <f t="shared" si="11"/>
        <v>进深比</v>
      </c>
      <c r="R41" s="776" t="s">
        <v>17</v>
      </c>
      <c r="S41" s="777">
        <f t="shared" si="12"/>
        <v>100</v>
      </c>
      <c r="T41" s="776" t="s">
        <v>17</v>
      </c>
      <c r="U41" s="777">
        <f t="shared" si="13"/>
        <v>100</v>
      </c>
      <c r="V41" s="776" t="s">
        <v>17</v>
      </c>
      <c r="W41" s="777">
        <f t="shared" si="14"/>
        <v>100</v>
      </c>
      <c r="X41" s="778"/>
      <c r="Y41" s="3292"/>
      <c r="Z41" s="779" t="str">
        <f t="shared" si="15"/>
        <v>进深比</v>
      </c>
      <c r="AA41" s="1805">
        <f t="shared" si="3"/>
        <v>1</v>
      </c>
      <c r="AB41" s="1805">
        <f t="shared" si="4"/>
        <v>1</v>
      </c>
      <c r="AC41" s="1805">
        <f t="shared" si="5"/>
        <v>1</v>
      </c>
    </row>
    <row r="42" spans="1:29" ht="15">
      <c r="A42" s="472"/>
      <c r="B42" s="422" t="s">
        <v>2666</v>
      </c>
      <c r="C42" s="2609" t="s">
        <v>3368</v>
      </c>
      <c r="D42" s="435">
        <v>100</v>
      </c>
      <c r="E42" s="2609" t="s">
        <v>3368</v>
      </c>
      <c r="F42" s="461">
        <f>SUMIF(122:122,E42,123:123)-SUMIF(122:122,C42,123:123)+100</f>
        <v>100</v>
      </c>
      <c r="G42" s="2609" t="s">
        <v>3368</v>
      </c>
      <c r="H42" s="435">
        <f>SUMIF(122:122,G42,123:123)-SUMIF(122:122,C42,123:123)+100</f>
        <v>100</v>
      </c>
      <c r="I42" s="2609" t="s">
        <v>3368</v>
      </c>
      <c r="J42" s="435">
        <f>SUMIF(122:122,I42,123:123)-SUMIF(122:122,C42,123:123)+100</f>
        <v>100</v>
      </c>
      <c r="K42" s="612">
        <v>1</v>
      </c>
      <c r="L42" s="1142"/>
      <c r="M42" s="1133"/>
      <c r="N42" s="1133"/>
      <c r="O42" s="1133"/>
      <c r="P42" s="3290"/>
      <c r="Q42" s="1804" t="str">
        <f t="shared" si="11"/>
        <v>内部装修</v>
      </c>
      <c r="R42" s="773" t="s">
        <v>17</v>
      </c>
      <c r="S42" s="774">
        <f t="shared" si="12"/>
        <v>100</v>
      </c>
      <c r="T42" s="773" t="s">
        <v>17</v>
      </c>
      <c r="U42" s="774">
        <f t="shared" si="13"/>
        <v>100</v>
      </c>
      <c r="V42" s="773" t="s">
        <v>17</v>
      </c>
      <c r="W42" s="774">
        <f t="shared" si="14"/>
        <v>100</v>
      </c>
      <c r="X42" s="1807"/>
      <c r="Y42" s="3292"/>
      <c r="Z42" s="1808" t="str">
        <f t="shared" si="15"/>
        <v>内部装修</v>
      </c>
      <c r="AA42" s="1805">
        <f t="shared" si="3"/>
        <v>1</v>
      </c>
      <c r="AB42" s="1805">
        <f t="shared" si="4"/>
        <v>1</v>
      </c>
      <c r="AC42" s="1805">
        <f t="shared" si="5"/>
        <v>1</v>
      </c>
    </row>
    <row r="43" spans="1:29" ht="15">
      <c r="A43" s="472"/>
      <c r="B43" s="422" t="s">
        <v>2574</v>
      </c>
      <c r="C43" s="2609" t="s">
        <v>3326</v>
      </c>
      <c r="D43" s="435">
        <v>100</v>
      </c>
      <c r="E43" s="2609" t="s">
        <v>3326</v>
      </c>
      <c r="F43" s="461">
        <f>SUMIF(124:124,E43,125:125)-SUMIF(124:124,C43,125:125)+100</f>
        <v>100</v>
      </c>
      <c r="G43" s="2609" t="s">
        <v>3326</v>
      </c>
      <c r="H43" s="435">
        <f>SUMIF(124:124,G43,125:125)-SUMIF(124:124,C43,125:125)+100</f>
        <v>100</v>
      </c>
      <c r="I43" s="2609" t="s">
        <v>3326</v>
      </c>
      <c r="J43" s="435">
        <f>SUMIF(124:124,I43,125:125)-SUMIF(124:124,C43,125:125)+100</f>
        <v>100</v>
      </c>
      <c r="K43" s="612">
        <v>1</v>
      </c>
      <c r="L43" s="1142"/>
      <c r="M43" s="1133"/>
      <c r="N43" s="1133"/>
      <c r="O43" s="1133"/>
      <c r="P43" s="3290"/>
      <c r="Q43" s="1804" t="str">
        <f t="shared" si="11"/>
        <v>内部装修维护情况</v>
      </c>
      <c r="R43" s="773" t="s">
        <v>17</v>
      </c>
      <c r="S43" s="774">
        <f t="shared" si="12"/>
        <v>100</v>
      </c>
      <c r="T43" s="773" t="s">
        <v>17</v>
      </c>
      <c r="U43" s="774">
        <f t="shared" si="13"/>
        <v>100</v>
      </c>
      <c r="V43" s="773" t="s">
        <v>17</v>
      </c>
      <c r="W43" s="774">
        <f t="shared" si="14"/>
        <v>100</v>
      </c>
      <c r="X43" s="1807"/>
      <c r="Y43" s="3292"/>
      <c r="Z43" s="1808" t="str">
        <f t="shared" si="15"/>
        <v>内部装修维护情况</v>
      </c>
      <c r="AA43" s="1805">
        <f t="shared" si="3"/>
        <v>1</v>
      </c>
      <c r="AB43" s="1805">
        <f t="shared" si="4"/>
        <v>1</v>
      </c>
      <c r="AC43" s="1805">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90"/>
      <c r="Q44" s="1789">
        <f t="shared" si="11"/>
        <v>111</v>
      </c>
      <c r="R44" s="769" t="s">
        <v>17</v>
      </c>
      <c r="S44" s="770">
        <f t="shared" si="12"/>
        <v>100</v>
      </c>
      <c r="T44" s="769" t="s">
        <v>17</v>
      </c>
      <c r="U44" s="770">
        <f t="shared" si="13"/>
        <v>100</v>
      </c>
      <c r="V44" s="769" t="s">
        <v>17</v>
      </c>
      <c r="W44" s="770">
        <f t="shared" si="14"/>
        <v>100</v>
      </c>
      <c r="X44" s="771"/>
      <c r="Y44" s="3292"/>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90"/>
      <c r="Q45" s="1804">
        <f t="shared" si="11"/>
        <v>111</v>
      </c>
      <c r="R45" s="773" t="s">
        <v>17</v>
      </c>
      <c r="S45" s="774">
        <f t="shared" si="12"/>
        <v>100</v>
      </c>
      <c r="T45" s="773" t="s">
        <v>17</v>
      </c>
      <c r="U45" s="774">
        <f t="shared" si="13"/>
        <v>100</v>
      </c>
      <c r="V45" s="773" t="s">
        <v>17</v>
      </c>
      <c r="W45" s="774">
        <f t="shared" si="14"/>
        <v>100</v>
      </c>
      <c r="X45" s="1807"/>
      <c r="Y45" s="3292"/>
      <c r="Z45" s="1808">
        <f t="shared" si="15"/>
        <v>111</v>
      </c>
      <c r="AA45" s="1805">
        <f t="shared" si="3"/>
        <v>1</v>
      </c>
      <c r="AB45" s="1805">
        <f t="shared" si="4"/>
        <v>1</v>
      </c>
      <c r="AC45" s="1805">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91"/>
      <c r="Q46" s="1804">
        <f t="shared" si="11"/>
        <v>111</v>
      </c>
      <c r="R46" s="773" t="s">
        <v>17</v>
      </c>
      <c r="S46" s="774">
        <f t="shared" si="12"/>
        <v>100</v>
      </c>
      <c r="T46" s="773" t="s">
        <v>17</v>
      </c>
      <c r="U46" s="774">
        <f t="shared" si="13"/>
        <v>100</v>
      </c>
      <c r="V46" s="773" t="s">
        <v>17</v>
      </c>
      <c r="W46" s="774">
        <f t="shared" si="14"/>
        <v>100</v>
      </c>
      <c r="X46" s="1807"/>
      <c r="Y46" s="3293"/>
      <c r="Z46" s="1808">
        <f t="shared" si="15"/>
        <v>111</v>
      </c>
      <c r="AA46" s="1805">
        <f t="shared" si="3"/>
        <v>1</v>
      </c>
      <c r="AB46" s="1805">
        <f t="shared" si="4"/>
        <v>1</v>
      </c>
      <c r="AC46" s="1805">
        <f t="shared" si="5"/>
        <v>1</v>
      </c>
    </row>
    <row r="47" spans="1:29" ht="15">
      <c r="A47" s="479" t="s">
        <v>2575</v>
      </c>
      <c r="B47" s="480"/>
      <c r="C47" s="1409" t="s">
        <v>1</v>
      </c>
      <c r="D47" s="1410"/>
      <c r="E47" s="1411">
        <v>100225</v>
      </c>
      <c r="F47" s="1412"/>
      <c r="G47" s="1413">
        <v>100834</v>
      </c>
      <c r="H47" s="1414"/>
      <c r="I47" s="1411">
        <v>103159</v>
      </c>
      <c r="J47" s="1414"/>
      <c r="K47" s="782"/>
      <c r="L47" s="1145"/>
      <c r="M47" s="1146"/>
      <c r="N47" s="1133"/>
      <c r="O47" s="1146"/>
      <c r="P47" s="3285" t="str">
        <f>A47</f>
        <v>成交单价（元/平方米）</v>
      </c>
      <c r="Q47" s="3285"/>
      <c r="R47" s="3280">
        <f>E47</f>
        <v>100225</v>
      </c>
      <c r="S47" s="3280"/>
      <c r="T47" s="3280">
        <f>G47</f>
        <v>100834</v>
      </c>
      <c r="U47" s="3280"/>
      <c r="V47" s="3280">
        <f>I47</f>
        <v>103159</v>
      </c>
      <c r="W47" s="3280"/>
      <c r="X47" s="758"/>
      <c r="Y47" s="780"/>
      <c r="Z47" s="758"/>
      <c r="AA47" s="758"/>
      <c r="AB47" s="758"/>
      <c r="AC47" s="758"/>
    </row>
    <row r="48" spans="1:29" ht="15.75" thickBot="1">
      <c r="A48" s="486" t="s">
        <v>2667</v>
      </c>
      <c r="B48" s="487"/>
      <c r="C48" s="1415">
        <f>R49</f>
        <v>87385</v>
      </c>
      <c r="D48" s="1416"/>
      <c r="E48" s="1417">
        <f>R48</f>
        <v>86944</v>
      </c>
      <c r="F48" s="1417"/>
      <c r="G48" s="1415">
        <f>T48</f>
        <v>85723</v>
      </c>
      <c r="H48" s="1416"/>
      <c r="I48" s="1417">
        <f>V48</f>
        <v>89489</v>
      </c>
      <c r="J48" s="1416"/>
      <c r="K48" s="783"/>
      <c r="L48" s="1145"/>
      <c r="M48" s="1146"/>
      <c r="N48" s="1133"/>
      <c r="O48" s="1146"/>
      <c r="P48" s="3285" t="str">
        <f>A48</f>
        <v>比较价值（元/平方米）</v>
      </c>
      <c r="Q48" s="3285"/>
      <c r="R48" s="3286">
        <f>IF(F1="售价",ROUND(PRODUCT(R47,AA7:AA46),0),ROUND(PRODUCT(R47,AA7:AA46),1))</f>
        <v>86944</v>
      </c>
      <c r="S48" s="3286"/>
      <c r="T48" s="3286">
        <f>IF(F1="售价",ROUND(PRODUCT(T47,AB7:AB46),0),ROUND(PRODUCT(T47,AB7:AB46),1))</f>
        <v>85723</v>
      </c>
      <c r="U48" s="3286"/>
      <c r="V48" s="3286">
        <f>IF(F1="售价",ROUND(PRODUCT(V47,AC7:AC46),0),ROUND(PRODUCT(V47,AC7:AC46),1))</f>
        <v>89489</v>
      </c>
      <c r="W48" s="3286"/>
      <c r="X48" s="758"/>
      <c r="Y48" s="758"/>
      <c r="Z48" s="758"/>
      <c r="AA48" s="758"/>
      <c r="AB48" s="758"/>
      <c r="AC48" s="758"/>
    </row>
    <row r="49" spans="1:29" ht="15.75" thickBot="1">
      <c r="A49" s="492" t="s">
        <v>2668</v>
      </c>
      <c r="B49" s="493"/>
      <c r="C49" s="1419">
        <f>R49</f>
        <v>87385</v>
      </c>
      <c r="D49" s="1419"/>
      <c r="E49" s="1419"/>
      <c r="F49" s="1419"/>
      <c r="G49" s="1419"/>
      <c r="H49" s="1419"/>
      <c r="I49" s="1419"/>
      <c r="J49" s="1419"/>
      <c r="K49" s="784"/>
      <c r="L49" s="1145"/>
      <c r="M49" s="1146"/>
      <c r="N49" s="1133"/>
      <c r="O49" s="1146"/>
      <c r="P49" s="3282" t="str">
        <f>A49</f>
        <v>估价对象XX用房的比较价值（楼面单价，元/平方米）</v>
      </c>
      <c r="Q49" s="3283"/>
      <c r="R49" s="3284">
        <f>IF(F1="售价",ROUND(AVERAGE(R48:V48),0),ROUND(AVERAGE(R48:V48),1))</f>
        <v>87385</v>
      </c>
      <c r="S49" s="3284"/>
      <c r="T49" s="3284"/>
      <c r="U49" s="3284"/>
      <c r="V49" s="3284"/>
      <c r="W49" s="3284"/>
      <c r="X49" s="758"/>
      <c r="Y49" s="758"/>
      <c r="Z49" s="758"/>
      <c r="AA49" s="758"/>
      <c r="AB49" s="758"/>
      <c r="AC49" s="758"/>
    </row>
    <row r="50" spans="1:29">
      <c r="A50" s="1146"/>
      <c r="B50" s="1146"/>
      <c r="C50" s="1146"/>
      <c r="D50" s="1146"/>
      <c r="E50" s="1146">
        <v>2009</v>
      </c>
      <c r="F50" s="1146"/>
      <c r="G50" s="1149">
        <v>20.09</v>
      </c>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0.15275349650349646</v>
      </c>
      <c r="F52" s="500" t="str">
        <f>IF(OR(E52&gt;=0.3,E52&lt;=-0.3),"超过30%","")</f>
        <v/>
      </c>
      <c r="G52" s="499">
        <f>IF(G47&lt;G48,G48/G47-1,G47/G48-1)</f>
        <v>0.17627707849701957</v>
      </c>
      <c r="H52" s="500" t="str">
        <f>IF(OR(G52&gt;=0.3,G52&lt;=-0.3),"超过30%","")</f>
        <v/>
      </c>
      <c r="I52" s="499">
        <f>IF(I47&lt;I48,I48/I47-1,I47/I48-1)</f>
        <v>0.15275620467320006</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1.4243551905556373E-2</v>
      </c>
      <c r="F53" s="500" t="str">
        <f>IF(OR(E53&gt;=0.2,E53&lt;=-0.2),"超过20%","")</f>
        <v/>
      </c>
      <c r="G53" s="499">
        <f>IF(G48&lt;I48,I48/G48-1,G48/I48-1)</f>
        <v>4.3932200226310281E-2</v>
      </c>
      <c r="H53" s="500" t="str">
        <f>IF(OR(G53&gt;=0.2,G53&lt;=-0.2),"超过20%","")</f>
        <v/>
      </c>
      <c r="I53" s="499">
        <f>IF(I48&lt;E48,E48/I48-1,I48/E48-1)</f>
        <v>2.9271715126978348E-2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6.0763282614118008E-3</v>
      </c>
      <c r="F54" s="500" t="str">
        <f>IF(OR(E54&gt;=0.3,E54&lt;=-0.3),"超过30%","")</f>
        <v/>
      </c>
      <c r="G54" s="499">
        <f>IF(G47&lt;I47,I47/G47-1,G47/I47-1)</f>
        <v>2.3057698792074088E-2</v>
      </c>
      <c r="H54" s="500" t="str">
        <f>IF(OR(G54&gt;=0.3,G54&lt;=-0.3),"超过30%","")</f>
        <v/>
      </c>
      <c r="I54" s="499">
        <f>IF(I47&lt;E47,E47/I47-1,I47/E47-1)</f>
        <v>2.9274133200299257E-2</v>
      </c>
      <c r="J54" s="500" t="str">
        <f>IF(OR(I54&gt;=0.3,I54&lt;=-0.3),"超过30%","")</f>
        <v/>
      </c>
      <c r="K54" s="1150"/>
      <c r="L54" s="1151"/>
      <c r="M54" s="1147"/>
      <c r="N54" s="1147"/>
      <c r="O54" s="1147"/>
      <c r="P54" s="2662"/>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3"/>
      <c r="Q57" s="2664"/>
      <c r="R57" s="758"/>
      <c r="S57" s="758"/>
      <c r="T57" s="758"/>
      <c r="U57" s="758"/>
      <c r="V57" s="758"/>
      <c r="W57" s="758"/>
      <c r="X57" s="758"/>
      <c r="Y57" s="758"/>
      <c r="Z57" s="758"/>
      <c r="AA57" s="758"/>
      <c r="AB57" s="758"/>
      <c r="AC57" s="758"/>
    </row>
    <row r="58" spans="1:29" s="508" customFormat="1" ht="15">
      <c r="A58" s="505" t="s">
        <v>2546</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2583</v>
      </c>
      <c r="B60" s="516"/>
      <c r="C60" s="517"/>
      <c r="D60" s="518"/>
      <c r="E60" s="518"/>
      <c r="F60" s="518"/>
      <c r="G60" s="518"/>
      <c r="H60" s="518"/>
      <c r="I60" s="518"/>
      <c r="J60" s="518"/>
      <c r="K60" s="518"/>
      <c r="L60" s="518"/>
      <c r="M60" s="519"/>
      <c r="N60" s="518"/>
      <c r="O60" s="519"/>
      <c r="P60" s="2624"/>
      <c r="Q60" s="504"/>
    </row>
    <row r="61" spans="1:29" s="117" customFormat="1" ht="15">
      <c r="A61" s="521" t="s">
        <v>2548</v>
      </c>
      <c r="B61" s="510"/>
      <c r="C61" s="522" t="s">
        <v>2650</v>
      </c>
      <c r="D61" s="523"/>
      <c r="E61" s="523"/>
      <c r="F61" s="523"/>
      <c r="G61" s="523"/>
      <c r="H61" s="523"/>
      <c r="I61" s="523"/>
      <c r="J61" s="523"/>
      <c r="K61" s="523"/>
      <c r="L61" s="524"/>
      <c r="M61" s="525"/>
      <c r="N61" s="1153"/>
      <c r="O61" s="1153"/>
      <c r="P61" s="2625"/>
      <c r="Q61" s="504"/>
    </row>
    <row r="62" spans="1:29" s="117" customFormat="1" ht="15.75" thickBot="1">
      <c r="A62" s="521"/>
      <c r="B62" s="510"/>
      <c r="C62" s="511">
        <v>100</v>
      </c>
      <c r="D62" s="512"/>
      <c r="E62" s="512"/>
      <c r="F62" s="512"/>
      <c r="G62" s="512"/>
      <c r="H62" s="512"/>
      <c r="I62" s="512"/>
      <c r="J62" s="512"/>
      <c r="K62" s="512"/>
      <c r="L62" s="512"/>
      <c r="M62" s="514"/>
      <c r="N62" s="1153"/>
      <c r="O62" s="1153"/>
      <c r="P62" s="2624"/>
      <c r="Q62" s="504"/>
    </row>
    <row r="63" spans="1:29">
      <c r="A63" s="527" t="s">
        <v>2586</v>
      </c>
      <c r="B63" s="528" t="s">
        <v>2552</v>
      </c>
      <c r="C63" s="529" t="str">
        <f>C9</f>
        <v>商业</v>
      </c>
      <c r="D63" s="530"/>
      <c r="E63" s="530"/>
      <c r="F63" s="530"/>
      <c r="G63" s="530"/>
      <c r="H63" s="530"/>
      <c r="I63" s="530"/>
      <c r="J63" s="530"/>
      <c r="K63" s="531"/>
      <c r="L63" s="532"/>
      <c r="M63" s="533"/>
      <c r="N63" s="1154"/>
      <c r="O63" s="1154"/>
      <c r="P63" s="2626"/>
      <c r="Q63" s="504"/>
    </row>
    <row r="64" spans="1:29" ht="15.75" thickBot="1">
      <c r="A64" s="534"/>
      <c r="B64" s="535"/>
      <c r="C64" s="536">
        <v>100</v>
      </c>
      <c r="D64" s="536"/>
      <c r="E64" s="536"/>
      <c r="F64" s="536"/>
      <c r="G64" s="536"/>
      <c r="H64" s="536"/>
      <c r="I64" s="536"/>
      <c r="J64" s="536"/>
      <c r="K64" s="536"/>
      <c r="L64" s="536"/>
      <c r="M64" s="537"/>
      <c r="N64" s="1155"/>
      <c r="O64" s="1155"/>
      <c r="P64" s="262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6"/>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6"/>
      <c r="Q67" s="504"/>
    </row>
    <row r="68" spans="1:17" ht="15">
      <c r="A68" s="534"/>
      <c r="B68" s="548"/>
      <c r="C68" s="549">
        <v>0</v>
      </c>
      <c r="D68" s="549">
        <v>1</v>
      </c>
      <c r="E68" s="549">
        <v>2</v>
      </c>
      <c r="F68" s="549">
        <v>3</v>
      </c>
      <c r="G68" s="549"/>
      <c r="H68" s="549"/>
      <c r="I68" s="549"/>
      <c r="J68" s="549"/>
      <c r="K68" s="550"/>
      <c r="L68" s="551"/>
      <c r="M68" s="552"/>
      <c r="N68" s="1154"/>
      <c r="O68" s="1154"/>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6"/>
      <c r="Q69" s="504"/>
    </row>
    <row r="70" spans="1:17" s="471" customFormat="1" ht="15.75" thickTop="1">
      <c r="A70" s="553"/>
      <c r="B70" s="538">
        <f>B12</f>
        <v>111</v>
      </c>
      <c r="C70" s="554"/>
      <c r="D70" s="554"/>
      <c r="E70" s="554"/>
      <c r="F70" s="554"/>
      <c r="G70" s="554"/>
      <c r="H70" s="555"/>
      <c r="I70" s="555"/>
      <c r="J70" s="555"/>
      <c r="K70" s="555"/>
      <c r="L70" s="556"/>
      <c r="M70" s="557"/>
      <c r="N70" s="1156"/>
      <c r="O70" s="1156"/>
      <c r="P70" s="2627"/>
      <c r="Q70" s="559"/>
    </row>
    <row r="71" spans="1:17" s="471" customFormat="1" ht="15.75" thickBot="1">
      <c r="A71" s="553"/>
      <c r="B71" s="543"/>
      <c r="C71" s="560"/>
      <c r="D71" s="536"/>
      <c r="E71" s="536"/>
      <c r="F71" s="536"/>
      <c r="G71" s="536"/>
      <c r="H71" s="536"/>
      <c r="I71" s="536"/>
      <c r="J71" s="536"/>
      <c r="K71" s="536"/>
      <c r="L71" s="536"/>
      <c r="M71" s="537"/>
      <c r="N71" s="1155"/>
      <c r="O71" s="1155"/>
      <c r="P71" s="2627"/>
      <c r="Q71" s="559"/>
    </row>
    <row r="72" spans="1:17" s="471" customFormat="1" ht="15.75" thickTop="1">
      <c r="A72" s="553"/>
      <c r="B72" s="538">
        <f>B13</f>
        <v>111</v>
      </c>
      <c r="C72" s="554"/>
      <c r="D72" s="554"/>
      <c r="E72" s="554"/>
      <c r="F72" s="554"/>
      <c r="G72" s="554"/>
      <c r="H72" s="555"/>
      <c r="I72" s="555"/>
      <c r="J72" s="555"/>
      <c r="K72" s="555"/>
      <c r="L72" s="556"/>
      <c r="M72" s="557"/>
      <c r="N72" s="1156"/>
      <c r="O72" s="1156"/>
      <c r="P72" s="2628"/>
      <c r="Q72" s="561"/>
    </row>
    <row r="73" spans="1:17" s="471" customFormat="1" ht="15.75" thickBot="1">
      <c r="A73" s="553"/>
      <c r="B73" s="543"/>
      <c r="C73" s="560"/>
      <c r="D73" s="536"/>
      <c r="E73" s="536"/>
      <c r="F73" s="536"/>
      <c r="G73" s="560"/>
      <c r="H73" s="562"/>
      <c r="I73" s="562"/>
      <c r="J73" s="562"/>
      <c r="K73" s="562"/>
      <c r="L73" s="562"/>
      <c r="M73" s="563"/>
      <c r="N73" s="1156"/>
      <c r="O73" s="1156"/>
      <c r="P73" s="2627"/>
      <c r="Q73" s="559"/>
    </row>
    <row r="74" spans="1:17" s="471" customFormat="1" ht="15.75" thickTop="1">
      <c r="A74" s="553"/>
      <c r="B74" s="546">
        <f>B14</f>
        <v>111</v>
      </c>
      <c r="C74" s="554"/>
      <c r="D74" s="554"/>
      <c r="E74" s="554"/>
      <c r="F74" s="554"/>
      <c r="G74" s="523"/>
      <c r="H74" s="564"/>
      <c r="I74" s="564"/>
      <c r="J74" s="564"/>
      <c r="K74" s="564"/>
      <c r="L74" s="565"/>
      <c r="M74" s="566"/>
      <c r="N74" s="1156"/>
      <c r="O74" s="1156"/>
      <c r="P74" s="2629"/>
      <c r="Q74" s="559"/>
    </row>
    <row r="75" spans="1:17" s="471" customFormat="1" ht="15.75" thickBot="1">
      <c r="A75" s="568"/>
      <c r="B75" s="569"/>
      <c r="C75" s="570"/>
      <c r="D75" s="570"/>
      <c r="E75" s="570"/>
      <c r="F75" s="570"/>
      <c r="G75" s="570"/>
      <c r="H75" s="571"/>
      <c r="I75" s="571"/>
      <c r="J75" s="571"/>
      <c r="K75" s="571"/>
      <c r="L75" s="571"/>
      <c r="M75" s="572"/>
      <c r="N75" s="1156"/>
      <c r="O75" s="1156"/>
      <c r="P75" s="262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2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6"/>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26"/>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5"/>
      <c r="O83" s="1155"/>
      <c r="P83" s="262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6"/>
      <c r="Q85" s="504"/>
    </row>
    <row r="86" spans="1:17" s="117" customFormat="1" ht="15.75" thickTop="1">
      <c r="A86" s="579"/>
      <c r="B86" s="538" t="s">
        <v>2678</v>
      </c>
      <c r="C86" s="2994" t="s">
        <v>3307</v>
      </c>
      <c r="D86" s="2994" t="s">
        <v>3309</v>
      </c>
      <c r="E86" s="554"/>
      <c r="F86" s="554"/>
      <c r="G86" s="554"/>
      <c r="H86" s="554"/>
      <c r="I86" s="554"/>
      <c r="J86" s="554"/>
      <c r="K86" s="554"/>
      <c r="L86" s="580"/>
      <c r="M86" s="581"/>
      <c r="N86" s="1153"/>
      <c r="O86" s="1153"/>
      <c r="P86" s="2626"/>
      <c r="Q86" s="504"/>
    </row>
    <row r="87" spans="1:17" s="117" customFormat="1" ht="15.75" thickBot="1">
      <c r="A87" s="579"/>
      <c r="B87" s="543"/>
      <c r="C87" s="582">
        <v>100</v>
      </c>
      <c r="D87" s="544">
        <f t="shared" ref="D87:M87" si="20">C87-$K25</f>
        <v>97.5</v>
      </c>
      <c r="E87" s="544">
        <f t="shared" si="20"/>
        <v>95</v>
      </c>
      <c r="F87" s="544">
        <f t="shared" si="20"/>
        <v>92.5</v>
      </c>
      <c r="G87" s="544">
        <f t="shared" si="20"/>
        <v>90</v>
      </c>
      <c r="H87" s="544">
        <f t="shared" si="20"/>
        <v>87.5</v>
      </c>
      <c r="I87" s="544">
        <f t="shared" si="20"/>
        <v>85</v>
      </c>
      <c r="J87" s="544">
        <f t="shared" si="20"/>
        <v>82.5</v>
      </c>
      <c r="K87" s="544">
        <f t="shared" si="20"/>
        <v>80</v>
      </c>
      <c r="L87" s="544">
        <f t="shared" si="20"/>
        <v>77.5</v>
      </c>
      <c r="M87" s="544">
        <f t="shared" si="20"/>
        <v>75</v>
      </c>
      <c r="N87" s="1155"/>
      <c r="O87" s="1155"/>
      <c r="P87" s="2626"/>
      <c r="Q87" s="504"/>
    </row>
    <row r="88" spans="1:17" s="117" customFormat="1" ht="15.75" thickTop="1">
      <c r="A88" s="579"/>
      <c r="B88" s="538" t="str">
        <f>B26</f>
        <v>平面位置/可视性</v>
      </c>
      <c r="C88" s="2994" t="s">
        <v>3350</v>
      </c>
      <c r="D88" s="2994" t="s">
        <v>3351</v>
      </c>
      <c r="E88" s="2994" t="s">
        <v>3352</v>
      </c>
      <c r="F88" s="2631"/>
      <c r="G88" s="554"/>
      <c r="H88" s="554"/>
      <c r="I88" s="554"/>
      <c r="J88" s="554"/>
      <c r="K88" s="554"/>
      <c r="L88" s="554"/>
      <c r="M88" s="581"/>
      <c r="N88" s="1153"/>
      <c r="O88" s="1153"/>
      <c r="P88" s="2626"/>
      <c r="Q88" s="504"/>
    </row>
    <row r="89" spans="1:17" s="117" customFormat="1" ht="15.75" thickBot="1">
      <c r="A89" s="579"/>
      <c r="B89" s="543"/>
      <c r="C89" s="560">
        <v>100</v>
      </c>
      <c r="D89" s="536">
        <v>97</v>
      </c>
      <c r="E89" s="536">
        <v>94</v>
      </c>
      <c r="F89" s="536"/>
      <c r="G89" s="536"/>
      <c r="H89" s="536"/>
      <c r="I89" s="536"/>
      <c r="J89" s="536"/>
      <c r="K89" s="536"/>
      <c r="L89" s="536"/>
      <c r="M89" s="536"/>
      <c r="N89" s="1155"/>
      <c r="O89" s="1155"/>
      <c r="P89" s="2626"/>
      <c r="Q89" s="504"/>
    </row>
    <row r="90" spans="1:17" s="471" customFormat="1" ht="15.75" thickTop="1">
      <c r="A90" s="553"/>
      <c r="B90" s="538" t="str">
        <f>B27</f>
        <v>人流量</v>
      </c>
      <c r="C90" s="2994" t="s">
        <v>3353</v>
      </c>
      <c r="D90" s="2994" t="s">
        <v>3355</v>
      </c>
      <c r="E90" s="2994" t="s">
        <v>3352</v>
      </c>
      <c r="F90" s="554"/>
      <c r="G90" s="554"/>
      <c r="H90" s="555"/>
      <c r="I90" s="555"/>
      <c r="J90" s="555"/>
      <c r="K90" s="555"/>
      <c r="L90" s="556"/>
      <c r="M90" s="557"/>
      <c r="N90" s="1156"/>
      <c r="O90" s="1156"/>
      <c r="P90" s="2627"/>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6"/>
      <c r="O91" s="1156"/>
      <c r="P91" s="2627"/>
      <c r="Q91" s="559"/>
    </row>
    <row r="92" spans="1:17" ht="15.75" thickTop="1">
      <c r="A92" s="534"/>
      <c r="B92" s="538" t="str">
        <f>B28</f>
        <v>楼层</v>
      </c>
      <c r="C92" s="554" t="s">
        <v>3371</v>
      </c>
      <c r="D92" s="554"/>
      <c r="E92" s="554"/>
      <c r="F92" s="554"/>
      <c r="G92" s="554"/>
      <c r="H92" s="554"/>
      <c r="I92" s="554"/>
      <c r="J92" s="554"/>
      <c r="K92" s="554"/>
      <c r="L92" s="580"/>
      <c r="M92" s="581"/>
      <c r="N92" s="1154"/>
      <c r="O92" s="1154"/>
      <c r="P92" s="2626"/>
      <c r="Q92" s="504"/>
    </row>
    <row r="93" spans="1:17" ht="15.75" thickBot="1">
      <c r="A93" s="534"/>
      <c r="B93" s="543"/>
      <c r="C93" s="536">
        <v>100</v>
      </c>
      <c r="D93" s="536"/>
      <c r="E93" s="536"/>
      <c r="F93" s="536"/>
      <c r="G93" s="536"/>
      <c r="H93" s="536"/>
      <c r="I93" s="536"/>
      <c r="J93" s="536"/>
      <c r="K93" s="536"/>
      <c r="L93" s="536"/>
      <c r="M93" s="537"/>
      <c r="N93" s="1155"/>
      <c r="O93" s="1155"/>
      <c r="P93" s="2626"/>
      <c r="Q93" s="504"/>
    </row>
    <row r="94" spans="1:17" ht="15.75" thickTop="1">
      <c r="A94" s="534"/>
      <c r="B94" s="538" t="str">
        <f>B29</f>
        <v>餐饮</v>
      </c>
      <c r="C94" s="554"/>
      <c r="D94" s="554"/>
      <c r="E94" s="554"/>
      <c r="F94" s="554"/>
      <c r="G94" s="583"/>
      <c r="H94" s="583"/>
      <c r="I94" s="583"/>
      <c r="J94" s="583"/>
      <c r="K94" s="584"/>
      <c r="L94" s="585"/>
      <c r="M94" s="586"/>
      <c r="N94" s="1154"/>
      <c r="O94" s="1154"/>
      <c r="P94" s="2626"/>
      <c r="Q94" s="504"/>
    </row>
    <row r="95" spans="1:17" ht="15.75" thickBot="1">
      <c r="A95" s="534"/>
      <c r="B95" s="543"/>
      <c r="C95" s="560"/>
      <c r="D95" s="536"/>
      <c r="E95" s="536"/>
      <c r="F95" s="536"/>
      <c r="G95" s="536"/>
      <c r="H95" s="536"/>
      <c r="I95" s="536"/>
      <c r="J95" s="536"/>
      <c r="K95" s="536"/>
      <c r="L95" s="536"/>
      <c r="M95" s="537"/>
      <c r="N95" s="1155"/>
      <c r="O95" s="1155"/>
      <c r="P95" s="2626"/>
      <c r="Q95" s="504"/>
    </row>
    <row r="96" spans="1:17" ht="15.75" thickTop="1">
      <c r="A96" s="534"/>
      <c r="B96" s="538">
        <f>B30</f>
        <v>111</v>
      </c>
      <c r="C96" s="554"/>
      <c r="D96" s="554"/>
      <c r="E96" s="554"/>
      <c r="F96" s="554"/>
      <c r="G96" s="583"/>
      <c r="H96" s="583"/>
      <c r="I96" s="583"/>
      <c r="J96" s="583"/>
      <c r="K96" s="584"/>
      <c r="L96" s="585"/>
      <c r="M96" s="586"/>
      <c r="N96" s="1154"/>
      <c r="O96" s="1154"/>
      <c r="P96" s="2626"/>
      <c r="Q96" s="504"/>
    </row>
    <row r="97" spans="1:17" ht="15.75" thickBot="1">
      <c r="A97" s="534"/>
      <c r="B97" s="543"/>
      <c r="C97" s="560"/>
      <c r="D97" s="536"/>
      <c r="E97" s="536"/>
      <c r="F97" s="536"/>
      <c r="G97" s="536"/>
      <c r="H97" s="536"/>
      <c r="I97" s="536"/>
      <c r="J97" s="536"/>
      <c r="K97" s="536"/>
      <c r="L97" s="536"/>
      <c r="M97" s="537"/>
      <c r="N97" s="1155"/>
      <c r="O97" s="1155"/>
      <c r="P97" s="2626"/>
      <c r="Q97" s="504"/>
    </row>
    <row r="98" spans="1:17" ht="15.75" thickTop="1">
      <c r="A98" s="534"/>
      <c r="B98" s="546">
        <f>B31</f>
        <v>111</v>
      </c>
      <c r="C98" s="554"/>
      <c r="D98" s="554"/>
      <c r="E98" s="554"/>
      <c r="F98" s="554"/>
      <c r="G98" s="587"/>
      <c r="H98" s="587"/>
      <c r="I98" s="587"/>
      <c r="J98" s="587"/>
      <c r="K98" s="588"/>
      <c r="L98" s="589"/>
      <c r="M98" s="590"/>
      <c r="N98" s="1154"/>
      <c r="O98" s="1154"/>
      <c r="P98" s="2626"/>
      <c r="Q98" s="504"/>
    </row>
    <row r="99" spans="1:17" ht="15.75" thickBot="1">
      <c r="A99" s="2632"/>
      <c r="B99" s="569"/>
      <c r="C99" s="570"/>
      <c r="D99" s="570"/>
      <c r="E99" s="570"/>
      <c r="F99" s="570"/>
      <c r="G99" s="591"/>
      <c r="H99" s="591"/>
      <c r="I99" s="591"/>
      <c r="J99" s="591"/>
      <c r="K99" s="591"/>
      <c r="L99" s="591"/>
      <c r="M99" s="592"/>
      <c r="N99" s="1155"/>
      <c r="O99" s="1155"/>
      <c r="P99" s="2626"/>
      <c r="Q99" s="504"/>
    </row>
    <row r="100" spans="1:17">
      <c r="A100" s="527" t="s">
        <v>2561</v>
      </c>
      <c r="B100" s="528" t="s">
        <v>2679</v>
      </c>
      <c r="C100" s="3033" t="s">
        <v>3360</v>
      </c>
      <c r="D100" s="530"/>
      <c r="E100" s="530"/>
      <c r="F100" s="530"/>
      <c r="G100" s="530"/>
      <c r="H100" s="530"/>
      <c r="I100" s="530"/>
      <c r="J100" s="530"/>
      <c r="K100" s="531"/>
      <c r="L100" s="532"/>
      <c r="M100" s="533"/>
      <c r="N100" s="1154"/>
      <c r="O100" s="1154"/>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5"/>
      <c r="O101" s="1155"/>
      <c r="P101" s="2626"/>
      <c r="Q101" s="504"/>
    </row>
    <row r="102" spans="1:17" ht="15.75" thickTop="1">
      <c r="A102" s="534"/>
      <c r="B102" s="538" t="s">
        <v>2611</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26"/>
      <c r="Q102" s="504"/>
    </row>
    <row r="103" spans="1:17" s="471" customFormat="1">
      <c r="A103" s="593"/>
      <c r="B103" s="594"/>
      <c r="C103" s="595">
        <v>0</v>
      </c>
      <c r="D103" s="595">
        <v>100</v>
      </c>
      <c r="E103" s="595">
        <v>200</v>
      </c>
      <c r="F103" s="595">
        <v>300</v>
      </c>
      <c r="G103" s="595"/>
      <c r="H103" s="595"/>
      <c r="I103" s="595"/>
      <c r="J103" s="596"/>
      <c r="K103" s="596"/>
      <c r="L103" s="597"/>
      <c r="M103" s="598"/>
      <c r="N103" s="1156"/>
      <c r="O103" s="1156"/>
      <c r="P103" s="2627"/>
      <c r="Q103" s="559"/>
    </row>
    <row r="104" spans="1:17" s="471" customFormat="1" ht="15.75" thickBot="1">
      <c r="A104" s="553"/>
      <c r="B104" s="543"/>
      <c r="C104" s="560">
        <v>98</v>
      </c>
      <c r="D104" s="536">
        <v>100</v>
      </c>
      <c r="E104" s="536">
        <v>98</v>
      </c>
      <c r="F104" s="536">
        <v>96</v>
      </c>
      <c r="G104" s="536"/>
      <c r="H104" s="536"/>
      <c r="I104" s="536"/>
      <c r="J104" s="536"/>
      <c r="K104" s="536"/>
      <c r="L104" s="536"/>
      <c r="M104" s="537"/>
      <c r="N104" s="1155"/>
      <c r="O104" s="1155"/>
      <c r="P104" s="2627"/>
      <c r="Q104" s="559"/>
    </row>
    <row r="105" spans="1:17" ht="15" thickTop="1">
      <c r="A105" s="599"/>
      <c r="B105" s="538" t="s">
        <v>2612</v>
      </c>
      <c r="C105" s="2994" t="s">
        <v>3370</v>
      </c>
      <c r="D105" s="554"/>
      <c r="E105" s="583"/>
      <c r="F105" s="583"/>
      <c r="G105" s="583"/>
      <c r="H105" s="583"/>
      <c r="I105" s="583"/>
      <c r="J105" s="583"/>
      <c r="K105" s="584"/>
      <c r="L105" s="585"/>
      <c r="M105" s="586"/>
      <c r="N105" s="1154"/>
      <c r="O105" s="1154"/>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5"/>
      <c r="O106" s="1155"/>
      <c r="P106" s="2626"/>
      <c r="Q106" s="504"/>
    </row>
    <row r="107" spans="1:17" ht="15" thickTop="1">
      <c r="A107" s="599"/>
      <c r="B107" s="538" t="s">
        <v>2614</v>
      </c>
      <c r="C107" s="2994" t="s">
        <v>3362</v>
      </c>
      <c r="D107" s="554"/>
      <c r="E107" s="554"/>
      <c r="F107" s="583"/>
      <c r="G107" s="583"/>
      <c r="H107" s="583"/>
      <c r="I107" s="583"/>
      <c r="J107" s="583"/>
      <c r="K107" s="584"/>
      <c r="L107" s="585"/>
      <c r="M107" s="586"/>
      <c r="N107" s="1154"/>
      <c r="O107" s="1154"/>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5"/>
      <c r="O108" s="1155"/>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6"/>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26"/>
      <c r="Q111" s="504"/>
    </row>
    <row r="112" spans="1:17" s="471" customFormat="1" ht="15" thickTop="1">
      <c r="A112" s="593"/>
      <c r="B112" s="538" t="s">
        <v>2616</v>
      </c>
      <c r="C112" s="2994" t="s">
        <v>3363</v>
      </c>
      <c r="D112" s="2994" t="s">
        <v>3365</v>
      </c>
      <c r="E112" s="554"/>
      <c r="F112" s="554"/>
      <c r="G112" s="554"/>
      <c r="H112" s="583"/>
      <c r="I112" s="583"/>
      <c r="J112" s="583"/>
      <c r="K112" s="584"/>
      <c r="L112" s="585"/>
      <c r="M112" s="586"/>
      <c r="N112" s="1156"/>
      <c r="O112" s="1156"/>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27"/>
      <c r="Q113" s="559"/>
    </row>
    <row r="114" spans="1:17" ht="15" thickTop="1">
      <c r="A114" s="599"/>
      <c r="B114" s="538" t="s">
        <v>2680</v>
      </c>
      <c r="C114" s="554"/>
      <c r="D114" s="554"/>
      <c r="E114" s="583"/>
      <c r="F114" s="583"/>
      <c r="G114" s="583"/>
      <c r="H114" s="583"/>
      <c r="I114" s="583"/>
      <c r="J114" s="583"/>
      <c r="K114" s="584"/>
      <c r="L114" s="585"/>
      <c r="M114" s="586"/>
      <c r="N114" s="1154"/>
      <c r="O114" s="1154"/>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6"/>
      <c r="Q115" s="504"/>
    </row>
    <row r="116" spans="1:17" ht="15" thickTop="1">
      <c r="A116" s="599"/>
      <c r="B116" s="538" t="s">
        <v>2681</v>
      </c>
      <c r="C116" s="2994" t="s">
        <v>3367</v>
      </c>
      <c r="D116" s="554"/>
      <c r="E116" s="554"/>
      <c r="F116" s="554"/>
      <c r="G116" s="554"/>
      <c r="H116" s="583"/>
      <c r="I116" s="583"/>
      <c r="J116" s="583"/>
      <c r="K116" s="584"/>
      <c r="L116" s="585"/>
      <c r="M116" s="586"/>
      <c r="N116" s="1154"/>
      <c r="O116" s="1154"/>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5"/>
      <c r="O117" s="1155"/>
      <c r="P117" s="2626"/>
      <c r="Q117" s="504"/>
    </row>
    <row r="118" spans="1:17" ht="15" thickTop="1">
      <c r="A118" s="599"/>
      <c r="B118" s="538" t="s">
        <v>2682</v>
      </c>
      <c r="C118" s="626"/>
      <c r="D118" s="626"/>
      <c r="E118" s="626"/>
      <c r="F118" s="626"/>
      <c r="G118" s="626"/>
      <c r="H118" s="555"/>
      <c r="I118" s="555"/>
      <c r="J118" s="555"/>
      <c r="K118" s="555"/>
      <c r="L118" s="556"/>
      <c r="M118" s="557"/>
      <c r="N118" s="1154"/>
      <c r="O118" s="1154"/>
      <c r="P118" s="2626"/>
      <c r="Q118" s="504"/>
    </row>
    <row r="119" spans="1:17" ht="15.75" thickBot="1">
      <c r="A119" s="534"/>
      <c r="B119" s="543"/>
      <c r="C119" s="560"/>
      <c r="D119" s="536"/>
      <c r="E119" s="536"/>
      <c r="F119" s="536"/>
      <c r="G119" s="536"/>
      <c r="H119" s="536"/>
      <c r="I119" s="536"/>
      <c r="J119" s="536"/>
      <c r="K119" s="536"/>
      <c r="L119" s="536"/>
      <c r="M119" s="537"/>
      <c r="N119" s="1155"/>
      <c r="O119" s="1155"/>
      <c r="P119" s="2626"/>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7"/>
      <c r="Q121" s="559"/>
    </row>
    <row r="122" spans="1:17" ht="15" thickTop="1">
      <c r="A122" s="599"/>
      <c r="B122" s="538" t="s">
        <v>2618</v>
      </c>
      <c r="C122" s="2994" t="s">
        <v>3369</v>
      </c>
      <c r="D122" s="554"/>
      <c r="E122" s="554"/>
      <c r="F122" s="583"/>
      <c r="G122" s="583"/>
      <c r="H122" s="583"/>
      <c r="I122" s="583"/>
      <c r="J122" s="583"/>
      <c r="K122" s="584"/>
      <c r="L122" s="585"/>
      <c r="M122" s="586"/>
      <c r="N122" s="1154"/>
      <c r="O122" s="1154"/>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5"/>
      <c r="O123" s="1155"/>
      <c r="P123" s="262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5"/>
      <c r="O125" s="1155"/>
      <c r="P125" s="2626"/>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7"/>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7"/>
      <c r="Q127" s="559"/>
    </row>
    <row r="128" spans="1:17" ht="15" thickTop="1">
      <c r="A128" s="599"/>
      <c r="B128" s="538">
        <f>B45</f>
        <v>111</v>
      </c>
      <c r="C128" s="554"/>
      <c r="D128" s="554"/>
      <c r="E128" s="554"/>
      <c r="F128" s="554"/>
      <c r="G128" s="583"/>
      <c r="H128" s="583"/>
      <c r="I128" s="583"/>
      <c r="J128" s="583"/>
      <c r="K128" s="584"/>
      <c r="L128" s="585"/>
      <c r="M128" s="586"/>
      <c r="N128" s="1154"/>
      <c r="O128" s="1154"/>
      <c r="P128" s="2626"/>
      <c r="Q128" s="504"/>
    </row>
    <row r="129" spans="1:17" ht="15.75" thickBot="1">
      <c r="A129" s="534"/>
      <c r="B129" s="543"/>
      <c r="C129" s="560"/>
      <c r="D129" s="536"/>
      <c r="E129" s="536"/>
      <c r="F129" s="536"/>
      <c r="G129" s="536"/>
      <c r="H129" s="536"/>
      <c r="I129" s="536"/>
      <c r="J129" s="536"/>
      <c r="K129" s="536"/>
      <c r="L129" s="536"/>
      <c r="M129" s="537"/>
      <c r="N129" s="1155"/>
      <c r="O129" s="1155"/>
      <c r="P129" s="2626"/>
      <c r="Q129" s="504"/>
    </row>
    <row r="130" spans="1:17" ht="15" thickTop="1">
      <c r="A130" s="599"/>
      <c r="B130" s="546">
        <f>B46</f>
        <v>111</v>
      </c>
      <c r="C130" s="554"/>
      <c r="D130" s="554"/>
      <c r="E130" s="554"/>
      <c r="F130" s="554"/>
      <c r="G130" s="587"/>
      <c r="H130" s="587"/>
      <c r="I130" s="587"/>
      <c r="J130" s="587"/>
      <c r="K130" s="523"/>
      <c r="L130" s="524"/>
      <c r="M130" s="590"/>
      <c r="N130" s="1154"/>
      <c r="O130" s="1154"/>
      <c r="P130" s="2626"/>
      <c r="Q130" s="504"/>
    </row>
    <row r="131" spans="1:17" ht="15.75" thickBot="1">
      <c r="A131" s="2632"/>
      <c r="B131" s="569"/>
      <c r="C131" s="570"/>
      <c r="D131" s="570"/>
      <c r="E131" s="570"/>
      <c r="F131" s="570"/>
      <c r="G131" s="591"/>
      <c r="H131" s="591"/>
      <c r="I131" s="591"/>
      <c r="J131" s="591"/>
      <c r="K131" s="591"/>
      <c r="L131" s="591"/>
      <c r="M131" s="592"/>
      <c r="N131" s="1155"/>
      <c r="O131" s="1155"/>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5" t="s">
        <v>2684</v>
      </c>
      <c r="C1" s="1620" t="s">
        <v>2528</v>
      </c>
      <c r="D1" s="1621"/>
      <c r="E1" s="1630"/>
      <c r="F1" s="2580"/>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20" t="e">
        <f ca="1">IF(C2="——",ROUND(C50*D3/10000,0),ROUND(C50*D3/10000,0)-D2)</f>
        <v>#DIV/0!</v>
      </c>
      <c r="C2" s="2582"/>
      <c r="D2" s="1367" t="e">
        <f ca="1">SUMIF(INDIRECT("'"&amp;F2&amp;"'"&amp;"!A:A"),"承租人权益价值",INDIRECT("'"&amp;F2&amp;"'"&amp;"!c:c"))</f>
        <v>#REF!</v>
      </c>
      <c r="E2" s="2583" t="s">
        <v>2326</v>
      </c>
      <c r="F2" s="258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2526.41</v>
      </c>
      <c r="E3" s="265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304" t="s">
        <v>2649</v>
      </c>
      <c r="Q4" s="3305"/>
      <c r="R4" s="3299" t="s">
        <v>2645</v>
      </c>
      <c r="S4" s="3300"/>
      <c r="T4" s="3299" t="s">
        <v>2646</v>
      </c>
      <c r="U4" s="3300"/>
      <c r="V4" s="3308" t="s">
        <v>2647</v>
      </c>
      <c r="W4" s="3308"/>
      <c r="X4" s="2666"/>
      <c r="Y4" s="3299" t="s">
        <v>2649</v>
      </c>
      <c r="Z4" s="3300"/>
      <c r="AA4" s="3298" t="s">
        <v>2645</v>
      </c>
      <c r="AB4" s="3298" t="s">
        <v>2646</v>
      </c>
      <c r="AC4" s="3301" t="s">
        <v>2647</v>
      </c>
    </row>
    <row r="5" spans="1:29" ht="15">
      <c r="A5" s="404"/>
      <c r="B5" s="405"/>
      <c r="C5" s="3261" t="s">
        <v>2540</v>
      </c>
      <c r="D5" s="3262"/>
      <c r="E5" s="3259" t="s">
        <v>2541</v>
      </c>
      <c r="F5" s="3260"/>
      <c r="G5" s="3261" t="s">
        <v>2542</v>
      </c>
      <c r="H5" s="3262"/>
      <c r="I5" s="3261" t="s">
        <v>2543</v>
      </c>
      <c r="J5" s="3262"/>
      <c r="K5" s="610"/>
      <c r="L5" s="1132"/>
      <c r="M5" s="1133"/>
      <c r="N5" s="1133"/>
      <c r="O5" s="1133"/>
      <c r="P5" s="3306"/>
      <c r="Q5" s="3275"/>
      <c r="R5" s="3257"/>
      <c r="S5" s="3258"/>
      <c r="T5" s="3257"/>
      <c r="U5" s="3258"/>
      <c r="V5" s="3280"/>
      <c r="W5" s="3280"/>
      <c r="X5" s="1807"/>
      <c r="Y5" s="3257"/>
      <c r="Z5" s="3258"/>
      <c r="AA5" s="3251"/>
      <c r="AB5" s="3251"/>
      <c r="AC5" s="3302"/>
    </row>
    <row r="6" spans="1:29" ht="15.75" thickBot="1">
      <c r="A6" s="406"/>
      <c r="B6" s="407"/>
      <c r="C6" s="3263" t="s">
        <v>2544</v>
      </c>
      <c r="D6" s="3264"/>
      <c r="E6" s="3265" t="s">
        <v>2544</v>
      </c>
      <c r="F6" s="3266"/>
      <c r="G6" s="3263" t="s">
        <v>2544</v>
      </c>
      <c r="H6" s="3264"/>
      <c r="I6" s="3263" t="s">
        <v>2544</v>
      </c>
      <c r="J6" s="3264"/>
      <c r="K6" s="610" t="s">
        <v>2545</v>
      </c>
      <c r="L6" s="1132"/>
      <c r="M6" s="1133"/>
      <c r="N6" s="1133"/>
      <c r="O6" s="1133"/>
      <c r="P6" s="3307"/>
      <c r="Q6" s="3277"/>
      <c r="R6" s="3257"/>
      <c r="S6" s="3258"/>
      <c r="T6" s="3278"/>
      <c r="U6" s="3279"/>
      <c r="V6" s="3280"/>
      <c r="W6" s="3280"/>
      <c r="X6" s="1807"/>
      <c r="Y6" s="3278"/>
      <c r="Z6" s="3279"/>
      <c r="AA6" s="3252"/>
      <c r="AB6" s="3252"/>
      <c r="AC6" s="3303"/>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9" t="s">
        <v>2547</v>
      </c>
      <c r="Q7" s="3281"/>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2667"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9" t="s">
        <v>2550</v>
      </c>
      <c r="Q8" s="3254"/>
      <c r="R8" s="769" t="s">
        <v>17</v>
      </c>
      <c r="S8" s="770">
        <f t="shared" si="0"/>
        <v>0</v>
      </c>
      <c r="T8" s="769" t="s">
        <v>17</v>
      </c>
      <c r="U8" s="770">
        <f t="shared" si="1"/>
        <v>0</v>
      </c>
      <c r="V8" s="769" t="s">
        <v>17</v>
      </c>
      <c r="W8" s="770">
        <f t="shared" si="2"/>
        <v>0</v>
      </c>
      <c r="X8" s="771"/>
      <c r="Y8" s="3253" t="s">
        <v>2550</v>
      </c>
      <c r="Z8" s="3254"/>
      <c r="AA8" s="772" t="e">
        <f t="shared" ref="AA8:AA47" si="3">D8/F8</f>
        <v>#DIV/0!</v>
      </c>
      <c r="AB8" s="772" t="e">
        <f t="shared" ref="AB8:AB47" si="4">D8/H8</f>
        <v>#DIV/0!</v>
      </c>
      <c r="AC8" s="2667"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67" t="s">
        <v>2553</v>
      </c>
      <c r="Q9" s="1789" t="str">
        <f t="shared" ref="Q9:Q15" si="6">B9</f>
        <v>用途</v>
      </c>
      <c r="R9" s="769" t="s">
        <v>17</v>
      </c>
      <c r="S9" s="770">
        <f t="shared" si="0"/>
        <v>100</v>
      </c>
      <c r="T9" s="769" t="s">
        <v>17</v>
      </c>
      <c r="U9" s="770">
        <f t="shared" si="1"/>
        <v>100</v>
      </c>
      <c r="V9" s="769" t="s">
        <v>17</v>
      </c>
      <c r="W9" s="770">
        <f t="shared" si="2"/>
        <v>100</v>
      </c>
      <c r="X9" s="771"/>
      <c r="Y9" s="3100" t="s">
        <v>2554</v>
      </c>
      <c r="Z9" s="55" t="str">
        <f t="shared" ref="Z9:Z15" si="7">Q9</f>
        <v>用途</v>
      </c>
      <c r="AA9" s="772">
        <f t="shared" si="3"/>
        <v>1</v>
      </c>
      <c r="AB9" s="772">
        <f t="shared" si="4"/>
        <v>1</v>
      </c>
      <c r="AC9" s="266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67"/>
      <c r="Q10" s="1789"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2667">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67"/>
      <c r="Q11" s="1789"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4"/>
      <c r="M12" s="1135"/>
      <c r="N12" s="1135"/>
      <c r="O12" s="1135"/>
      <c r="P12" s="3267"/>
      <c r="Q12" s="1789">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2"/>
      <c r="M13" s="1133"/>
      <c r="N13" s="1133"/>
      <c r="O13" s="1133"/>
      <c r="P13" s="3267"/>
      <c r="Q13" s="1789">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2667">
        <f t="shared" si="5"/>
        <v>1</v>
      </c>
    </row>
    <row r="14" spans="1:29" ht="15.75" thickBot="1">
      <c r="A14" s="436"/>
      <c r="B14" s="2598">
        <v>111</v>
      </c>
      <c r="C14" s="437"/>
      <c r="D14" s="438">
        <v>100</v>
      </c>
      <c r="E14" s="627"/>
      <c r="F14" s="438">
        <f>SUMIF(75:75,E14,76:76)-SUMIF(75:75,C14,76:76)+100</f>
        <v>100</v>
      </c>
      <c r="G14" s="2668"/>
      <c r="H14" s="438">
        <f>SUMIF(75:75,G14,76:76)-SUMIF(75:75,C14,76:76)+100</f>
        <v>100</v>
      </c>
      <c r="I14" s="432"/>
      <c r="J14" s="438">
        <f>SUMIF(75:75,I14,76:76)-SUMIF(75:75,C14,76:76)+100</f>
        <v>100</v>
      </c>
      <c r="K14" s="613"/>
      <c r="L14" s="1142"/>
      <c r="M14" s="1133"/>
      <c r="N14" s="1133"/>
      <c r="O14" s="1133"/>
      <c r="P14" s="3267"/>
      <c r="Q14" s="1789">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2667">
        <f t="shared" si="5"/>
        <v>1</v>
      </c>
    </row>
    <row r="15" spans="1:29" ht="71.25">
      <c r="A15" s="440" t="s">
        <v>2557</v>
      </c>
      <c r="B15" s="628" t="s">
        <v>2685</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94" t="s">
        <v>2558</v>
      </c>
      <c r="Q15" s="1804" t="str">
        <f t="shared" si="6"/>
        <v>办公集聚程度</v>
      </c>
      <c r="R15" s="773" t="s">
        <v>17</v>
      </c>
      <c r="S15" s="774">
        <f t="shared" si="0"/>
        <v>100</v>
      </c>
      <c r="T15" s="773" t="s">
        <v>17</v>
      </c>
      <c r="U15" s="774">
        <f t="shared" si="1"/>
        <v>100</v>
      </c>
      <c r="V15" s="773" t="s">
        <v>17</v>
      </c>
      <c r="W15" s="774">
        <f t="shared" si="2"/>
        <v>100</v>
      </c>
      <c r="X15" s="1807"/>
      <c r="Y15" s="3287" t="s">
        <v>2558</v>
      </c>
      <c r="Z15" s="1808" t="str">
        <f t="shared" si="7"/>
        <v>办公集聚程度</v>
      </c>
      <c r="AA15" s="1805">
        <f t="shared" si="3"/>
        <v>1</v>
      </c>
      <c r="AB15" s="1805">
        <f t="shared" si="4"/>
        <v>1</v>
      </c>
      <c r="AC15" s="2670">
        <f t="shared" si="5"/>
        <v>1</v>
      </c>
    </row>
    <row r="16" spans="1:29" ht="15">
      <c r="A16" s="428"/>
      <c r="B16" s="629"/>
      <c r="C16" s="2607"/>
      <c r="D16" s="448"/>
      <c r="E16" s="447"/>
      <c r="F16" s="448"/>
      <c r="G16" s="2607"/>
      <c r="H16" s="450"/>
      <c r="I16" s="447"/>
      <c r="J16" s="448"/>
      <c r="K16" s="615"/>
      <c r="L16" s="1142"/>
      <c r="M16" s="1133"/>
      <c r="N16" s="1133"/>
      <c r="O16" s="1133"/>
      <c r="P16" s="3295"/>
      <c r="Q16" s="1804"/>
      <c r="R16" s="773"/>
      <c r="S16" s="774"/>
      <c r="T16" s="773"/>
      <c r="U16" s="774"/>
      <c r="V16" s="773"/>
      <c r="W16" s="774"/>
      <c r="X16" s="1807"/>
      <c r="Y16" s="3288"/>
      <c r="Z16" s="1808"/>
      <c r="AA16" s="1805">
        <v>1</v>
      </c>
      <c r="AB16" s="1805">
        <v>1</v>
      </c>
      <c r="AC16" s="2670">
        <v>1</v>
      </c>
    </row>
    <row r="17" spans="1:29" ht="171">
      <c r="A17" s="428"/>
      <c r="B17" s="630" t="s">
        <v>2094</v>
      </c>
      <c r="C17" s="2671" t="str">
        <f>估价对象房地状况!C6</f>
        <v>估价对象周边2公里范围内有18路、123路、413路、635路、916路等公交线路，南距地铁二号线东直门站及东直门交通枢纽约1公里，公交便捷度较好、停车便捷程度较好，综合评价交通便捷度较好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95"/>
      <c r="Q17" s="1804" t="str">
        <f>B17</f>
        <v>交通便捷度</v>
      </c>
      <c r="R17" s="773" t="s">
        <v>17</v>
      </c>
      <c r="S17" s="774">
        <f>F17</f>
        <v>100</v>
      </c>
      <c r="T17" s="773" t="s">
        <v>17</v>
      </c>
      <c r="U17" s="774">
        <f>H17</f>
        <v>100</v>
      </c>
      <c r="V17" s="773" t="s">
        <v>17</v>
      </c>
      <c r="W17" s="774">
        <f>J17</f>
        <v>100</v>
      </c>
      <c r="X17" s="1807"/>
      <c r="Y17" s="3288"/>
      <c r="Z17" s="1808" t="str">
        <f>Q17</f>
        <v>交通便捷度</v>
      </c>
      <c r="AA17" s="1805">
        <f t="shared" si="3"/>
        <v>1</v>
      </c>
      <c r="AB17" s="1805">
        <f t="shared" si="4"/>
        <v>1</v>
      </c>
      <c r="AC17" s="2670">
        <f t="shared" si="5"/>
        <v>1</v>
      </c>
    </row>
    <row r="18" spans="1:29" ht="15">
      <c r="A18" s="428"/>
      <c r="B18" s="631"/>
      <c r="C18" s="2672"/>
      <c r="D18" s="450"/>
      <c r="E18" s="2605"/>
      <c r="F18" s="450"/>
      <c r="G18" s="2606"/>
      <c r="H18" s="448"/>
      <c r="I18" s="2606"/>
      <c r="J18" s="448"/>
      <c r="K18" s="615"/>
      <c r="L18" s="1142"/>
      <c r="M18" s="1133"/>
      <c r="N18" s="1133"/>
      <c r="O18" s="1133"/>
      <c r="P18" s="3295"/>
      <c r="Q18" s="1804"/>
      <c r="R18" s="773"/>
      <c r="S18" s="774"/>
      <c r="T18" s="773"/>
      <c r="U18" s="774"/>
      <c r="V18" s="773"/>
      <c r="W18" s="774"/>
      <c r="X18" s="1807"/>
      <c r="Y18" s="3288"/>
      <c r="Z18" s="1808"/>
      <c r="AA18" s="1805">
        <v>1</v>
      </c>
      <c r="AB18" s="1805">
        <v>1</v>
      </c>
      <c r="AC18" s="2670">
        <v>1</v>
      </c>
    </row>
    <row r="19" spans="1:29" ht="185.25">
      <c r="A19" s="428"/>
      <c r="B19" s="630" t="s">
        <v>2686</v>
      </c>
      <c r="C19" s="2671" t="str">
        <f>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95"/>
      <c r="Q19" s="1804" t="str">
        <f>B19</f>
        <v>公共配套设施</v>
      </c>
      <c r="R19" s="773" t="s">
        <v>17</v>
      </c>
      <c r="S19" s="774">
        <f>F19</f>
        <v>100</v>
      </c>
      <c r="T19" s="773" t="s">
        <v>17</v>
      </c>
      <c r="U19" s="774">
        <f>H19</f>
        <v>100</v>
      </c>
      <c r="V19" s="773" t="s">
        <v>17</v>
      </c>
      <c r="W19" s="774">
        <f>J19</f>
        <v>100</v>
      </c>
      <c r="X19" s="1807"/>
      <c r="Y19" s="3288"/>
      <c r="Z19" s="1808" t="str">
        <f>Q19</f>
        <v>公共配套设施</v>
      </c>
      <c r="AA19" s="1805">
        <f t="shared" si="3"/>
        <v>1</v>
      </c>
      <c r="AB19" s="1805">
        <f t="shared" si="4"/>
        <v>1</v>
      </c>
      <c r="AC19" s="2670">
        <f t="shared" si="5"/>
        <v>1</v>
      </c>
    </row>
    <row r="20" spans="1:29" ht="15">
      <c r="A20" s="428"/>
      <c r="B20" s="631"/>
      <c r="C20" s="2607"/>
      <c r="D20" s="448"/>
      <c r="E20" s="2600"/>
      <c r="F20" s="448"/>
      <c r="G20" s="2601"/>
      <c r="H20" s="448"/>
      <c r="I20" s="2601"/>
      <c r="J20" s="448"/>
      <c r="K20" s="615"/>
      <c r="L20" s="1142"/>
      <c r="M20" s="1133"/>
      <c r="N20" s="1133"/>
      <c r="O20" s="1133"/>
      <c r="P20" s="3295"/>
      <c r="Q20" s="1804"/>
      <c r="R20" s="773"/>
      <c r="S20" s="774"/>
      <c r="T20" s="773"/>
      <c r="U20" s="774"/>
      <c r="V20" s="773"/>
      <c r="W20" s="774"/>
      <c r="X20" s="1807"/>
      <c r="Y20" s="3288"/>
      <c r="Z20" s="1808"/>
      <c r="AA20" s="1805">
        <v>1</v>
      </c>
      <c r="AB20" s="1805">
        <v>1</v>
      </c>
      <c r="AC20" s="2670">
        <v>1</v>
      </c>
    </row>
    <row r="21" spans="1:29" ht="42.75">
      <c r="A21" s="428"/>
      <c r="B21" s="632" t="s">
        <v>2687</v>
      </c>
      <c r="C21" s="2671" t="str">
        <f>估价对象房地状况!C8</f>
        <v>估价对象所在区域基础设施水平好（七通）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95"/>
      <c r="Q21" s="1804" t="str">
        <f>B21</f>
        <v>基础设施水平</v>
      </c>
      <c r="R21" s="773" t="s">
        <v>17</v>
      </c>
      <c r="S21" s="774">
        <f>F21</f>
        <v>100</v>
      </c>
      <c r="T21" s="773" t="s">
        <v>17</v>
      </c>
      <c r="U21" s="774">
        <f>H21</f>
        <v>100</v>
      </c>
      <c r="V21" s="773" t="s">
        <v>17</v>
      </c>
      <c r="W21" s="774">
        <f>J21</f>
        <v>100</v>
      </c>
      <c r="X21" s="1807"/>
      <c r="Y21" s="3288"/>
      <c r="Z21" s="1808" t="str">
        <f>Q21</f>
        <v>基础设施水平</v>
      </c>
      <c r="AA21" s="1805">
        <f t="shared" ref="AA21" si="8">D21/F21</f>
        <v>1</v>
      </c>
      <c r="AB21" s="1805">
        <f t="shared" ref="AB21" si="9">D21/H21</f>
        <v>1</v>
      </c>
      <c r="AC21" s="2670">
        <f t="shared" ref="AC21" si="10">D21/J21</f>
        <v>1</v>
      </c>
    </row>
    <row r="22" spans="1:29" ht="15">
      <c r="A22" s="428"/>
      <c r="B22" s="632"/>
      <c r="C22" s="2672"/>
      <c r="D22" s="448"/>
      <c r="E22" s="447"/>
      <c r="F22" s="448"/>
      <c r="G22" s="2607"/>
      <c r="H22" s="448"/>
      <c r="I22" s="2607"/>
      <c r="J22" s="448"/>
      <c r="K22" s="1385"/>
      <c r="L22" s="1142"/>
      <c r="M22" s="1133"/>
      <c r="N22" s="1133"/>
      <c r="O22" s="1133"/>
      <c r="P22" s="3295"/>
      <c r="Q22" s="1804"/>
      <c r="R22" s="773"/>
      <c r="S22" s="774"/>
      <c r="T22" s="773"/>
      <c r="U22" s="774"/>
      <c r="V22" s="773"/>
      <c r="W22" s="774"/>
      <c r="X22" s="1807"/>
      <c r="Y22" s="3288"/>
      <c r="Z22" s="1808"/>
      <c r="AA22" s="1805">
        <v>1</v>
      </c>
      <c r="AB22" s="1805">
        <v>1</v>
      </c>
      <c r="AC22" s="2670">
        <v>1</v>
      </c>
    </row>
    <row r="23" spans="1:29" ht="85.5">
      <c r="A23" s="428"/>
      <c r="B23" s="630" t="s">
        <v>2688</v>
      </c>
      <c r="C23" s="2671" t="str">
        <f>估价对象房地状况!C9</f>
        <v>区域自然环境：芳沁园、南馆公园；人文环境：北京电大朝阳分校等教育机构；综合评价环境状况较好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95"/>
      <c r="Q23" s="1804" t="str">
        <f>B23</f>
        <v>环境质量</v>
      </c>
      <c r="R23" s="773" t="s">
        <v>17</v>
      </c>
      <c r="S23" s="774">
        <f>F23</f>
        <v>100</v>
      </c>
      <c r="T23" s="773" t="s">
        <v>17</v>
      </c>
      <c r="U23" s="774">
        <f>H23</f>
        <v>100</v>
      </c>
      <c r="V23" s="773" t="s">
        <v>17</v>
      </c>
      <c r="W23" s="774">
        <f>J23</f>
        <v>100</v>
      </c>
      <c r="X23" s="1807"/>
      <c r="Y23" s="3288"/>
      <c r="Z23" s="1808" t="str">
        <f>Q23</f>
        <v>环境质量</v>
      </c>
      <c r="AA23" s="1805">
        <f t="shared" si="3"/>
        <v>1</v>
      </c>
      <c r="AB23" s="1805">
        <f t="shared" si="4"/>
        <v>1</v>
      </c>
      <c r="AC23" s="2670">
        <f t="shared" si="5"/>
        <v>1</v>
      </c>
    </row>
    <row r="24" spans="1:29" ht="15">
      <c r="A24" s="428"/>
      <c r="B24" s="632"/>
      <c r="C24" s="2607"/>
      <c r="D24" s="448"/>
      <c r="E24" s="2600"/>
      <c r="F24" s="448"/>
      <c r="G24" s="2601"/>
      <c r="H24" s="448"/>
      <c r="I24" s="2601"/>
      <c r="J24" s="448"/>
      <c r="K24" s="615"/>
      <c r="L24" s="1142"/>
      <c r="M24" s="1133"/>
      <c r="N24" s="1133"/>
      <c r="O24" s="1133"/>
      <c r="P24" s="3295"/>
      <c r="Q24" s="1804"/>
      <c r="R24" s="773"/>
      <c r="S24" s="774"/>
      <c r="T24" s="773"/>
      <c r="U24" s="774"/>
      <c r="V24" s="773"/>
      <c r="W24" s="774"/>
      <c r="X24" s="1807"/>
      <c r="Y24" s="3288"/>
      <c r="Z24" s="1808"/>
      <c r="AA24" s="1805">
        <v>1</v>
      </c>
      <c r="AB24" s="1805">
        <v>1</v>
      </c>
      <c r="AC24" s="2670">
        <v>1</v>
      </c>
    </row>
    <row r="25" spans="1:29" ht="27">
      <c r="A25" s="404"/>
      <c r="B25" s="630" t="s">
        <v>2689</v>
      </c>
      <c r="C25" s="2611"/>
      <c r="D25" s="435">
        <v>100</v>
      </c>
      <c r="E25" s="434"/>
      <c r="F25" s="435">
        <f>SUMIF(87:87,E26,88:88)-SUMIF(87:87,C26,88:88)+100</f>
        <v>100</v>
      </c>
      <c r="G25" s="2611"/>
      <c r="H25" s="435">
        <f>SUMIF(87:87,G26,88:88)-SUMIF(87:87,C26,88:88)+100</f>
        <v>100</v>
      </c>
      <c r="I25" s="434"/>
      <c r="J25" s="435">
        <f>SUMIF(87:87,I26,88:88)-SUMIF(87:87,C26,88:88)+100</f>
        <v>100</v>
      </c>
      <c r="K25" s="614"/>
      <c r="L25" s="1142"/>
      <c r="M25" s="1133"/>
      <c r="N25" s="1133"/>
      <c r="O25" s="1133"/>
      <c r="P25" s="3295"/>
      <c r="Q25" s="1804" t="str">
        <f>B25</f>
        <v>毗邻道路的类型与等级</v>
      </c>
      <c r="R25" s="773" t="s">
        <v>17</v>
      </c>
      <c r="S25" s="774">
        <f>F25</f>
        <v>100</v>
      </c>
      <c r="T25" s="773" t="s">
        <v>17</v>
      </c>
      <c r="U25" s="774">
        <f>H25</f>
        <v>100</v>
      </c>
      <c r="V25" s="773" t="s">
        <v>17</v>
      </c>
      <c r="W25" s="774">
        <f>J25</f>
        <v>100</v>
      </c>
      <c r="X25" s="1807"/>
      <c r="Y25" s="3288"/>
      <c r="Z25" s="1808" t="str">
        <f>Q25</f>
        <v>毗邻道路的类型与等级</v>
      </c>
      <c r="AA25" s="1805">
        <f t="shared" si="3"/>
        <v>1</v>
      </c>
      <c r="AB25" s="1805">
        <f t="shared" si="4"/>
        <v>1</v>
      </c>
      <c r="AC25" s="2670">
        <f t="shared" si="5"/>
        <v>1</v>
      </c>
    </row>
    <row r="26" spans="1:29" ht="15">
      <c r="A26" s="404"/>
      <c r="B26" s="631"/>
      <c r="C26" s="633"/>
      <c r="D26" s="435"/>
      <c r="E26" s="616"/>
      <c r="F26" s="435"/>
      <c r="G26" s="633"/>
      <c r="H26" s="435"/>
      <c r="I26" s="616"/>
      <c r="J26" s="435"/>
      <c r="K26" s="615"/>
      <c r="L26" s="1142"/>
      <c r="M26" s="1133"/>
      <c r="N26" s="1133"/>
      <c r="O26" s="1133"/>
      <c r="P26" s="3295"/>
      <c r="Q26" s="1804"/>
      <c r="R26" s="773"/>
      <c r="S26" s="774"/>
      <c r="T26" s="773"/>
      <c r="U26" s="774"/>
      <c r="V26" s="773"/>
      <c r="W26" s="774"/>
      <c r="X26" s="1807"/>
      <c r="Y26" s="3288"/>
      <c r="Z26" s="1808"/>
      <c r="AA26" s="1805">
        <v>1</v>
      </c>
      <c r="AB26" s="1805">
        <v>1</v>
      </c>
      <c r="AC26" s="2670">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95"/>
      <c r="Q27" s="1804" t="str">
        <f t="shared" ref="Q27:Q47" si="11">B27</f>
        <v>楼层</v>
      </c>
      <c r="R27" s="773" t="s">
        <v>17</v>
      </c>
      <c r="S27" s="774">
        <f>F27</f>
        <v>100</v>
      </c>
      <c r="T27" s="773" t="s">
        <v>17</v>
      </c>
      <c r="U27" s="774">
        <f>H27</f>
        <v>100</v>
      </c>
      <c r="V27" s="773" t="s">
        <v>17</v>
      </c>
      <c r="W27" s="774">
        <f>J27</f>
        <v>100</v>
      </c>
      <c r="X27" s="1807"/>
      <c r="Y27" s="3288"/>
      <c r="Z27" s="1808" t="str">
        <f>Q27</f>
        <v>楼层</v>
      </c>
      <c r="AA27" s="1805">
        <f t="shared" si="3"/>
        <v>1</v>
      </c>
      <c r="AB27" s="1805">
        <f t="shared" si="4"/>
        <v>1</v>
      </c>
      <c r="AC27" s="2670">
        <f t="shared" si="5"/>
        <v>1</v>
      </c>
    </row>
    <row r="28" spans="1:29" s="117" customFormat="1" ht="15">
      <c r="A28" s="431"/>
      <c r="B28" s="630" t="s">
        <v>2690</v>
      </c>
      <c r="C28" s="2673"/>
      <c r="D28" s="462">
        <v>100</v>
      </c>
      <c r="E28" s="2661"/>
      <c r="F28" s="462">
        <f>SUMIF(91:91,E28,92:92)-SUMIF(91:91,C28,92:92)+100</f>
        <v>100</v>
      </c>
      <c r="G28" s="2673"/>
      <c r="H28" s="462">
        <f>SUMIF(91:91,G28,92:92)-SUMIF(91:91,C28,92:92)+100</f>
        <v>100</v>
      </c>
      <c r="I28" s="2661"/>
      <c r="J28" s="462">
        <f>SUMIF(91:91,I28,92:92)-SUMIF(91:91,C28,92:92)+100</f>
        <v>100</v>
      </c>
      <c r="K28" s="612"/>
      <c r="L28" s="1134"/>
      <c r="M28" s="1135"/>
      <c r="N28" s="1135"/>
      <c r="O28" s="1135"/>
      <c r="P28" s="3295"/>
      <c r="Q28" s="1789" t="str">
        <f t="shared" si="11"/>
        <v>朝向</v>
      </c>
      <c r="R28" s="769" t="s">
        <v>17</v>
      </c>
      <c r="S28" s="770">
        <f>F28</f>
        <v>100</v>
      </c>
      <c r="T28" s="769" t="s">
        <v>17</v>
      </c>
      <c r="U28" s="770">
        <f>H28</f>
        <v>100</v>
      </c>
      <c r="V28" s="769" t="s">
        <v>17</v>
      </c>
      <c r="W28" s="770">
        <f>J28</f>
        <v>100</v>
      </c>
      <c r="X28" s="771"/>
      <c r="Y28" s="3288"/>
      <c r="Z28" s="55" t="str">
        <f>Q28</f>
        <v>朝向</v>
      </c>
      <c r="AA28" s="1805">
        <f>D28/F28</f>
        <v>1</v>
      </c>
      <c r="AB28" s="1805">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2"/>
      <c r="M29" s="1133"/>
      <c r="N29" s="1133"/>
      <c r="O29" s="1133"/>
      <c r="P29" s="3295"/>
      <c r="Q29" s="1804">
        <f t="shared" si="11"/>
        <v>111</v>
      </c>
      <c r="R29" s="773" t="s">
        <v>17</v>
      </c>
      <c r="S29" s="774">
        <f t="shared" ref="S29:S47" si="12">F29</f>
        <v>100</v>
      </c>
      <c r="T29" s="773" t="s">
        <v>17</v>
      </c>
      <c r="U29" s="774">
        <f t="shared" ref="U29:U47" si="13">H29</f>
        <v>100</v>
      </c>
      <c r="V29" s="773" t="s">
        <v>17</v>
      </c>
      <c r="W29" s="774">
        <f t="shared" ref="W29:W47" si="14">J29</f>
        <v>100</v>
      </c>
      <c r="X29" s="1807"/>
      <c r="Y29" s="3288"/>
      <c r="Z29" s="1808">
        <f t="shared" ref="Z29:Z47" si="15">Q29</f>
        <v>111</v>
      </c>
      <c r="AA29" s="1805">
        <f t="shared" si="3"/>
        <v>1</v>
      </c>
      <c r="AB29" s="1805">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2"/>
      <c r="M30" s="1133"/>
      <c r="N30" s="1133"/>
      <c r="O30" s="1133"/>
      <c r="P30" s="3295"/>
      <c r="Q30" s="1804">
        <f t="shared" si="11"/>
        <v>111</v>
      </c>
      <c r="R30" s="773" t="s">
        <v>17</v>
      </c>
      <c r="S30" s="774">
        <f t="shared" si="12"/>
        <v>100</v>
      </c>
      <c r="T30" s="773" t="s">
        <v>17</v>
      </c>
      <c r="U30" s="774">
        <f t="shared" si="13"/>
        <v>100</v>
      </c>
      <c r="V30" s="773" t="s">
        <v>17</v>
      </c>
      <c r="W30" s="774">
        <f t="shared" si="14"/>
        <v>100</v>
      </c>
      <c r="X30" s="1807"/>
      <c r="Y30" s="3288"/>
      <c r="Z30" s="1808">
        <f t="shared" si="15"/>
        <v>111</v>
      </c>
      <c r="AA30" s="1805">
        <f t="shared" si="3"/>
        <v>1</v>
      </c>
      <c r="AB30" s="1805">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2"/>
      <c r="M31" s="1133"/>
      <c r="N31" s="1133"/>
      <c r="O31" s="1133"/>
      <c r="P31" s="3295"/>
      <c r="Q31" s="1804">
        <f t="shared" si="11"/>
        <v>111</v>
      </c>
      <c r="R31" s="773" t="s">
        <v>17</v>
      </c>
      <c r="S31" s="774">
        <f t="shared" si="12"/>
        <v>100</v>
      </c>
      <c r="T31" s="773" t="s">
        <v>17</v>
      </c>
      <c r="U31" s="774">
        <f t="shared" si="13"/>
        <v>100</v>
      </c>
      <c r="V31" s="773" t="s">
        <v>17</v>
      </c>
      <c r="W31" s="774">
        <f t="shared" si="14"/>
        <v>100</v>
      </c>
      <c r="X31" s="1807"/>
      <c r="Y31" s="3288"/>
      <c r="Z31" s="1808">
        <f t="shared" si="15"/>
        <v>111</v>
      </c>
      <c r="AA31" s="1805">
        <f t="shared" si="3"/>
        <v>1</v>
      </c>
      <c r="AB31" s="1805">
        <f t="shared" si="4"/>
        <v>1</v>
      </c>
      <c r="AC31" s="2670">
        <f t="shared" si="5"/>
        <v>1</v>
      </c>
    </row>
    <row r="32" spans="1:29" ht="15.75" thickBot="1">
      <c r="A32" s="436"/>
      <c r="B32" s="634">
        <v>111</v>
      </c>
      <c r="C32" s="2612"/>
      <c r="D32" s="438">
        <v>100</v>
      </c>
      <c r="E32" s="627"/>
      <c r="F32" s="438">
        <f>SUMIF(99:99,E32,100:100)-SUMIF(99:99,C32,100:100)+100</f>
        <v>100</v>
      </c>
      <c r="G32" s="2668"/>
      <c r="H32" s="438">
        <f>SUMIF(99:99,G32,100:100)-SUMIF(99:99,C32,100:100)+100</f>
        <v>100</v>
      </c>
      <c r="I32" s="432"/>
      <c r="J32" s="438">
        <f>SUMIF(99:99,I32,100:100)-SUMIF(99:99,C32,100:100)+100</f>
        <v>100</v>
      </c>
      <c r="K32" s="613"/>
      <c r="L32" s="1142"/>
      <c r="M32" s="1133"/>
      <c r="N32" s="1133"/>
      <c r="O32" s="1133"/>
      <c r="P32" s="3295"/>
      <c r="Q32" s="1804">
        <f t="shared" si="11"/>
        <v>111</v>
      </c>
      <c r="R32" s="773" t="s">
        <v>17</v>
      </c>
      <c r="S32" s="774">
        <f t="shared" si="12"/>
        <v>100</v>
      </c>
      <c r="T32" s="773" t="s">
        <v>17</v>
      </c>
      <c r="U32" s="774">
        <f t="shared" si="13"/>
        <v>100</v>
      </c>
      <c r="V32" s="773" t="s">
        <v>17</v>
      </c>
      <c r="W32" s="774">
        <f t="shared" si="14"/>
        <v>100</v>
      </c>
      <c r="X32" s="1807"/>
      <c r="Y32" s="3288"/>
      <c r="Z32" s="1808">
        <f t="shared" si="15"/>
        <v>111</v>
      </c>
      <c r="AA32" s="1805">
        <f t="shared" si="3"/>
        <v>1</v>
      </c>
      <c r="AB32" s="1805">
        <f t="shared" si="4"/>
        <v>1</v>
      </c>
      <c r="AC32" s="2670">
        <f t="shared" si="5"/>
        <v>1</v>
      </c>
    </row>
    <row r="33" spans="1:29" ht="15">
      <c r="A33" s="440" t="s">
        <v>2561</v>
      </c>
      <c r="B33" s="71" t="s">
        <v>2691</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2"/>
      <c r="M33" s="1133"/>
      <c r="N33" s="1133"/>
      <c r="O33" s="1133"/>
      <c r="P33" s="3289" t="s">
        <v>2563</v>
      </c>
      <c r="Q33" s="1804" t="str">
        <f t="shared" si="11"/>
        <v>建筑类型</v>
      </c>
      <c r="R33" s="773" t="s">
        <v>17</v>
      </c>
      <c r="S33" s="774">
        <f t="shared" si="12"/>
        <v>100</v>
      </c>
      <c r="T33" s="773" t="s">
        <v>17</v>
      </c>
      <c r="U33" s="774">
        <f t="shared" si="13"/>
        <v>100</v>
      </c>
      <c r="V33" s="773" t="s">
        <v>17</v>
      </c>
      <c r="W33" s="774">
        <f t="shared" si="14"/>
        <v>100</v>
      </c>
      <c r="X33" s="1807"/>
      <c r="Y33" s="3292" t="s">
        <v>2563</v>
      </c>
      <c r="Z33" s="1808" t="str">
        <f t="shared" si="15"/>
        <v>建筑类型</v>
      </c>
      <c r="AA33" s="1805">
        <f t="shared" si="3"/>
        <v>1</v>
      </c>
      <c r="AB33" s="1805">
        <f t="shared" si="4"/>
        <v>1</v>
      </c>
      <c r="AC33" s="2670">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90"/>
      <c r="Q34" s="775" t="str">
        <f t="shared" si="11"/>
        <v>项目建筑规模</v>
      </c>
      <c r="R34" s="776" t="s">
        <v>17</v>
      </c>
      <c r="S34" s="777" t="e">
        <f t="shared" si="12"/>
        <v>#N/A</v>
      </c>
      <c r="T34" s="776" t="s">
        <v>17</v>
      </c>
      <c r="U34" s="777" t="e">
        <f t="shared" si="13"/>
        <v>#N/A</v>
      </c>
      <c r="V34" s="776" t="s">
        <v>17</v>
      </c>
      <c r="W34" s="777" t="e">
        <f t="shared" si="14"/>
        <v>#N/A</v>
      </c>
      <c r="X34" s="778"/>
      <c r="Y34" s="3292"/>
      <c r="Z34" s="779" t="str">
        <f t="shared" si="15"/>
        <v>项目建筑规模</v>
      </c>
      <c r="AA34" s="1805" t="e">
        <f t="shared" si="3"/>
        <v>#N/A</v>
      </c>
      <c r="AB34" s="1805" t="e">
        <f t="shared" si="4"/>
        <v>#N/A</v>
      </c>
      <c r="AC34" s="2670"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90"/>
      <c r="Q35" s="1804" t="str">
        <f t="shared" si="11"/>
        <v>建筑结构</v>
      </c>
      <c r="R35" s="773" t="s">
        <v>17</v>
      </c>
      <c r="S35" s="774">
        <f t="shared" si="12"/>
        <v>100</v>
      </c>
      <c r="T35" s="773" t="s">
        <v>17</v>
      </c>
      <c r="U35" s="774">
        <f t="shared" si="13"/>
        <v>100</v>
      </c>
      <c r="V35" s="773" t="s">
        <v>17</v>
      </c>
      <c r="W35" s="774">
        <f t="shared" si="14"/>
        <v>100</v>
      </c>
      <c r="X35" s="1807"/>
      <c r="Y35" s="3292"/>
      <c r="Z35" s="1808" t="str">
        <f t="shared" si="15"/>
        <v>建筑结构</v>
      </c>
      <c r="AA35" s="1805">
        <f t="shared" si="3"/>
        <v>1</v>
      </c>
      <c r="AB35" s="1805">
        <f t="shared" si="4"/>
        <v>1</v>
      </c>
      <c r="AC35" s="267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90"/>
      <c r="Q36" s="1804" t="str">
        <f t="shared" si="11"/>
        <v>公共部分装修</v>
      </c>
      <c r="R36" s="773" t="s">
        <v>17</v>
      </c>
      <c r="S36" s="774">
        <f t="shared" si="12"/>
        <v>100</v>
      </c>
      <c r="T36" s="773" t="s">
        <v>17</v>
      </c>
      <c r="U36" s="774">
        <f t="shared" si="13"/>
        <v>100</v>
      </c>
      <c r="V36" s="773" t="s">
        <v>17</v>
      </c>
      <c r="W36" s="774">
        <f t="shared" si="14"/>
        <v>100</v>
      </c>
      <c r="X36" s="1807"/>
      <c r="Y36" s="3292"/>
      <c r="Z36" s="1808" t="str">
        <f t="shared" si="15"/>
        <v>公共部分装修</v>
      </c>
      <c r="AA36" s="1805">
        <f t="shared" si="3"/>
        <v>1</v>
      </c>
      <c r="AB36" s="1805">
        <f t="shared" si="4"/>
        <v>1</v>
      </c>
      <c r="AC36" s="2670">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90"/>
      <c r="Q37" s="1804" t="str">
        <f t="shared" si="11"/>
        <v>成新度</v>
      </c>
      <c r="R37" s="773" t="s">
        <v>17</v>
      </c>
      <c r="S37" s="774" t="e">
        <f t="shared" si="12"/>
        <v>#N/A</v>
      </c>
      <c r="T37" s="773" t="s">
        <v>17</v>
      </c>
      <c r="U37" s="774" t="e">
        <f t="shared" si="13"/>
        <v>#N/A</v>
      </c>
      <c r="V37" s="773" t="s">
        <v>17</v>
      </c>
      <c r="W37" s="774" t="e">
        <f t="shared" si="14"/>
        <v>#N/A</v>
      </c>
      <c r="X37" s="1807"/>
      <c r="Y37" s="3292"/>
      <c r="Z37" s="1808" t="str">
        <f t="shared" si="15"/>
        <v>成新度</v>
      </c>
      <c r="AA37" s="1805" t="e">
        <f t="shared" si="3"/>
        <v>#N/A</v>
      </c>
      <c r="AB37" s="1805" t="e">
        <f t="shared" si="4"/>
        <v>#N/A</v>
      </c>
      <c r="AC37" s="2670"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90"/>
      <c r="Q38" s="1789" t="str">
        <f t="shared" si="11"/>
        <v>写字楼等级</v>
      </c>
      <c r="R38" s="769" t="s">
        <v>17</v>
      </c>
      <c r="S38" s="770">
        <f t="shared" si="12"/>
        <v>100</v>
      </c>
      <c r="T38" s="769" t="s">
        <v>17</v>
      </c>
      <c r="U38" s="770">
        <f t="shared" si="13"/>
        <v>100</v>
      </c>
      <c r="V38" s="769" t="s">
        <v>17</v>
      </c>
      <c r="W38" s="770">
        <f t="shared" si="14"/>
        <v>100</v>
      </c>
      <c r="X38" s="771"/>
      <c r="Y38" s="3292"/>
      <c r="Z38" s="55" t="str">
        <f t="shared" si="15"/>
        <v>写字楼等级</v>
      </c>
      <c r="AA38" s="772">
        <f t="shared" si="3"/>
        <v>1</v>
      </c>
      <c r="AB38" s="772">
        <f t="shared" si="4"/>
        <v>1</v>
      </c>
      <c r="AC38" s="266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90" t="s">
        <v>2563</v>
      </c>
      <c r="Q39" s="1804" t="str">
        <f t="shared" si="11"/>
        <v>物业管理</v>
      </c>
      <c r="R39" s="773" t="s">
        <v>17</v>
      </c>
      <c r="S39" s="774">
        <f t="shared" si="12"/>
        <v>100</v>
      </c>
      <c r="T39" s="773" t="s">
        <v>17</v>
      </c>
      <c r="U39" s="774">
        <f t="shared" si="13"/>
        <v>100</v>
      </c>
      <c r="V39" s="773" t="s">
        <v>17</v>
      </c>
      <c r="W39" s="774">
        <f t="shared" si="14"/>
        <v>100</v>
      </c>
      <c r="X39" s="1807"/>
      <c r="Y39" s="3292" t="s">
        <v>2563</v>
      </c>
      <c r="Z39" s="1808" t="str">
        <f t="shared" si="15"/>
        <v>物业管理</v>
      </c>
      <c r="AA39" s="1805">
        <f t="shared" si="3"/>
        <v>1</v>
      </c>
      <c r="AB39" s="1805">
        <f t="shared" si="4"/>
        <v>1</v>
      </c>
      <c r="AC39" s="267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90"/>
      <c r="Q40" s="1804" t="str">
        <f t="shared" si="11"/>
        <v>市政基础设施</v>
      </c>
      <c r="R40" s="773" t="s">
        <v>17</v>
      </c>
      <c r="S40" s="774">
        <f t="shared" si="12"/>
        <v>100</v>
      </c>
      <c r="T40" s="773" t="s">
        <v>17</v>
      </c>
      <c r="U40" s="774">
        <f t="shared" si="13"/>
        <v>100</v>
      </c>
      <c r="V40" s="773" t="s">
        <v>17</v>
      </c>
      <c r="W40" s="774">
        <f t="shared" si="14"/>
        <v>100</v>
      </c>
      <c r="X40" s="1807"/>
      <c r="Y40" s="3292"/>
      <c r="Z40" s="1808" t="str">
        <f t="shared" si="15"/>
        <v>市政基础设施</v>
      </c>
      <c r="AA40" s="1805">
        <f t="shared" si="3"/>
        <v>1</v>
      </c>
      <c r="AB40" s="1805">
        <f t="shared" si="4"/>
        <v>1</v>
      </c>
      <c r="AC40" s="267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90"/>
      <c r="Q41" s="1804" t="str">
        <f t="shared" si="11"/>
        <v>层高</v>
      </c>
      <c r="R41" s="773" t="s">
        <v>17</v>
      </c>
      <c r="S41" s="774">
        <f t="shared" si="12"/>
        <v>100</v>
      </c>
      <c r="T41" s="773" t="s">
        <v>17</v>
      </c>
      <c r="U41" s="774">
        <f t="shared" si="13"/>
        <v>100</v>
      </c>
      <c r="V41" s="773" t="s">
        <v>17</v>
      </c>
      <c r="W41" s="774">
        <f t="shared" si="14"/>
        <v>100</v>
      </c>
      <c r="X41" s="1807"/>
      <c r="Y41" s="3292"/>
      <c r="Z41" s="1808" t="str">
        <f t="shared" si="15"/>
        <v>层高</v>
      </c>
      <c r="AA41" s="1805">
        <f t="shared" si="3"/>
        <v>1</v>
      </c>
      <c r="AB41" s="1805">
        <f t="shared" si="4"/>
        <v>1</v>
      </c>
      <c r="AC41" s="2670">
        <f t="shared" si="5"/>
        <v>1</v>
      </c>
    </row>
    <row r="42" spans="1:29" s="471" customFormat="1" ht="15">
      <c r="A42" s="468"/>
      <c r="B42" s="180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90"/>
      <c r="Q42" s="775" t="str">
        <f t="shared" si="11"/>
        <v>单套建筑面积</v>
      </c>
      <c r="R42" s="776" t="s">
        <v>17</v>
      </c>
      <c r="S42" s="777">
        <f t="shared" si="12"/>
        <v>100</v>
      </c>
      <c r="T42" s="776" t="s">
        <v>17</v>
      </c>
      <c r="U42" s="777">
        <f t="shared" si="13"/>
        <v>100</v>
      </c>
      <c r="V42" s="776" t="s">
        <v>17</v>
      </c>
      <c r="W42" s="777">
        <f t="shared" si="14"/>
        <v>100</v>
      </c>
      <c r="X42" s="778"/>
      <c r="Y42" s="3292"/>
      <c r="Z42" s="779" t="str">
        <f t="shared" si="15"/>
        <v>单套建筑面积</v>
      </c>
      <c r="AA42" s="1805">
        <f t="shared" si="3"/>
        <v>1</v>
      </c>
      <c r="AB42" s="1805">
        <f t="shared" si="4"/>
        <v>1</v>
      </c>
      <c r="AC42" s="267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90"/>
      <c r="Q43" s="1804" t="str">
        <f t="shared" si="11"/>
        <v>内部装修</v>
      </c>
      <c r="R43" s="773" t="s">
        <v>17</v>
      </c>
      <c r="S43" s="774">
        <f t="shared" si="12"/>
        <v>100</v>
      </c>
      <c r="T43" s="773" t="s">
        <v>17</v>
      </c>
      <c r="U43" s="774">
        <f t="shared" si="13"/>
        <v>100</v>
      </c>
      <c r="V43" s="773" t="s">
        <v>17</v>
      </c>
      <c r="W43" s="774">
        <f t="shared" si="14"/>
        <v>100</v>
      </c>
      <c r="X43" s="1807"/>
      <c r="Y43" s="3292"/>
      <c r="Z43" s="1808" t="str">
        <f t="shared" si="15"/>
        <v>内部装修</v>
      </c>
      <c r="AA43" s="1805">
        <f t="shared" si="3"/>
        <v>1</v>
      </c>
      <c r="AB43" s="1805">
        <f t="shared" si="4"/>
        <v>1</v>
      </c>
      <c r="AC43" s="2670">
        <f t="shared" si="5"/>
        <v>1</v>
      </c>
    </row>
    <row r="44" spans="1:29" ht="15">
      <c r="A44" s="472"/>
      <c r="B44" s="422" t="s">
        <v>2574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2"/>
      <c r="M44" s="1133"/>
      <c r="N44" s="1133"/>
      <c r="O44" s="1133"/>
      <c r="P44" s="3290"/>
      <c r="Q44" s="1804" t="str">
        <f t="shared" si="11"/>
        <v>内部装修维护情况</v>
      </c>
      <c r="R44" s="773" t="s">
        <v>17</v>
      </c>
      <c r="S44" s="774">
        <f t="shared" si="12"/>
        <v>100</v>
      </c>
      <c r="T44" s="773" t="s">
        <v>17</v>
      </c>
      <c r="U44" s="774">
        <f t="shared" si="13"/>
        <v>100</v>
      </c>
      <c r="V44" s="773" t="s">
        <v>17</v>
      </c>
      <c r="W44" s="774">
        <f t="shared" si="14"/>
        <v>100</v>
      </c>
      <c r="X44" s="1807"/>
      <c r="Y44" s="3292"/>
      <c r="Z44" s="1808" t="str">
        <f t="shared" si="15"/>
        <v>内部装修维护情况</v>
      </c>
      <c r="AA44" s="1805">
        <f t="shared" si="3"/>
        <v>1</v>
      </c>
      <c r="AB44" s="1805">
        <f t="shared" si="4"/>
        <v>1</v>
      </c>
      <c r="AC44" s="267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90"/>
      <c r="Q45" s="1789">
        <f t="shared" si="11"/>
        <v>111</v>
      </c>
      <c r="R45" s="769" t="s">
        <v>17</v>
      </c>
      <c r="S45" s="770">
        <f t="shared" si="12"/>
        <v>100</v>
      </c>
      <c r="T45" s="769" t="s">
        <v>17</v>
      </c>
      <c r="U45" s="770">
        <f t="shared" si="13"/>
        <v>100</v>
      </c>
      <c r="V45" s="769" t="s">
        <v>17</v>
      </c>
      <c r="W45" s="770">
        <f t="shared" si="14"/>
        <v>100</v>
      </c>
      <c r="X45" s="771"/>
      <c r="Y45" s="3292"/>
      <c r="Z45" s="55">
        <f t="shared" si="15"/>
        <v>111</v>
      </c>
      <c r="AA45" s="772">
        <f t="shared" si="3"/>
        <v>1</v>
      </c>
      <c r="AB45" s="772">
        <f t="shared" si="4"/>
        <v>1</v>
      </c>
      <c r="AC45" s="266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90"/>
      <c r="Q46" s="1804">
        <f t="shared" si="11"/>
        <v>111</v>
      </c>
      <c r="R46" s="773" t="s">
        <v>17</v>
      </c>
      <c r="S46" s="774">
        <f t="shared" si="12"/>
        <v>100</v>
      </c>
      <c r="T46" s="773" t="s">
        <v>17</v>
      </c>
      <c r="U46" s="774">
        <f t="shared" si="13"/>
        <v>100</v>
      </c>
      <c r="V46" s="773" t="s">
        <v>17</v>
      </c>
      <c r="W46" s="774">
        <f t="shared" si="14"/>
        <v>100</v>
      </c>
      <c r="X46" s="1807"/>
      <c r="Y46" s="3292"/>
      <c r="Z46" s="1808">
        <f t="shared" si="15"/>
        <v>111</v>
      </c>
      <c r="AA46" s="1805">
        <f t="shared" si="3"/>
        <v>1</v>
      </c>
      <c r="AB46" s="1805">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91"/>
      <c r="Q47" s="1804">
        <f t="shared" si="11"/>
        <v>111</v>
      </c>
      <c r="R47" s="773" t="s">
        <v>17</v>
      </c>
      <c r="S47" s="774">
        <f t="shared" si="12"/>
        <v>100</v>
      </c>
      <c r="T47" s="773" t="s">
        <v>17</v>
      </c>
      <c r="U47" s="774">
        <f t="shared" si="13"/>
        <v>100</v>
      </c>
      <c r="V47" s="773" t="s">
        <v>17</v>
      </c>
      <c r="W47" s="774">
        <f t="shared" si="14"/>
        <v>100</v>
      </c>
      <c r="X47" s="1807"/>
      <c r="Y47" s="3293"/>
      <c r="Z47" s="1808">
        <f t="shared" si="15"/>
        <v>111</v>
      </c>
      <c r="AA47" s="1805">
        <f t="shared" si="3"/>
        <v>1</v>
      </c>
      <c r="AB47" s="1805">
        <f t="shared" si="4"/>
        <v>1</v>
      </c>
      <c r="AC47" s="2670">
        <f t="shared" si="5"/>
        <v>1</v>
      </c>
    </row>
    <row r="48" spans="1:29" ht="15">
      <c r="A48" s="479" t="s">
        <v>2575</v>
      </c>
      <c r="B48" s="480"/>
      <c r="C48" s="1409" t="s">
        <v>1</v>
      </c>
      <c r="D48" s="1410"/>
      <c r="E48" s="1411"/>
      <c r="F48" s="1412"/>
      <c r="G48" s="1413"/>
      <c r="H48" s="1414"/>
      <c r="I48" s="1411"/>
      <c r="J48" s="485"/>
      <c r="K48" s="782"/>
      <c r="L48" s="1145"/>
      <c r="M48" s="1133"/>
      <c r="N48" s="1133"/>
      <c r="O48" s="1133"/>
      <c r="P48" s="3267" t="str">
        <f>A48</f>
        <v>成交单价（元/平方米）</v>
      </c>
      <c r="Q48" s="3285"/>
      <c r="R48" s="3286">
        <f>E48</f>
        <v>0</v>
      </c>
      <c r="S48" s="3286"/>
      <c r="T48" s="3286">
        <f>G48</f>
        <v>0</v>
      </c>
      <c r="U48" s="3286"/>
      <c r="V48" s="3286">
        <f>I48</f>
        <v>0</v>
      </c>
      <c r="W48" s="3286"/>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67" t="str">
        <f>A49</f>
        <v>比较价值（元/平方米）</v>
      </c>
      <c r="Q49" s="328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10" t="str">
        <f>A50</f>
        <v>估价对象XX用房的比较价值（楼面单价，元/平方米）</v>
      </c>
      <c r="Q50" s="3311"/>
      <c r="R50" s="3312" t="e">
        <f>IF(F1="售价",ROUND(AVERAGE(R49:V49),0),ROUND(AVERAGE(R49:V49),1))</f>
        <v>#DIV/0!</v>
      </c>
      <c r="S50" s="3312"/>
      <c r="T50" s="3312"/>
      <c r="U50" s="3312"/>
      <c r="V50" s="3312"/>
      <c r="W50" s="3312"/>
      <c r="X50" s="2650"/>
      <c r="Y50" s="2650"/>
      <c r="Z50" s="2650"/>
      <c r="AA50" s="2650"/>
      <c r="AB50" s="2650"/>
      <c r="AC50" s="265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6"/>
    </row>
    <row r="56" spans="1:29" s="502" customFormat="1">
      <c r="A56" s="1147"/>
      <c r="B56" s="1148"/>
      <c r="C56" s="1152"/>
      <c r="D56" s="1147"/>
      <c r="E56" s="1147"/>
      <c r="F56" s="1147"/>
      <c r="G56" s="1147"/>
      <c r="H56" s="1147"/>
      <c r="I56" s="1147"/>
      <c r="J56" s="1147"/>
      <c r="K56" s="1150"/>
      <c r="L56" s="1151"/>
      <c r="M56" s="1147"/>
      <c r="N56" s="1147"/>
      <c r="O56" s="1147"/>
      <c r="P56" s="2676"/>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77"/>
      <c r="Q58" s="504"/>
    </row>
    <row r="59" spans="1:29" s="508" customFormat="1" ht="15">
      <c r="A59" s="505" t="s">
        <v>2546</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2583</v>
      </c>
      <c r="B61" s="516"/>
      <c r="C61" s="517"/>
      <c r="D61" s="518"/>
      <c r="E61" s="518"/>
      <c r="F61" s="518"/>
      <c r="G61" s="518"/>
      <c r="H61" s="518"/>
      <c r="I61" s="518"/>
      <c r="J61" s="518"/>
      <c r="K61" s="518"/>
      <c r="L61" s="518"/>
      <c r="M61" s="519"/>
      <c r="N61" s="518"/>
      <c r="O61" s="519"/>
      <c r="P61" s="2678"/>
      <c r="Q61" s="504"/>
    </row>
    <row r="62" spans="1:29" s="117" customFormat="1" ht="15">
      <c r="A62" s="521" t="s">
        <v>2548</v>
      </c>
      <c r="B62" s="510"/>
      <c r="C62" s="522" t="s">
        <v>2650</v>
      </c>
      <c r="D62" s="523"/>
      <c r="E62" s="523"/>
      <c r="F62" s="523"/>
      <c r="G62" s="523"/>
      <c r="H62" s="523"/>
      <c r="I62" s="523"/>
      <c r="J62" s="523"/>
      <c r="K62" s="523"/>
      <c r="L62" s="524"/>
      <c r="M62" s="525"/>
      <c r="N62" s="1153"/>
      <c r="O62" s="1153"/>
      <c r="P62" s="2679"/>
      <c r="Q62" s="504"/>
    </row>
    <row r="63" spans="1:29" s="117" customFormat="1" ht="15.75" thickBot="1">
      <c r="A63" s="521"/>
      <c r="B63" s="510"/>
      <c r="C63" s="511">
        <v>100</v>
      </c>
      <c r="D63" s="512"/>
      <c r="E63" s="512"/>
      <c r="F63" s="512"/>
      <c r="G63" s="512"/>
      <c r="H63" s="512"/>
      <c r="I63" s="512"/>
      <c r="J63" s="512"/>
      <c r="K63" s="512"/>
      <c r="L63" s="512"/>
      <c r="M63" s="514"/>
      <c r="N63" s="1153"/>
      <c r="O63" s="1153"/>
      <c r="P63" s="2678"/>
      <c r="Q63" s="504"/>
    </row>
    <row r="64" spans="1:29">
      <c r="A64" s="527" t="s">
        <v>2586</v>
      </c>
      <c r="B64" s="528" t="s">
        <v>2552</v>
      </c>
      <c r="C64" s="529">
        <f>C9</f>
        <v>0</v>
      </c>
      <c r="D64" s="530"/>
      <c r="E64" s="530"/>
      <c r="F64" s="530"/>
      <c r="G64" s="530"/>
      <c r="H64" s="530"/>
      <c r="I64" s="530"/>
      <c r="J64" s="530"/>
      <c r="K64" s="531"/>
      <c r="L64" s="532"/>
      <c r="M64" s="533"/>
      <c r="N64" s="1154"/>
      <c r="O64" s="1154"/>
      <c r="P64" s="2680"/>
      <c r="Q64" s="504"/>
    </row>
    <row r="65" spans="1:17" ht="15.75" thickBot="1">
      <c r="A65" s="534"/>
      <c r="B65" s="535"/>
      <c r="C65" s="536">
        <v>100</v>
      </c>
      <c r="D65" s="536"/>
      <c r="E65" s="536"/>
      <c r="F65" s="536"/>
      <c r="G65" s="536"/>
      <c r="H65" s="536"/>
      <c r="I65" s="536"/>
      <c r="J65" s="536"/>
      <c r="K65" s="536"/>
      <c r="L65" s="536"/>
      <c r="M65" s="537"/>
      <c r="N65" s="1155"/>
      <c r="O65" s="1155"/>
      <c r="P65" s="268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0"/>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0"/>
      <c r="Q68" s="504"/>
    </row>
    <row r="69" spans="1:17" ht="15">
      <c r="A69" s="534"/>
      <c r="B69" s="548"/>
      <c r="C69" s="549"/>
      <c r="D69" s="549"/>
      <c r="E69" s="549"/>
      <c r="F69" s="549"/>
      <c r="G69" s="549"/>
      <c r="H69" s="549"/>
      <c r="I69" s="549"/>
      <c r="J69" s="549"/>
      <c r="K69" s="550"/>
      <c r="L69" s="551"/>
      <c r="M69" s="552"/>
      <c r="N69" s="1154"/>
      <c r="O69" s="1154"/>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0"/>
      <c r="Q70" s="504"/>
    </row>
    <row r="71" spans="1:17" s="471" customFormat="1" ht="15.75" thickTop="1">
      <c r="A71" s="553"/>
      <c r="B71" s="538">
        <f>B12</f>
        <v>111</v>
      </c>
      <c r="C71" s="554"/>
      <c r="D71" s="554"/>
      <c r="E71" s="554"/>
      <c r="F71" s="554"/>
      <c r="G71" s="554"/>
      <c r="H71" s="555"/>
      <c r="I71" s="555"/>
      <c r="J71" s="555"/>
      <c r="K71" s="555"/>
      <c r="L71" s="556"/>
      <c r="M71" s="557"/>
      <c r="N71" s="1156"/>
      <c r="O71" s="1156"/>
      <c r="P71" s="2681"/>
      <c r="Q71" s="559"/>
    </row>
    <row r="72" spans="1:17" s="471" customFormat="1" ht="15.75" thickBot="1">
      <c r="A72" s="553"/>
      <c r="B72" s="543"/>
      <c r="C72" s="560"/>
      <c r="D72" s="536"/>
      <c r="E72" s="536"/>
      <c r="F72" s="536"/>
      <c r="G72" s="536"/>
      <c r="H72" s="536"/>
      <c r="I72" s="536"/>
      <c r="J72" s="536"/>
      <c r="K72" s="536"/>
      <c r="L72" s="536"/>
      <c r="M72" s="537"/>
      <c r="N72" s="1155"/>
      <c r="O72" s="1155"/>
      <c r="P72" s="2681"/>
      <c r="Q72" s="559"/>
    </row>
    <row r="73" spans="1:17" s="471" customFormat="1" ht="15.75" thickTop="1">
      <c r="A73" s="553"/>
      <c r="B73" s="538">
        <f>B13</f>
        <v>111</v>
      </c>
      <c r="C73" s="554"/>
      <c r="D73" s="554"/>
      <c r="E73" s="554"/>
      <c r="F73" s="554"/>
      <c r="G73" s="554"/>
      <c r="H73" s="555"/>
      <c r="I73" s="555"/>
      <c r="J73" s="555"/>
      <c r="K73" s="555"/>
      <c r="L73" s="556"/>
      <c r="M73" s="557"/>
      <c r="N73" s="1156"/>
      <c r="O73" s="1156"/>
      <c r="P73" s="2682"/>
      <c r="Q73" s="561"/>
    </row>
    <row r="74" spans="1:17" s="471" customFormat="1" ht="15.75" thickBot="1">
      <c r="A74" s="553"/>
      <c r="B74" s="543"/>
      <c r="C74" s="560"/>
      <c r="D74" s="560"/>
      <c r="E74" s="560"/>
      <c r="F74" s="560"/>
      <c r="G74" s="560"/>
      <c r="H74" s="562"/>
      <c r="I74" s="562"/>
      <c r="J74" s="562"/>
      <c r="K74" s="562"/>
      <c r="L74" s="562"/>
      <c r="M74" s="563"/>
      <c r="N74" s="1156"/>
      <c r="O74" s="1156"/>
      <c r="P74" s="2681"/>
      <c r="Q74" s="559"/>
    </row>
    <row r="75" spans="1:17" s="471" customFormat="1" ht="15.75" thickTop="1">
      <c r="A75" s="553"/>
      <c r="B75" s="546">
        <f>B14</f>
        <v>111</v>
      </c>
      <c r="C75" s="523"/>
      <c r="D75" s="523"/>
      <c r="E75" s="523"/>
      <c r="F75" s="523"/>
      <c r="G75" s="523"/>
      <c r="H75" s="564"/>
      <c r="I75" s="564"/>
      <c r="J75" s="564"/>
      <c r="K75" s="564"/>
      <c r="L75" s="565"/>
      <c r="M75" s="566"/>
      <c r="N75" s="1156"/>
      <c r="O75" s="1156"/>
      <c r="P75" s="2683"/>
      <c r="Q75" s="559"/>
    </row>
    <row r="76" spans="1:17" s="471" customFormat="1" ht="15.75" thickBot="1">
      <c r="A76" s="568"/>
      <c r="B76" s="569"/>
      <c r="C76" s="570"/>
      <c r="D76" s="570"/>
      <c r="E76" s="570"/>
      <c r="F76" s="570"/>
      <c r="G76" s="570"/>
      <c r="H76" s="571"/>
      <c r="I76" s="571"/>
      <c r="J76" s="571"/>
      <c r="K76" s="571"/>
      <c r="L76" s="571"/>
      <c r="M76" s="572"/>
      <c r="N76" s="1156"/>
      <c r="O76" s="1156"/>
      <c r="P76" s="268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0"/>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0"/>
      <c r="Q86" s="504"/>
    </row>
    <row r="87" spans="1:17" s="117" customFormat="1" ht="27.75" thickTop="1">
      <c r="A87" s="579"/>
      <c r="B87" s="538" t="s">
        <v>2697</v>
      </c>
      <c r="C87" s="554"/>
      <c r="D87" s="554"/>
      <c r="E87" s="554"/>
      <c r="F87" s="554"/>
      <c r="G87" s="554"/>
      <c r="H87" s="554"/>
      <c r="I87" s="554"/>
      <c r="J87" s="554"/>
      <c r="K87" s="554"/>
      <c r="L87" s="580"/>
      <c r="M87" s="581"/>
      <c r="N87" s="1153"/>
      <c r="O87" s="1153"/>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0"/>
      <c r="Q88" s="504"/>
    </row>
    <row r="89" spans="1:17" s="117" customFormat="1" ht="15.75" thickTop="1">
      <c r="A89" s="579"/>
      <c r="B89" s="538" t="str">
        <f>B27</f>
        <v>楼层</v>
      </c>
      <c r="C89" s="554"/>
      <c r="D89" s="554"/>
      <c r="E89" s="554"/>
      <c r="F89" s="2631"/>
      <c r="G89" s="554"/>
      <c r="H89" s="554"/>
      <c r="I89" s="554"/>
      <c r="J89" s="554"/>
      <c r="K89" s="554"/>
      <c r="L89" s="554"/>
      <c r="M89" s="581"/>
      <c r="N89" s="1153"/>
      <c r="O89" s="1153"/>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0"/>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1"/>
      <c r="Q92" s="559"/>
    </row>
    <row r="93" spans="1:17" ht="15.75" thickTop="1">
      <c r="A93" s="534"/>
      <c r="B93" s="538">
        <f>B29</f>
        <v>111</v>
      </c>
      <c r="C93" s="554"/>
      <c r="D93" s="554"/>
      <c r="E93" s="554"/>
      <c r="F93" s="554"/>
      <c r="G93" s="554"/>
      <c r="H93" s="554"/>
      <c r="I93" s="554"/>
      <c r="J93" s="554"/>
      <c r="K93" s="554"/>
      <c r="L93" s="580"/>
      <c r="M93" s="581"/>
      <c r="N93" s="1154"/>
      <c r="O93" s="1154"/>
      <c r="P93" s="2680"/>
      <c r="Q93" s="504"/>
    </row>
    <row r="94" spans="1:17" ht="15.75" thickBot="1">
      <c r="A94" s="534"/>
      <c r="B94" s="543"/>
      <c r="C94" s="560"/>
      <c r="D94" s="536"/>
      <c r="E94" s="536"/>
      <c r="F94" s="536"/>
      <c r="G94" s="536"/>
      <c r="H94" s="536"/>
      <c r="I94" s="536"/>
      <c r="J94" s="536"/>
      <c r="K94" s="536"/>
      <c r="L94" s="536"/>
      <c r="M94" s="537"/>
      <c r="N94" s="1155"/>
      <c r="O94" s="1155"/>
      <c r="P94" s="2680"/>
      <c r="Q94" s="504"/>
    </row>
    <row r="95" spans="1:17" ht="15.75" thickTop="1">
      <c r="A95" s="534"/>
      <c r="B95" s="538">
        <f>B30</f>
        <v>111</v>
      </c>
      <c r="C95" s="554"/>
      <c r="D95" s="554"/>
      <c r="E95" s="554"/>
      <c r="F95" s="554"/>
      <c r="G95" s="583"/>
      <c r="H95" s="583"/>
      <c r="I95" s="583"/>
      <c r="J95" s="583"/>
      <c r="K95" s="584"/>
      <c r="L95" s="585"/>
      <c r="M95" s="586"/>
      <c r="N95" s="1154"/>
      <c r="O95" s="1154"/>
      <c r="P95" s="2680"/>
      <c r="Q95" s="504"/>
    </row>
    <row r="96" spans="1:17" ht="15.75" thickBot="1">
      <c r="A96" s="534"/>
      <c r="B96" s="543"/>
      <c r="C96" s="560"/>
      <c r="D96" s="560"/>
      <c r="E96" s="560"/>
      <c r="F96" s="560"/>
      <c r="G96" s="536"/>
      <c r="H96" s="536"/>
      <c r="I96" s="536"/>
      <c r="J96" s="536"/>
      <c r="K96" s="536"/>
      <c r="L96" s="536"/>
      <c r="M96" s="537"/>
      <c r="N96" s="1155"/>
      <c r="O96" s="1155"/>
      <c r="P96" s="2680"/>
      <c r="Q96" s="504"/>
    </row>
    <row r="97" spans="1:17" ht="15.75" thickTop="1">
      <c r="A97" s="534"/>
      <c r="B97" s="538">
        <f>B31</f>
        <v>111</v>
      </c>
      <c r="C97" s="554"/>
      <c r="D97" s="554"/>
      <c r="E97" s="554"/>
      <c r="F97" s="554"/>
      <c r="G97" s="583"/>
      <c r="H97" s="583"/>
      <c r="I97" s="583"/>
      <c r="J97" s="583"/>
      <c r="K97" s="584"/>
      <c r="L97" s="585"/>
      <c r="M97" s="586"/>
      <c r="N97" s="1154"/>
      <c r="O97" s="1154"/>
      <c r="P97" s="2680"/>
      <c r="Q97" s="504"/>
    </row>
    <row r="98" spans="1:17" ht="15.75" thickBot="1">
      <c r="A98" s="534"/>
      <c r="B98" s="543"/>
      <c r="C98" s="560"/>
      <c r="D98" s="536"/>
      <c r="E98" s="536"/>
      <c r="F98" s="536"/>
      <c r="G98" s="536"/>
      <c r="H98" s="536"/>
      <c r="I98" s="536"/>
      <c r="J98" s="536"/>
      <c r="K98" s="536"/>
      <c r="L98" s="536"/>
      <c r="M98" s="537"/>
      <c r="N98" s="1155"/>
      <c r="O98" s="1155"/>
      <c r="P98" s="2680"/>
      <c r="Q98" s="504"/>
    </row>
    <row r="99" spans="1:17" ht="15.75" thickTop="1">
      <c r="A99" s="534"/>
      <c r="B99" s="546">
        <f>B32</f>
        <v>111</v>
      </c>
      <c r="C99" s="523"/>
      <c r="D99" s="523"/>
      <c r="E99" s="523"/>
      <c r="F99" s="523"/>
      <c r="G99" s="587"/>
      <c r="H99" s="587"/>
      <c r="I99" s="587"/>
      <c r="J99" s="587"/>
      <c r="K99" s="588"/>
      <c r="L99" s="589"/>
      <c r="M99" s="590"/>
      <c r="N99" s="1154"/>
      <c r="O99" s="1154"/>
      <c r="P99" s="2680"/>
      <c r="Q99" s="504"/>
    </row>
    <row r="100" spans="1:17" ht="15.75" thickBot="1">
      <c r="A100" s="2632"/>
      <c r="B100" s="569"/>
      <c r="C100" s="570"/>
      <c r="D100" s="570"/>
      <c r="E100" s="570"/>
      <c r="F100" s="570"/>
      <c r="G100" s="591"/>
      <c r="H100" s="591"/>
      <c r="I100" s="591"/>
      <c r="J100" s="591"/>
      <c r="K100" s="591"/>
      <c r="L100" s="591"/>
      <c r="M100" s="592"/>
      <c r="N100" s="1155"/>
      <c r="O100" s="1155"/>
      <c r="P100" s="2680"/>
      <c r="Q100" s="504"/>
    </row>
    <row r="101" spans="1:17">
      <c r="A101" s="527" t="s">
        <v>2561</v>
      </c>
      <c r="B101" s="528" t="s">
        <v>2610</v>
      </c>
      <c r="C101" s="530"/>
      <c r="D101" s="530"/>
      <c r="E101" s="530"/>
      <c r="F101" s="530"/>
      <c r="G101" s="530"/>
      <c r="H101" s="530"/>
      <c r="I101" s="530"/>
      <c r="J101" s="530"/>
      <c r="K101" s="531"/>
      <c r="L101" s="532"/>
      <c r="M101" s="533"/>
      <c r="N101" s="1154"/>
      <c r="O101" s="1154"/>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0"/>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0"/>
      <c r="Q103" s="504"/>
    </row>
    <row r="104" spans="1:17" s="471" customFormat="1">
      <c r="A104" s="593"/>
      <c r="B104" s="594"/>
      <c r="C104" s="595"/>
      <c r="D104" s="595"/>
      <c r="E104" s="595"/>
      <c r="F104" s="595"/>
      <c r="G104" s="595"/>
      <c r="H104" s="595"/>
      <c r="I104" s="595"/>
      <c r="J104" s="596"/>
      <c r="K104" s="596"/>
      <c r="L104" s="597"/>
      <c r="M104" s="598"/>
      <c r="N104" s="1156"/>
      <c r="O104" s="1156"/>
      <c r="P104" s="2681"/>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1"/>
      <c r="Q105" s="559"/>
    </row>
    <row r="106" spans="1:17" ht="15" thickTop="1">
      <c r="A106" s="599"/>
      <c r="B106" s="538" t="s">
        <v>2612</v>
      </c>
      <c r="C106" s="554"/>
      <c r="D106" s="554"/>
      <c r="E106" s="583"/>
      <c r="F106" s="583"/>
      <c r="G106" s="583"/>
      <c r="H106" s="583"/>
      <c r="I106" s="583"/>
      <c r="J106" s="583"/>
      <c r="K106" s="584"/>
      <c r="L106" s="585"/>
      <c r="M106" s="586"/>
      <c r="N106" s="1154"/>
      <c r="O106" s="1154"/>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0"/>
      <c r="Q107" s="504"/>
    </row>
    <row r="108" spans="1:17" ht="15" thickTop="1">
      <c r="A108" s="599"/>
      <c r="B108" s="538" t="s">
        <v>2614</v>
      </c>
      <c r="C108" s="554"/>
      <c r="D108" s="554"/>
      <c r="E108" s="554"/>
      <c r="F108" s="583"/>
      <c r="G108" s="583"/>
      <c r="H108" s="583"/>
      <c r="I108" s="583"/>
      <c r="J108" s="583"/>
      <c r="K108" s="584"/>
      <c r="L108" s="585"/>
      <c r="M108" s="586"/>
      <c r="N108" s="1154"/>
      <c r="O108" s="1154"/>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0"/>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0"/>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1"/>
      <c r="Q114" s="559"/>
    </row>
    <row r="115" spans="1:17" ht="15" thickTop="1">
      <c r="A115" s="599"/>
      <c r="B115" s="538" t="s">
        <v>2615</v>
      </c>
      <c r="C115" s="554"/>
      <c r="D115" s="554"/>
      <c r="E115" s="583"/>
      <c r="F115" s="583"/>
      <c r="G115" s="583"/>
      <c r="H115" s="583"/>
      <c r="I115" s="583"/>
      <c r="J115" s="583"/>
      <c r="K115" s="584"/>
      <c r="L115" s="585"/>
      <c r="M115" s="586"/>
      <c r="N115" s="1154"/>
      <c r="O115" s="1154"/>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0"/>
      <c r="Q116" s="504"/>
    </row>
    <row r="117" spans="1:17" ht="15" thickTop="1">
      <c r="A117" s="599"/>
      <c r="B117" s="538" t="s">
        <v>2616</v>
      </c>
      <c r="C117" s="554"/>
      <c r="D117" s="554"/>
      <c r="E117" s="554"/>
      <c r="F117" s="554"/>
      <c r="G117" s="554"/>
      <c r="H117" s="583"/>
      <c r="I117" s="583"/>
      <c r="J117" s="583"/>
      <c r="K117" s="584"/>
      <c r="L117" s="585"/>
      <c r="M117" s="586"/>
      <c r="N117" s="1154"/>
      <c r="O117" s="1154"/>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0"/>
      <c r="Q118" s="504"/>
    </row>
    <row r="119" spans="1:17" ht="15" thickTop="1">
      <c r="A119" s="599"/>
      <c r="B119" s="635" t="s">
        <v>2699</v>
      </c>
      <c r="C119" s="583"/>
      <c r="D119" s="583"/>
      <c r="E119" s="583"/>
      <c r="F119" s="583"/>
      <c r="G119" s="583"/>
      <c r="H119" s="583"/>
      <c r="I119" s="583"/>
      <c r="J119" s="583"/>
      <c r="K119" s="583"/>
      <c r="L119" s="2685"/>
      <c r="M119" s="2686"/>
      <c r="N119" s="1155"/>
      <c r="O119" s="1155"/>
      <c r="P119" s="268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0"/>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1"/>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1"/>
      <c r="Q122" s="559"/>
    </row>
    <row r="123" spans="1:17" ht="15" thickTop="1">
      <c r="A123" s="599"/>
      <c r="B123" s="538" t="s">
        <v>2618</v>
      </c>
      <c r="C123" s="554"/>
      <c r="D123" s="554"/>
      <c r="E123" s="554"/>
      <c r="F123" s="583"/>
      <c r="G123" s="583"/>
      <c r="H123" s="583"/>
      <c r="I123" s="583"/>
      <c r="J123" s="583"/>
      <c r="K123" s="584"/>
      <c r="L123" s="585"/>
      <c r="M123" s="586"/>
      <c r="N123" s="1154"/>
      <c r="O123" s="1154"/>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0"/>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1"/>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1"/>
      <c r="Q128" s="559"/>
    </row>
    <row r="129" spans="1:17" ht="15" thickTop="1">
      <c r="A129" s="599"/>
      <c r="B129" s="538">
        <f>B46</f>
        <v>111</v>
      </c>
      <c r="C129" s="554"/>
      <c r="D129" s="554"/>
      <c r="E129" s="554"/>
      <c r="F129" s="554"/>
      <c r="G129" s="583"/>
      <c r="H129" s="583"/>
      <c r="I129" s="583"/>
      <c r="J129" s="583"/>
      <c r="K129" s="584"/>
      <c r="L129" s="585"/>
      <c r="M129" s="586"/>
      <c r="N129" s="1154"/>
      <c r="O129" s="1154"/>
      <c r="P129" s="2680"/>
      <c r="Q129" s="504"/>
    </row>
    <row r="130" spans="1:17" ht="15.75" thickBot="1">
      <c r="A130" s="534"/>
      <c r="B130" s="543"/>
      <c r="C130" s="560"/>
      <c r="D130" s="560"/>
      <c r="E130" s="560"/>
      <c r="F130" s="560"/>
      <c r="G130" s="536"/>
      <c r="H130" s="536"/>
      <c r="I130" s="536"/>
      <c r="J130" s="536"/>
      <c r="K130" s="536"/>
      <c r="L130" s="536"/>
      <c r="M130" s="537"/>
      <c r="N130" s="1155"/>
      <c r="O130" s="1155"/>
      <c r="P130" s="2680"/>
      <c r="Q130" s="504"/>
    </row>
    <row r="131" spans="1:17" ht="15" thickTop="1">
      <c r="A131" s="599"/>
      <c r="B131" s="546">
        <f>B47</f>
        <v>111</v>
      </c>
      <c r="C131" s="523"/>
      <c r="D131" s="523"/>
      <c r="E131" s="523"/>
      <c r="F131" s="523"/>
      <c r="G131" s="587"/>
      <c r="H131" s="587"/>
      <c r="I131" s="587"/>
      <c r="J131" s="587"/>
      <c r="K131" s="523"/>
      <c r="L131" s="524"/>
      <c r="M131" s="590"/>
      <c r="N131" s="1154"/>
      <c r="O131" s="1154"/>
      <c r="P131" s="2680"/>
      <c r="Q131" s="504"/>
    </row>
    <row r="132" spans="1:17" ht="15.75" thickBot="1">
      <c r="A132" s="2632"/>
      <c r="B132" s="569"/>
      <c r="C132" s="570"/>
      <c r="D132" s="570"/>
      <c r="E132" s="570"/>
      <c r="F132" s="570"/>
      <c r="G132" s="591"/>
      <c r="H132" s="591"/>
      <c r="I132" s="591"/>
      <c r="J132" s="591"/>
      <c r="K132" s="591"/>
      <c r="L132" s="591"/>
      <c r="M132" s="592"/>
      <c r="N132" s="1155"/>
      <c r="O132" s="1155"/>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5" t="s">
        <v>2700</v>
      </c>
      <c r="C1" s="1620" t="s">
        <v>2528</v>
      </c>
      <c r="D1" s="1621"/>
      <c r="E1" s="1630"/>
      <c r="F1" s="2580"/>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20" t="e">
        <f ca="1">IF(C2="——",ROUND(C43*D3/10000,0),ROUND(C43*D3/10000,0)-D2)</f>
        <v>#DIV/0!</v>
      </c>
      <c r="C2" s="2582"/>
      <c r="D2" s="1126" t="e">
        <f ca="1">SUMIF(INDIRECT("'"&amp;F2&amp;"'"&amp;"!A:A"),"承租人权益价值",INDIRECT("'"&amp;F2&amp;"'"&amp;"!c:c"))</f>
        <v>#REF!</v>
      </c>
      <c r="E2" s="2583" t="s">
        <v>2326</v>
      </c>
      <c r="F2" s="258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2526.41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55" t="s">
        <v>2645</v>
      </c>
      <c r="S4" s="3256"/>
      <c r="T4" s="3255" t="s">
        <v>2646</v>
      </c>
      <c r="U4" s="3256"/>
      <c r="V4" s="3280" t="s">
        <v>2647</v>
      </c>
      <c r="W4" s="3280"/>
      <c r="X4" s="1807"/>
      <c r="Y4" s="3255" t="s">
        <v>2649</v>
      </c>
      <c r="Z4" s="3256"/>
      <c r="AA4" s="3250" t="s">
        <v>2645</v>
      </c>
      <c r="AB4" s="3251" t="s">
        <v>2646</v>
      </c>
      <c r="AC4" s="3250" t="s">
        <v>2647</v>
      </c>
    </row>
    <row r="5" spans="1:29" ht="15">
      <c r="A5" s="404"/>
      <c r="B5" s="405"/>
      <c r="C5" s="3261" t="s">
        <v>2540</v>
      </c>
      <c r="D5" s="3262"/>
      <c r="E5" s="3259" t="s">
        <v>2541</v>
      </c>
      <c r="F5" s="3260"/>
      <c r="G5" s="3261" t="s">
        <v>2542</v>
      </c>
      <c r="H5" s="3262"/>
      <c r="I5" s="3261" t="s">
        <v>2543</v>
      </c>
      <c r="J5" s="3262"/>
      <c r="K5" s="610"/>
      <c r="L5" s="1132"/>
      <c r="M5" s="1133"/>
      <c r="N5" s="1133"/>
      <c r="O5" s="1133"/>
      <c r="P5" s="3274"/>
      <c r="Q5" s="3275"/>
      <c r="R5" s="3257"/>
      <c r="S5" s="3258"/>
      <c r="T5" s="3257"/>
      <c r="U5" s="3258"/>
      <c r="V5" s="3280"/>
      <c r="W5" s="3280"/>
      <c r="X5" s="1807"/>
      <c r="Y5" s="3257"/>
      <c r="Z5" s="3258"/>
      <c r="AA5" s="3251"/>
      <c r="AB5" s="3251"/>
      <c r="AC5" s="3251"/>
    </row>
    <row r="6" spans="1:29" ht="15.75" thickBot="1">
      <c r="A6" s="406"/>
      <c r="B6" s="407"/>
      <c r="C6" s="3263" t="s">
        <v>2544</v>
      </c>
      <c r="D6" s="3264"/>
      <c r="E6" s="3265" t="s">
        <v>2544</v>
      </c>
      <c r="F6" s="3266"/>
      <c r="G6" s="3263" t="s">
        <v>2544</v>
      </c>
      <c r="H6" s="3264"/>
      <c r="I6" s="3263" t="s">
        <v>2544</v>
      </c>
      <c r="J6" s="3264"/>
      <c r="K6" s="610" t="s">
        <v>2545</v>
      </c>
      <c r="L6" s="1132"/>
      <c r="M6" s="1133"/>
      <c r="N6" s="1133"/>
      <c r="O6" s="1133"/>
      <c r="P6" s="3276"/>
      <c r="Q6" s="3277"/>
      <c r="R6" s="3257"/>
      <c r="S6" s="3258"/>
      <c r="T6" s="3278"/>
      <c r="U6" s="3279"/>
      <c r="V6" s="3280"/>
      <c r="W6" s="3280"/>
      <c r="X6" s="1807"/>
      <c r="Y6" s="3278"/>
      <c r="Z6" s="3279"/>
      <c r="AA6" s="3252"/>
      <c r="AB6" s="3252"/>
      <c r="AC6" s="3252"/>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3" t="s">
        <v>2547</v>
      </c>
      <c r="Q7" s="3281"/>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3" t="s">
        <v>2550</v>
      </c>
      <c r="Q8" s="3254"/>
      <c r="R8" s="769" t="s">
        <v>17</v>
      </c>
      <c r="S8" s="770">
        <f t="shared" si="0"/>
        <v>0</v>
      </c>
      <c r="T8" s="769" t="s">
        <v>17</v>
      </c>
      <c r="U8" s="770">
        <f t="shared" si="1"/>
        <v>0</v>
      </c>
      <c r="V8" s="769" t="s">
        <v>17</v>
      </c>
      <c r="W8" s="770">
        <f t="shared" si="2"/>
        <v>0</v>
      </c>
      <c r="X8" s="771"/>
      <c r="Y8" s="3253" t="s">
        <v>2550</v>
      </c>
      <c r="Z8" s="3254"/>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85" t="s">
        <v>2553</v>
      </c>
      <c r="Q9" s="1789" t="str">
        <f t="shared" ref="Q9:Q15" si="6">B9</f>
        <v>用途</v>
      </c>
      <c r="R9" s="769" t="s">
        <v>17</v>
      </c>
      <c r="S9" s="770">
        <f t="shared" si="0"/>
        <v>100</v>
      </c>
      <c r="T9" s="769" t="s">
        <v>17</v>
      </c>
      <c r="U9" s="770">
        <f t="shared" si="1"/>
        <v>100</v>
      </c>
      <c r="V9" s="769" t="s">
        <v>17</v>
      </c>
      <c r="W9" s="770">
        <f t="shared" si="2"/>
        <v>100</v>
      </c>
      <c r="X9" s="771"/>
      <c r="Y9" s="3100"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85"/>
      <c r="Q10" s="1789"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85"/>
      <c r="Q11" s="1789"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4"/>
      <c r="M12" s="1135"/>
      <c r="N12" s="1135"/>
      <c r="O12" s="1136"/>
      <c r="P12" s="3285"/>
      <c r="Q12" s="1789">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2"/>
      <c r="M13" s="1133"/>
      <c r="N13" s="1133"/>
      <c r="O13" s="1141"/>
      <c r="P13" s="3285"/>
      <c r="Q13" s="1789">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2"/>
      <c r="M14" s="1133"/>
      <c r="N14" s="1133"/>
      <c r="O14" s="1141"/>
      <c r="P14" s="3285"/>
      <c r="Q14" s="1789">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772">
        <f t="shared" si="5"/>
        <v>1</v>
      </c>
    </row>
    <row r="15" spans="1:29" ht="57">
      <c r="A15" s="440" t="s">
        <v>2557</v>
      </c>
      <c r="B15" s="69" t="s">
        <v>2701</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87" t="s">
        <v>2558</v>
      </c>
      <c r="Q15" s="1804" t="str">
        <f t="shared" si="6"/>
        <v>产业集聚程度</v>
      </c>
      <c r="R15" s="773" t="s">
        <v>17</v>
      </c>
      <c r="S15" s="774">
        <f t="shared" si="0"/>
        <v>100</v>
      </c>
      <c r="T15" s="773" t="s">
        <v>17</v>
      </c>
      <c r="U15" s="774">
        <f t="shared" si="1"/>
        <v>100</v>
      </c>
      <c r="V15" s="773" t="s">
        <v>17</v>
      </c>
      <c r="W15" s="774">
        <f t="shared" si="2"/>
        <v>100</v>
      </c>
      <c r="X15" s="1807"/>
      <c r="Y15" s="3287" t="s">
        <v>2558</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42"/>
      <c r="M16" s="1133"/>
      <c r="N16" s="1133"/>
      <c r="O16" s="1141"/>
      <c r="P16" s="3288"/>
      <c r="Q16" s="1804"/>
      <c r="R16" s="773"/>
      <c r="S16" s="774"/>
      <c r="T16" s="773"/>
      <c r="U16" s="774"/>
      <c r="V16" s="773"/>
      <c r="W16" s="774"/>
      <c r="X16" s="1807"/>
      <c r="Y16" s="3288"/>
      <c r="Z16" s="1808"/>
      <c r="AA16" s="1805">
        <v>1</v>
      </c>
      <c r="AB16" s="1805">
        <v>1</v>
      </c>
      <c r="AC16" s="1805">
        <v>1</v>
      </c>
    </row>
    <row r="17" spans="1:29" ht="85.5">
      <c r="A17" s="428"/>
      <c r="B17" s="451" t="s">
        <v>2094</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88"/>
      <c r="Q17" s="1804" t="str">
        <f>B17</f>
        <v>交通便捷度</v>
      </c>
      <c r="R17" s="773" t="s">
        <v>17</v>
      </c>
      <c r="S17" s="774">
        <f>F17</f>
        <v>100</v>
      </c>
      <c r="T17" s="773" t="s">
        <v>17</v>
      </c>
      <c r="U17" s="774">
        <f>H17</f>
        <v>100</v>
      </c>
      <c r="V17" s="773" t="s">
        <v>17</v>
      </c>
      <c r="W17" s="774">
        <f>J17</f>
        <v>100</v>
      </c>
      <c r="X17" s="1807"/>
      <c r="Y17" s="3288"/>
      <c r="Z17" s="1808" t="str">
        <f>Q17</f>
        <v>交通便捷度</v>
      </c>
      <c r="AA17" s="1805">
        <f t="shared" si="3"/>
        <v>1</v>
      </c>
      <c r="AB17" s="1805">
        <f t="shared" si="4"/>
        <v>1</v>
      </c>
      <c r="AC17" s="1805">
        <f t="shared" si="5"/>
        <v>1</v>
      </c>
    </row>
    <row r="18" spans="1:29" ht="15">
      <c r="A18" s="428"/>
      <c r="B18" s="456"/>
      <c r="C18" s="2604"/>
      <c r="D18" s="450"/>
      <c r="E18" s="2606"/>
      <c r="F18" s="453"/>
      <c r="G18" s="2605"/>
      <c r="H18" s="448"/>
      <c r="I18" s="2606"/>
      <c r="J18" s="448"/>
      <c r="K18" s="615"/>
      <c r="L18" s="1142"/>
      <c r="M18" s="1133"/>
      <c r="N18" s="1133"/>
      <c r="O18" s="1141"/>
      <c r="P18" s="3288"/>
      <c r="Q18" s="1804"/>
      <c r="R18" s="773"/>
      <c r="S18" s="774"/>
      <c r="T18" s="773"/>
      <c r="U18" s="774"/>
      <c r="V18" s="773"/>
      <c r="W18" s="774"/>
      <c r="X18" s="1807"/>
      <c r="Y18" s="3288"/>
      <c r="Z18" s="1808"/>
      <c r="AA18" s="1805">
        <v>1</v>
      </c>
      <c r="AB18" s="1805">
        <v>1</v>
      </c>
      <c r="AC18" s="1805">
        <v>1</v>
      </c>
    </row>
    <row r="19" spans="1:29" ht="42.75">
      <c r="A19" s="428"/>
      <c r="B19" s="451" t="s">
        <v>2686</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88"/>
      <c r="Q19" s="1804" t="str">
        <f>B19</f>
        <v>公共配套设施</v>
      </c>
      <c r="R19" s="773" t="s">
        <v>17</v>
      </c>
      <c r="S19" s="774">
        <f>F19</f>
        <v>100</v>
      </c>
      <c r="T19" s="773" t="s">
        <v>17</v>
      </c>
      <c r="U19" s="774">
        <f>H19</f>
        <v>100</v>
      </c>
      <c r="V19" s="773" t="s">
        <v>17</v>
      </c>
      <c r="W19" s="774">
        <f>J19</f>
        <v>100</v>
      </c>
      <c r="X19" s="1807"/>
      <c r="Y19" s="3288"/>
      <c r="Z19" s="1808" t="str">
        <f>Q19</f>
        <v>公共配套设施</v>
      </c>
      <c r="AA19" s="1805">
        <f t="shared" si="3"/>
        <v>1</v>
      </c>
      <c r="AB19" s="1805">
        <f t="shared" si="4"/>
        <v>1</v>
      </c>
      <c r="AC19" s="1805">
        <f t="shared" si="5"/>
        <v>1</v>
      </c>
    </row>
    <row r="20" spans="1:29" ht="15">
      <c r="A20" s="428"/>
      <c r="B20" s="456"/>
      <c r="C20" s="447"/>
      <c r="D20" s="448"/>
      <c r="E20" s="2601"/>
      <c r="F20" s="449"/>
      <c r="G20" s="2600"/>
      <c r="H20" s="448"/>
      <c r="I20" s="2601"/>
      <c r="J20" s="448"/>
      <c r="K20" s="615"/>
      <c r="L20" s="1142"/>
      <c r="M20" s="1133"/>
      <c r="N20" s="1133"/>
      <c r="O20" s="1141"/>
      <c r="P20" s="3288"/>
      <c r="Q20" s="1804"/>
      <c r="R20" s="773"/>
      <c r="S20" s="774"/>
      <c r="T20" s="773"/>
      <c r="U20" s="774"/>
      <c r="V20" s="773"/>
      <c r="W20" s="774"/>
      <c r="X20" s="1807"/>
      <c r="Y20" s="3288"/>
      <c r="Z20" s="1808"/>
      <c r="AA20" s="1805">
        <v>1</v>
      </c>
      <c r="AB20" s="1805">
        <v>1</v>
      </c>
      <c r="AC20" s="1805">
        <v>1</v>
      </c>
    </row>
    <row r="21" spans="1:29" ht="28.5">
      <c r="A21" s="428"/>
      <c r="B21" s="1386" t="s">
        <v>2687</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88"/>
      <c r="Q21" s="1804" t="str">
        <f>B21</f>
        <v>基础设施水平</v>
      </c>
      <c r="R21" s="773" t="s">
        <v>17</v>
      </c>
      <c r="S21" s="774">
        <f>F21</f>
        <v>100</v>
      </c>
      <c r="T21" s="773" t="s">
        <v>17</v>
      </c>
      <c r="U21" s="774">
        <f>H21</f>
        <v>100</v>
      </c>
      <c r="V21" s="773" t="s">
        <v>17</v>
      </c>
      <c r="W21" s="774">
        <f>J21</f>
        <v>100</v>
      </c>
      <c r="X21" s="1807"/>
      <c r="Y21" s="3288"/>
      <c r="Z21" s="1808" t="str">
        <f>Q21</f>
        <v>基础设施水平</v>
      </c>
      <c r="AA21" s="1805">
        <f t="shared" ref="AA21" si="8">D21/F21</f>
        <v>1</v>
      </c>
      <c r="AB21" s="1805">
        <f t="shared" ref="AB21" si="9">D21/H21</f>
        <v>1</v>
      </c>
      <c r="AC21" s="1805">
        <f t="shared" ref="AC21" si="10">D21/J21</f>
        <v>1</v>
      </c>
    </row>
    <row r="22" spans="1:29" ht="15">
      <c r="A22" s="428"/>
      <c r="B22" s="1386"/>
      <c r="C22" s="2604"/>
      <c r="D22" s="448"/>
      <c r="E22" s="447"/>
      <c r="F22" s="449"/>
      <c r="G22" s="447"/>
      <c r="H22" s="448"/>
      <c r="I22" s="447"/>
      <c r="J22" s="448"/>
      <c r="K22" s="1385"/>
      <c r="L22" s="1142"/>
      <c r="M22" s="1133"/>
      <c r="N22" s="1133"/>
      <c r="O22" s="1141"/>
      <c r="P22" s="3288"/>
      <c r="Q22" s="1804"/>
      <c r="R22" s="773"/>
      <c r="S22" s="774"/>
      <c r="T22" s="773"/>
      <c r="U22" s="774"/>
      <c r="V22" s="773"/>
      <c r="W22" s="774"/>
      <c r="X22" s="1807"/>
      <c r="Y22" s="3288"/>
      <c r="Z22" s="1808"/>
      <c r="AA22" s="1805">
        <v>1</v>
      </c>
      <c r="AB22" s="1805">
        <v>1</v>
      </c>
      <c r="AC22" s="1805">
        <v>1</v>
      </c>
    </row>
    <row r="23" spans="1:29" ht="71.25">
      <c r="A23" s="428"/>
      <c r="B23" s="451" t="s">
        <v>2688</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88"/>
      <c r="Q23" s="1804" t="str">
        <f>B23</f>
        <v>环境质量</v>
      </c>
      <c r="R23" s="773" t="s">
        <v>17</v>
      </c>
      <c r="S23" s="774">
        <f>F23</f>
        <v>100</v>
      </c>
      <c r="T23" s="773" t="s">
        <v>17</v>
      </c>
      <c r="U23" s="774">
        <f>H23</f>
        <v>100</v>
      </c>
      <c r="V23" s="773" t="s">
        <v>17</v>
      </c>
      <c r="W23" s="774">
        <f>J23</f>
        <v>100</v>
      </c>
      <c r="X23" s="1807"/>
      <c r="Y23" s="3288"/>
      <c r="Z23" s="1808" t="str">
        <f>Q23</f>
        <v>环境质量</v>
      </c>
      <c r="AA23" s="1805">
        <f t="shared" si="3"/>
        <v>1</v>
      </c>
      <c r="AB23" s="1805">
        <f t="shared" si="4"/>
        <v>1</v>
      </c>
      <c r="AC23" s="1805">
        <f t="shared" si="5"/>
        <v>1</v>
      </c>
    </row>
    <row r="24" spans="1:29" ht="15">
      <c r="A24" s="428"/>
      <c r="B24" s="1386"/>
      <c r="C24" s="447"/>
      <c r="D24" s="448"/>
      <c r="E24" s="2601"/>
      <c r="F24" s="449"/>
      <c r="G24" s="2600"/>
      <c r="H24" s="448"/>
      <c r="I24" s="2601"/>
      <c r="J24" s="448"/>
      <c r="K24" s="615"/>
      <c r="L24" s="1142"/>
      <c r="M24" s="1133"/>
      <c r="N24" s="1133"/>
      <c r="O24" s="1141"/>
      <c r="P24" s="3288"/>
      <c r="Q24" s="1804"/>
      <c r="R24" s="773"/>
      <c r="S24" s="774"/>
      <c r="T24" s="773"/>
      <c r="U24" s="774"/>
      <c r="V24" s="773"/>
      <c r="W24" s="774"/>
      <c r="X24" s="1807"/>
      <c r="Y24" s="3288"/>
      <c r="Z24" s="1808"/>
      <c r="AA24" s="1805">
        <v>1</v>
      </c>
      <c r="AB24" s="1805">
        <v>1</v>
      </c>
      <c r="AC24" s="1805">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88"/>
      <c r="Q25" s="1804">
        <f>B25</f>
        <v>111</v>
      </c>
      <c r="R25" s="773" t="s">
        <v>17</v>
      </c>
      <c r="S25" s="774">
        <f>F25</f>
        <v>100</v>
      </c>
      <c r="T25" s="773" t="s">
        <v>17</v>
      </c>
      <c r="U25" s="774">
        <f>H25</f>
        <v>100</v>
      </c>
      <c r="V25" s="773" t="s">
        <v>17</v>
      </c>
      <c r="W25" s="774">
        <f>J25</f>
        <v>100</v>
      </c>
      <c r="X25" s="1807"/>
      <c r="Y25" s="3288"/>
      <c r="Z25" s="1808">
        <f>Q25</f>
        <v>111</v>
      </c>
      <c r="AA25" s="1805">
        <f t="shared" si="3"/>
        <v>1</v>
      </c>
      <c r="AB25" s="1805">
        <f t="shared" si="4"/>
        <v>1</v>
      </c>
      <c r="AC25" s="1805">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88"/>
      <c r="Q26" s="1804">
        <f t="shared" ref="Q26:Q40" si="11">B26</f>
        <v>111</v>
      </c>
      <c r="R26" s="773" t="s">
        <v>17</v>
      </c>
      <c r="S26" s="774">
        <f>F26</f>
        <v>100</v>
      </c>
      <c r="T26" s="773" t="s">
        <v>17</v>
      </c>
      <c r="U26" s="774">
        <f>H26</f>
        <v>100</v>
      </c>
      <c r="V26" s="773" t="s">
        <v>17</v>
      </c>
      <c r="W26" s="774">
        <f>J26</f>
        <v>100</v>
      </c>
      <c r="X26" s="1807"/>
      <c r="Y26" s="3288"/>
      <c r="Z26" s="1808">
        <f>Q26</f>
        <v>111</v>
      </c>
      <c r="AA26" s="1805">
        <f t="shared" si="3"/>
        <v>1</v>
      </c>
      <c r="AB26" s="1805">
        <f t="shared" si="4"/>
        <v>1</v>
      </c>
      <c r="AC26" s="1805">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88"/>
      <c r="Q27" s="1789">
        <f t="shared" si="11"/>
        <v>111</v>
      </c>
      <c r="R27" s="769" t="s">
        <v>17</v>
      </c>
      <c r="S27" s="770">
        <f>F27</f>
        <v>100</v>
      </c>
      <c r="T27" s="769" t="s">
        <v>17</v>
      </c>
      <c r="U27" s="770">
        <f>H27</f>
        <v>100</v>
      </c>
      <c r="V27" s="769" t="s">
        <v>17</v>
      </c>
      <c r="W27" s="770">
        <f>J27</f>
        <v>100</v>
      </c>
      <c r="X27" s="771"/>
      <c r="Y27" s="3288"/>
      <c r="Z27" s="55">
        <f>Q27</f>
        <v>111</v>
      </c>
      <c r="AA27" s="1805">
        <f>D27/F27</f>
        <v>1</v>
      </c>
      <c r="AB27" s="1805">
        <f>D27/H27</f>
        <v>1</v>
      </c>
      <c r="AC27" s="1805">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88"/>
      <c r="Q28" s="1804">
        <f t="shared" si="11"/>
        <v>111</v>
      </c>
      <c r="R28" s="773" t="s">
        <v>17</v>
      </c>
      <c r="S28" s="774">
        <f t="shared" ref="S28:S40" si="12">F28</f>
        <v>100</v>
      </c>
      <c r="T28" s="773" t="s">
        <v>17</v>
      </c>
      <c r="U28" s="774">
        <f t="shared" ref="U28:U40" si="13">H28</f>
        <v>100</v>
      </c>
      <c r="V28" s="773" t="s">
        <v>17</v>
      </c>
      <c r="W28" s="774">
        <f t="shared" ref="W28:W40" si="14">J28</f>
        <v>100</v>
      </c>
      <c r="X28" s="1807"/>
      <c r="Y28" s="3288"/>
      <c r="Z28" s="1808">
        <f t="shared" ref="Z28:Z40" si="15">Q28</f>
        <v>111</v>
      </c>
      <c r="AA28" s="1805">
        <f t="shared" si="3"/>
        <v>1</v>
      </c>
      <c r="AB28" s="1805">
        <f t="shared" si="4"/>
        <v>1</v>
      </c>
      <c r="AC28" s="1805">
        <f t="shared" si="5"/>
        <v>1</v>
      </c>
    </row>
    <row r="29" spans="1:29" ht="28.5">
      <c r="A29" s="466" t="s">
        <v>2561</v>
      </c>
      <c r="B29" s="71" t="s">
        <v>2691</v>
      </c>
      <c r="C29" s="2675"/>
      <c r="D29" s="467">
        <v>100</v>
      </c>
      <c r="E29" s="2675"/>
      <c r="F29" s="461">
        <f>SUMIF(88:88,E29,89:89)-SUMIF(88:88,C29,89:89)+100</f>
        <v>100</v>
      </c>
      <c r="G29" s="2675"/>
      <c r="H29" s="435">
        <f>SUMIF(88:88,G29,89:89)-SUMIF(88:88,C29,89:89)+100</f>
        <v>100</v>
      </c>
      <c r="I29" s="2675"/>
      <c r="J29" s="467">
        <f>SUMIF(88:88,I29,89:89)-SUMIF(88:88,C29,89:89)+100</f>
        <v>100</v>
      </c>
      <c r="K29" s="612"/>
      <c r="L29" s="1142"/>
      <c r="M29" s="1133"/>
      <c r="N29" s="1133"/>
      <c r="O29" s="1141"/>
      <c r="P29" s="3313" t="s">
        <v>2563</v>
      </c>
      <c r="Q29" s="1804" t="str">
        <f t="shared" si="11"/>
        <v>建筑类型</v>
      </c>
      <c r="R29" s="773" t="s">
        <v>17</v>
      </c>
      <c r="S29" s="774">
        <f t="shared" si="12"/>
        <v>100</v>
      </c>
      <c r="T29" s="773" t="s">
        <v>17</v>
      </c>
      <c r="U29" s="774">
        <f t="shared" si="13"/>
        <v>100</v>
      </c>
      <c r="V29" s="773" t="s">
        <v>17</v>
      </c>
      <c r="W29" s="774">
        <f t="shared" si="14"/>
        <v>100</v>
      </c>
      <c r="X29" s="1807"/>
      <c r="Y29" s="3292" t="s">
        <v>2563</v>
      </c>
      <c r="Z29" s="1808" t="str">
        <f t="shared" si="15"/>
        <v>建筑类型</v>
      </c>
      <c r="AA29" s="1805">
        <f t="shared" si="3"/>
        <v>1</v>
      </c>
      <c r="AB29" s="1805">
        <f t="shared" si="4"/>
        <v>1</v>
      </c>
      <c r="AC29" s="1805">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92"/>
      <c r="Q30" s="775" t="str">
        <f t="shared" si="11"/>
        <v>项目建筑规模</v>
      </c>
      <c r="R30" s="776" t="s">
        <v>17</v>
      </c>
      <c r="S30" s="777" t="e">
        <f t="shared" si="12"/>
        <v>#N/A</v>
      </c>
      <c r="T30" s="776" t="s">
        <v>17</v>
      </c>
      <c r="U30" s="777" t="e">
        <f t="shared" si="13"/>
        <v>#N/A</v>
      </c>
      <c r="V30" s="776" t="s">
        <v>17</v>
      </c>
      <c r="W30" s="777" t="e">
        <f t="shared" si="14"/>
        <v>#N/A</v>
      </c>
      <c r="X30" s="778"/>
      <c r="Y30" s="3292"/>
      <c r="Z30" s="779" t="str">
        <f t="shared" si="15"/>
        <v>项目建筑规模</v>
      </c>
      <c r="AA30" s="1805" t="e">
        <f t="shared" si="3"/>
        <v>#N/A</v>
      </c>
      <c r="AB30" s="1805" t="e">
        <f t="shared" si="4"/>
        <v>#N/A</v>
      </c>
      <c r="AC30" s="180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92"/>
      <c r="Q31" s="1804" t="str">
        <f t="shared" si="11"/>
        <v>建筑结构</v>
      </c>
      <c r="R31" s="773" t="s">
        <v>17</v>
      </c>
      <c r="S31" s="774">
        <f t="shared" si="12"/>
        <v>100</v>
      </c>
      <c r="T31" s="773" t="s">
        <v>17</v>
      </c>
      <c r="U31" s="774">
        <f t="shared" si="13"/>
        <v>100</v>
      </c>
      <c r="V31" s="773" t="s">
        <v>17</v>
      </c>
      <c r="W31" s="774">
        <f t="shared" si="14"/>
        <v>100</v>
      </c>
      <c r="X31" s="1807"/>
      <c r="Y31" s="3292"/>
      <c r="Z31" s="1808" t="str">
        <f t="shared" si="15"/>
        <v>建筑结构</v>
      </c>
      <c r="AA31" s="1805">
        <f t="shared" si="3"/>
        <v>1</v>
      </c>
      <c r="AB31" s="1805">
        <f t="shared" si="4"/>
        <v>1</v>
      </c>
      <c r="AC31" s="180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92"/>
      <c r="Q32" s="1804" t="str">
        <f t="shared" si="11"/>
        <v>公共部分装修</v>
      </c>
      <c r="R32" s="773" t="s">
        <v>17</v>
      </c>
      <c r="S32" s="774">
        <f t="shared" si="12"/>
        <v>100</v>
      </c>
      <c r="T32" s="773" t="s">
        <v>17</v>
      </c>
      <c r="U32" s="774">
        <f t="shared" si="13"/>
        <v>100</v>
      </c>
      <c r="V32" s="773" t="s">
        <v>17</v>
      </c>
      <c r="W32" s="774">
        <f t="shared" si="14"/>
        <v>100</v>
      </c>
      <c r="X32" s="1807"/>
      <c r="Y32" s="3292"/>
      <c r="Z32" s="1808" t="str">
        <f t="shared" si="15"/>
        <v>公共部分装修</v>
      </c>
      <c r="AA32" s="1805">
        <f t="shared" si="3"/>
        <v>1</v>
      </c>
      <c r="AB32" s="1805">
        <f t="shared" si="4"/>
        <v>1</v>
      </c>
      <c r="AC32" s="180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92"/>
      <c r="Q33" s="1804" t="str">
        <f t="shared" si="11"/>
        <v>成新度</v>
      </c>
      <c r="R33" s="773" t="s">
        <v>17</v>
      </c>
      <c r="S33" s="774" t="e">
        <f t="shared" si="12"/>
        <v>#N/A</v>
      </c>
      <c r="T33" s="773" t="s">
        <v>17</v>
      </c>
      <c r="U33" s="774" t="e">
        <f t="shared" si="13"/>
        <v>#N/A</v>
      </c>
      <c r="V33" s="773" t="s">
        <v>17</v>
      </c>
      <c r="W33" s="774" t="e">
        <f t="shared" si="14"/>
        <v>#N/A</v>
      </c>
      <c r="X33" s="1807"/>
      <c r="Y33" s="3292"/>
      <c r="Z33" s="1808" t="str">
        <f t="shared" si="15"/>
        <v>成新度</v>
      </c>
      <c r="AA33" s="1805" t="e">
        <f t="shared" si="3"/>
        <v>#N/A</v>
      </c>
      <c r="AB33" s="1805" t="e">
        <f t="shared" si="4"/>
        <v>#N/A</v>
      </c>
      <c r="AC33" s="1805"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92"/>
      <c r="Q34" s="1789" t="str">
        <f t="shared" si="11"/>
        <v>物业管理</v>
      </c>
      <c r="R34" s="769" t="s">
        <v>17</v>
      </c>
      <c r="S34" s="770">
        <f t="shared" si="12"/>
        <v>100</v>
      </c>
      <c r="T34" s="769" t="s">
        <v>17</v>
      </c>
      <c r="U34" s="770">
        <f t="shared" si="13"/>
        <v>100</v>
      </c>
      <c r="V34" s="769" t="s">
        <v>17</v>
      </c>
      <c r="W34" s="770">
        <f t="shared" si="14"/>
        <v>100</v>
      </c>
      <c r="X34" s="771"/>
      <c r="Y34" s="3292"/>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92" t="s">
        <v>2563</v>
      </c>
      <c r="Q35" s="1804" t="str">
        <f t="shared" si="11"/>
        <v>市政基础设施</v>
      </c>
      <c r="R35" s="773" t="s">
        <v>17</v>
      </c>
      <c r="S35" s="774">
        <f t="shared" si="12"/>
        <v>100</v>
      </c>
      <c r="T35" s="773" t="s">
        <v>17</v>
      </c>
      <c r="U35" s="774">
        <f t="shared" si="13"/>
        <v>100</v>
      </c>
      <c r="V35" s="773" t="s">
        <v>17</v>
      </c>
      <c r="W35" s="774">
        <f t="shared" si="14"/>
        <v>100</v>
      </c>
      <c r="X35" s="1807"/>
      <c r="Y35" s="3292" t="s">
        <v>2563</v>
      </c>
      <c r="Z35" s="1808" t="str">
        <f t="shared" si="15"/>
        <v>市政基础设施</v>
      </c>
      <c r="AA35" s="1805">
        <f t="shared" si="3"/>
        <v>1</v>
      </c>
      <c r="AB35" s="1805">
        <f t="shared" si="4"/>
        <v>1</v>
      </c>
      <c r="AC35" s="180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92"/>
      <c r="Q36" s="1804" t="str">
        <f t="shared" si="11"/>
        <v>内部装修</v>
      </c>
      <c r="R36" s="773" t="s">
        <v>17</v>
      </c>
      <c r="S36" s="774">
        <f t="shared" si="12"/>
        <v>100</v>
      </c>
      <c r="T36" s="773" t="s">
        <v>17</v>
      </c>
      <c r="U36" s="774">
        <f t="shared" si="13"/>
        <v>100</v>
      </c>
      <c r="V36" s="773" t="s">
        <v>17</v>
      </c>
      <c r="W36" s="774">
        <f t="shared" si="14"/>
        <v>100</v>
      </c>
      <c r="X36" s="1807"/>
      <c r="Y36" s="3292"/>
      <c r="Z36" s="1808" t="str">
        <f t="shared" si="15"/>
        <v>内部装修</v>
      </c>
      <c r="AA36" s="1805">
        <f t="shared" si="3"/>
        <v>1</v>
      </c>
      <c r="AB36" s="1805">
        <f t="shared" si="4"/>
        <v>1</v>
      </c>
      <c r="AC36" s="180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92"/>
      <c r="Q37" s="1804" t="str">
        <f t="shared" si="11"/>
        <v>内部装修状况</v>
      </c>
      <c r="R37" s="773" t="s">
        <v>17</v>
      </c>
      <c r="S37" s="774">
        <f t="shared" si="12"/>
        <v>100</v>
      </c>
      <c r="T37" s="773" t="s">
        <v>17</v>
      </c>
      <c r="U37" s="774">
        <f t="shared" si="13"/>
        <v>100</v>
      </c>
      <c r="V37" s="773" t="s">
        <v>17</v>
      </c>
      <c r="W37" s="774">
        <f t="shared" si="14"/>
        <v>100</v>
      </c>
      <c r="X37" s="1807"/>
      <c r="Y37" s="3292"/>
      <c r="Z37" s="1808" t="str">
        <f t="shared" si="15"/>
        <v>内部装修状况</v>
      </c>
      <c r="AA37" s="1805">
        <f t="shared" si="3"/>
        <v>1</v>
      </c>
      <c r="AB37" s="1805">
        <f t="shared" si="4"/>
        <v>1</v>
      </c>
      <c r="AC37" s="1805">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92"/>
      <c r="Q38" s="775">
        <f t="shared" si="11"/>
        <v>111</v>
      </c>
      <c r="R38" s="776" t="s">
        <v>17</v>
      </c>
      <c r="S38" s="777">
        <f t="shared" si="12"/>
        <v>100</v>
      </c>
      <c r="T38" s="776" t="s">
        <v>17</v>
      </c>
      <c r="U38" s="777">
        <f t="shared" si="13"/>
        <v>100</v>
      </c>
      <c r="V38" s="776" t="s">
        <v>17</v>
      </c>
      <c r="W38" s="777">
        <f t="shared" si="14"/>
        <v>100</v>
      </c>
      <c r="X38" s="778"/>
      <c r="Y38" s="3292"/>
      <c r="Z38" s="779">
        <f t="shared" si="15"/>
        <v>111</v>
      </c>
      <c r="AA38" s="1805">
        <f t="shared" si="3"/>
        <v>1</v>
      </c>
      <c r="AB38" s="1805">
        <f t="shared" si="4"/>
        <v>1</v>
      </c>
      <c r="AC38" s="1805">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92"/>
      <c r="Q39" s="1804">
        <f t="shared" si="11"/>
        <v>111</v>
      </c>
      <c r="R39" s="773" t="s">
        <v>17</v>
      </c>
      <c r="S39" s="774">
        <f t="shared" si="12"/>
        <v>100</v>
      </c>
      <c r="T39" s="773" t="s">
        <v>17</v>
      </c>
      <c r="U39" s="774">
        <f t="shared" si="13"/>
        <v>100</v>
      </c>
      <c r="V39" s="773" t="s">
        <v>17</v>
      </c>
      <c r="W39" s="774">
        <f t="shared" si="14"/>
        <v>100</v>
      </c>
      <c r="X39" s="1807"/>
      <c r="Y39" s="3292"/>
      <c r="Z39" s="1808">
        <f t="shared" si="15"/>
        <v>111</v>
      </c>
      <c r="AA39" s="1805">
        <f t="shared" si="3"/>
        <v>1</v>
      </c>
      <c r="AB39" s="1805">
        <f t="shared" si="4"/>
        <v>1</v>
      </c>
      <c r="AC39" s="1805">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93"/>
      <c r="Q40" s="1804">
        <f t="shared" si="11"/>
        <v>111</v>
      </c>
      <c r="R40" s="773" t="s">
        <v>17</v>
      </c>
      <c r="S40" s="774">
        <f t="shared" si="12"/>
        <v>100</v>
      </c>
      <c r="T40" s="773" t="s">
        <v>17</v>
      </c>
      <c r="U40" s="774">
        <f t="shared" si="13"/>
        <v>100</v>
      </c>
      <c r="V40" s="773" t="s">
        <v>17</v>
      </c>
      <c r="W40" s="774">
        <f t="shared" si="14"/>
        <v>100</v>
      </c>
      <c r="X40" s="1807"/>
      <c r="Y40" s="3293"/>
      <c r="Z40" s="1808">
        <f t="shared" si="15"/>
        <v>111</v>
      </c>
      <c r="AA40" s="1805">
        <f t="shared" si="3"/>
        <v>1</v>
      </c>
      <c r="AB40" s="1805">
        <f t="shared" si="4"/>
        <v>1</v>
      </c>
      <c r="AC40" s="1805">
        <f t="shared" si="5"/>
        <v>1</v>
      </c>
    </row>
    <row r="41" spans="1:29" ht="15">
      <c r="A41" s="479" t="s">
        <v>2575</v>
      </c>
      <c r="B41" s="480"/>
      <c r="C41" s="1409" t="s">
        <v>1</v>
      </c>
      <c r="D41" s="1410"/>
      <c r="E41" s="1411"/>
      <c r="F41" s="1412"/>
      <c r="G41" s="1413"/>
      <c r="H41" s="1414"/>
      <c r="I41" s="1411"/>
      <c r="J41" s="1414"/>
      <c r="K41" s="782"/>
      <c r="L41" s="1145"/>
      <c r="M41" s="1146"/>
      <c r="N41" s="1133"/>
      <c r="O41" s="1146"/>
      <c r="P41" s="3285" t="str">
        <f>A41</f>
        <v>成交单价（元/平方米）</v>
      </c>
      <c r="Q41" s="3285"/>
      <c r="R41" s="3286">
        <f>E41</f>
        <v>0</v>
      </c>
      <c r="S41" s="3286"/>
      <c r="T41" s="3286">
        <f>G41</f>
        <v>0</v>
      </c>
      <c r="U41" s="3286"/>
      <c r="V41" s="3286">
        <f>I41</f>
        <v>0</v>
      </c>
      <c r="W41" s="3286"/>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82" t="str">
        <f>A43</f>
        <v>估价对象XX用房的比较价值（楼面单价，元/平方米）</v>
      </c>
      <c r="Q43" s="3283"/>
      <c r="R43" s="3284" t="e">
        <f>IF(F1="售价",ROUND(AVERAGE(R42:V42),0),ROUND(AVERAGE(R42:V42),1))</f>
        <v>#DIV/0!</v>
      </c>
      <c r="S43" s="3284"/>
      <c r="T43" s="3284"/>
      <c r="U43" s="3284"/>
      <c r="V43" s="3284"/>
      <c r="W43" s="328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2"/>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2"/>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当代节能置业股份有限公司：</v>
      </c>
    </row>
    <row r="4" spans="1:1" ht="36">
      <c r="A4" s="1942" t="str">
        <f>"受贵公司委托，我公司对"&amp;项目基本情况!S1&amp;"进行了预评估。"</f>
        <v>受贵公司委托，我公司对北京市东城区香河园街1号院5、10号楼出让国有建设用地使用权及在建建筑物房地产抵押价值进行了预评估。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5、10号楼出让国有建设用地使用权及在建建筑物房地产，为所有。根据《国有土地使用证》[京东国用（2005出）第更0029号]、《房产抵押土地分摊面积计算》，估价对象（分摊）出让国有建设用地使用权面积为711.96平方米，建筑面积为2526.41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5、10号楼出让国有建设用地使用权及在建建筑物房地产,属开发建设的，该项目尚在开发建设中。根据《国有土地使用证》[京东国用（2005出）第更0029号]、《房产抵押土地分摊面积计算》，估价对象（分摊）出让国有建设用地使用权面积为711.96平方米，规划建筑面积为2526.41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2020年5月6日（评估专业人员实地查勘之日）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25.35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25.35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0"/>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20" t="e">
        <f ca="1">IF(C2="——",IF(B37="元/平方米",ROUND(C39*D3/10000,0),ROUND(F3*C39/10000,0)),IF(B37="元/平方米",ROUND(C39*D3/10000,0),ROUND(F3*C39/10000,0))-D2)</f>
        <v>#DIV/0!</v>
      </c>
      <c r="C2" s="2582"/>
      <c r="D2" s="1126" t="e">
        <f ca="1">SUMIF(INDIRECT("'"&amp;F2&amp;"'"&amp;"!A:A"),"承租人权益价值",INDIRECT("'"&amp;F2&amp;"'"&amp;"!c:c"))</f>
        <v>#REF!</v>
      </c>
      <c r="E2" s="2583" t="s">
        <v>2326</v>
      </c>
      <c r="F2" s="258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55" t="s">
        <v>2645</v>
      </c>
      <c r="S4" s="3256"/>
      <c r="T4" s="3255" t="s">
        <v>2646</v>
      </c>
      <c r="U4" s="3256"/>
      <c r="V4" s="3280" t="s">
        <v>2647</v>
      </c>
      <c r="W4" s="3280"/>
      <c r="X4" s="1807"/>
      <c r="Y4" s="3255" t="s">
        <v>2649</v>
      </c>
      <c r="Z4" s="3256"/>
      <c r="AA4" s="3250" t="s">
        <v>2645</v>
      </c>
      <c r="AB4" s="3251" t="s">
        <v>2646</v>
      </c>
      <c r="AC4" s="3250" t="s">
        <v>2647</v>
      </c>
    </row>
    <row r="5" spans="1:29" ht="15">
      <c r="A5" s="404"/>
      <c r="B5" s="405"/>
      <c r="C5" s="3261" t="s">
        <v>2540</v>
      </c>
      <c r="D5" s="3262"/>
      <c r="E5" s="3259" t="s">
        <v>2541</v>
      </c>
      <c r="F5" s="3260"/>
      <c r="G5" s="3261" t="s">
        <v>2542</v>
      </c>
      <c r="H5" s="3262"/>
      <c r="I5" s="3261" t="s">
        <v>2543</v>
      </c>
      <c r="J5" s="3262"/>
      <c r="K5" s="610"/>
      <c r="L5" s="1132"/>
      <c r="M5" s="1133"/>
      <c r="N5" s="1133"/>
      <c r="O5" s="1133"/>
      <c r="P5" s="3274"/>
      <c r="Q5" s="3275"/>
      <c r="R5" s="3257"/>
      <c r="S5" s="3258"/>
      <c r="T5" s="3257"/>
      <c r="U5" s="3258"/>
      <c r="V5" s="3280"/>
      <c r="W5" s="3280"/>
      <c r="X5" s="1807"/>
      <c r="Y5" s="3257"/>
      <c r="Z5" s="3258"/>
      <c r="AA5" s="3251"/>
      <c r="AB5" s="3251"/>
      <c r="AC5" s="3251"/>
    </row>
    <row r="6" spans="1:29" ht="15.75" thickBot="1">
      <c r="A6" s="406"/>
      <c r="B6" s="407"/>
      <c r="C6" s="3263" t="s">
        <v>2544</v>
      </c>
      <c r="D6" s="3264"/>
      <c r="E6" s="3265" t="s">
        <v>2544</v>
      </c>
      <c r="F6" s="3266"/>
      <c r="G6" s="3263" t="s">
        <v>2544</v>
      </c>
      <c r="H6" s="3264"/>
      <c r="I6" s="3263" t="s">
        <v>2544</v>
      </c>
      <c r="J6" s="3264"/>
      <c r="K6" s="610" t="s">
        <v>2545</v>
      </c>
      <c r="L6" s="1132"/>
      <c r="M6" s="1133"/>
      <c r="N6" s="1133"/>
      <c r="O6" s="1133"/>
      <c r="P6" s="3276"/>
      <c r="Q6" s="3277"/>
      <c r="R6" s="3257"/>
      <c r="S6" s="3258"/>
      <c r="T6" s="3278"/>
      <c r="U6" s="3279"/>
      <c r="V6" s="3280"/>
      <c r="W6" s="3280"/>
      <c r="X6" s="1807"/>
      <c r="Y6" s="3278"/>
      <c r="Z6" s="3279"/>
      <c r="AA6" s="3252"/>
      <c r="AB6" s="3252"/>
      <c r="AC6" s="3252"/>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53" t="s">
        <v>2547</v>
      </c>
      <c r="Q7" s="3281"/>
      <c r="R7" s="769" t="s">
        <v>17</v>
      </c>
      <c r="S7" s="770">
        <f t="shared" ref="S7:S14" si="0">F7</f>
        <v>0</v>
      </c>
      <c r="T7" s="769" t="s">
        <v>17</v>
      </c>
      <c r="U7" s="770">
        <f t="shared" ref="U7:U14" si="1">H7</f>
        <v>0</v>
      </c>
      <c r="V7" s="769" t="s">
        <v>17</v>
      </c>
      <c r="W7" s="770">
        <f t="shared" ref="W7:W14" si="2">J7</f>
        <v>0</v>
      </c>
      <c r="X7" s="771"/>
      <c r="Y7" s="3253" t="s">
        <v>2547</v>
      </c>
      <c r="Z7" s="3254"/>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53" t="s">
        <v>2550</v>
      </c>
      <c r="Q8" s="3254"/>
      <c r="R8" s="769" t="s">
        <v>17</v>
      </c>
      <c r="S8" s="770">
        <f t="shared" si="0"/>
        <v>0</v>
      </c>
      <c r="T8" s="769" t="s">
        <v>17</v>
      </c>
      <c r="U8" s="770">
        <f t="shared" si="1"/>
        <v>0</v>
      </c>
      <c r="V8" s="769" t="s">
        <v>17</v>
      </c>
      <c r="W8" s="770">
        <f t="shared" si="2"/>
        <v>0</v>
      </c>
      <c r="X8" s="771"/>
      <c r="Y8" s="3253" t="s">
        <v>2550</v>
      </c>
      <c r="Z8" s="3254"/>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85" t="s">
        <v>2553</v>
      </c>
      <c r="Q9" s="1789" t="str">
        <f t="shared" ref="Q9:Q14" si="6">B9</f>
        <v>用途</v>
      </c>
      <c r="R9" s="769" t="s">
        <v>17</v>
      </c>
      <c r="S9" s="770">
        <f t="shared" si="0"/>
        <v>100</v>
      </c>
      <c r="T9" s="769" t="s">
        <v>17</v>
      </c>
      <c r="U9" s="770">
        <f t="shared" si="1"/>
        <v>100</v>
      </c>
      <c r="V9" s="769" t="s">
        <v>17</v>
      </c>
      <c r="W9" s="770">
        <f t="shared" si="2"/>
        <v>100</v>
      </c>
      <c r="X9" s="771"/>
      <c r="Y9" s="3100"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85"/>
      <c r="Q10" s="1789"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85"/>
      <c r="Q11" s="1789">
        <f t="shared" si="6"/>
        <v>111</v>
      </c>
      <c r="R11" s="769" t="s">
        <v>17</v>
      </c>
      <c r="S11" s="770">
        <f t="shared" si="0"/>
        <v>100</v>
      </c>
      <c r="T11" s="769" t="s">
        <v>17</v>
      </c>
      <c r="U11" s="770">
        <f t="shared" si="1"/>
        <v>100</v>
      </c>
      <c r="V11" s="769" t="s">
        <v>17</v>
      </c>
      <c r="W11" s="770">
        <f t="shared" si="2"/>
        <v>100</v>
      </c>
      <c r="X11" s="771"/>
      <c r="Y11" s="3100"/>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85"/>
      <c r="Q12" s="1789">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85"/>
      <c r="Q13" s="1789">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85.25">
      <c r="A14" s="401" t="s">
        <v>2557</v>
      </c>
      <c r="B14" s="628" t="s">
        <v>2707</v>
      </c>
      <c r="C14" s="2689" t="str">
        <f>IF(B1="工业",估价对象房地状况!G4,估价对象房地状况!C6)</f>
        <v>估价对象周边2公里范围内有18路、123路、413路、635路、916路等公交线路，南距地铁二号线东直门站及东直门交通枢纽约1公里，公交便捷度较好、停车便捷程度较好，综合评价交通便捷度较好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87" t="s">
        <v>2558</v>
      </c>
      <c r="Q14" s="1804" t="str">
        <f t="shared" si="6"/>
        <v>交通便捷度</v>
      </c>
      <c r="R14" s="773" t="s">
        <v>17</v>
      </c>
      <c r="S14" s="774">
        <f t="shared" si="0"/>
        <v>100</v>
      </c>
      <c r="T14" s="773" t="s">
        <v>17</v>
      </c>
      <c r="U14" s="774">
        <f t="shared" si="1"/>
        <v>100</v>
      </c>
      <c r="V14" s="773" t="s">
        <v>17</v>
      </c>
      <c r="W14" s="774">
        <f t="shared" si="2"/>
        <v>100</v>
      </c>
      <c r="X14" s="1807"/>
      <c r="Y14" s="3287" t="s">
        <v>2558</v>
      </c>
      <c r="Z14" s="1808" t="str">
        <f t="shared" si="7"/>
        <v>交通便捷度</v>
      </c>
      <c r="AA14" s="1805">
        <f t="shared" si="3"/>
        <v>1</v>
      </c>
      <c r="AB14" s="1805">
        <f t="shared" si="4"/>
        <v>1</v>
      </c>
      <c r="AC14" s="1805">
        <f t="shared" si="5"/>
        <v>1</v>
      </c>
    </row>
    <row r="15" spans="1:29" ht="15">
      <c r="A15" s="404"/>
      <c r="B15" s="646"/>
      <c r="C15" s="447"/>
      <c r="D15" s="448"/>
      <c r="E15" s="447"/>
      <c r="F15" s="449"/>
      <c r="G15" s="447"/>
      <c r="H15" s="450"/>
      <c r="I15" s="447"/>
      <c r="J15" s="448"/>
      <c r="K15" s="615"/>
      <c r="L15" s="1142"/>
      <c r="M15" s="1133"/>
      <c r="N15" s="1133"/>
      <c r="O15" s="1133"/>
      <c r="P15" s="3288"/>
      <c r="Q15" s="1804"/>
      <c r="R15" s="773"/>
      <c r="S15" s="774"/>
      <c r="T15" s="773"/>
      <c r="U15" s="774"/>
      <c r="V15" s="773"/>
      <c r="W15" s="774"/>
      <c r="X15" s="1807"/>
      <c r="Y15" s="3288"/>
      <c r="Z15" s="1808"/>
      <c r="AA15" s="1805">
        <v>1</v>
      </c>
      <c r="AB15" s="1805">
        <v>1</v>
      </c>
      <c r="AC15" s="1805">
        <v>1</v>
      </c>
    </row>
    <row r="16" spans="1:29" ht="213.75">
      <c r="A16" s="404"/>
      <c r="B16" s="630" t="s">
        <v>2686</v>
      </c>
      <c r="C16" s="2603" t="str">
        <f>IF(B1="工业",估价对象房地状况!G5,估价对象房地状况!C7)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88"/>
      <c r="Q16" s="1804" t="str">
        <f>B16</f>
        <v>公共配套设施</v>
      </c>
      <c r="R16" s="773" t="s">
        <v>17</v>
      </c>
      <c r="S16" s="774">
        <f>F16</f>
        <v>100</v>
      </c>
      <c r="T16" s="773" t="s">
        <v>17</v>
      </c>
      <c r="U16" s="774">
        <f>H16</f>
        <v>100</v>
      </c>
      <c r="V16" s="773" t="s">
        <v>17</v>
      </c>
      <c r="W16" s="774">
        <f>J16</f>
        <v>100</v>
      </c>
      <c r="X16" s="1807"/>
      <c r="Y16" s="3288"/>
      <c r="Z16" s="1808" t="str">
        <f>Q16</f>
        <v>公共配套设施</v>
      </c>
      <c r="AA16" s="1805">
        <f t="shared" si="3"/>
        <v>1</v>
      </c>
      <c r="AB16" s="1805">
        <f t="shared" si="4"/>
        <v>1</v>
      </c>
      <c r="AC16" s="1805">
        <f t="shared" si="5"/>
        <v>1</v>
      </c>
    </row>
    <row r="17" spans="1:29" ht="15">
      <c r="A17" s="404"/>
      <c r="B17" s="631"/>
      <c r="C17" s="2604"/>
      <c r="D17" s="448"/>
      <c r="E17" s="447"/>
      <c r="F17" s="449"/>
      <c r="G17" s="447"/>
      <c r="H17" s="448"/>
      <c r="I17" s="447"/>
      <c r="J17" s="448"/>
      <c r="K17" s="615"/>
      <c r="L17" s="1142"/>
      <c r="M17" s="1133"/>
      <c r="N17" s="1133"/>
      <c r="O17" s="1133"/>
      <c r="P17" s="3288"/>
      <c r="Q17" s="1804"/>
      <c r="R17" s="773"/>
      <c r="S17" s="774"/>
      <c r="T17" s="773"/>
      <c r="U17" s="774"/>
      <c r="V17" s="773"/>
      <c r="W17" s="774"/>
      <c r="X17" s="1807"/>
      <c r="Y17" s="3288"/>
      <c r="Z17" s="1808"/>
      <c r="AA17" s="1805">
        <v>1</v>
      </c>
      <c r="AB17" s="1805">
        <v>1</v>
      </c>
      <c r="AC17" s="1805">
        <v>1</v>
      </c>
    </row>
    <row r="18" spans="1:29" ht="42.75">
      <c r="A18" s="404"/>
      <c r="B18" s="632" t="s">
        <v>2687</v>
      </c>
      <c r="C18" s="2603" t="str">
        <f>IF(B1="工业",估价对象房地状况!G6,估价对象房地状况!C8)</f>
        <v>估价对象所在区域基础设施水平好（七通）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88"/>
      <c r="Q18" s="1804" t="str">
        <f>B18</f>
        <v>基础设施水平</v>
      </c>
      <c r="R18" s="773" t="s">
        <v>17</v>
      </c>
      <c r="S18" s="774">
        <f>F18</f>
        <v>100</v>
      </c>
      <c r="T18" s="773" t="s">
        <v>17</v>
      </c>
      <c r="U18" s="774">
        <f>H18</f>
        <v>100</v>
      </c>
      <c r="V18" s="773" t="s">
        <v>17</v>
      </c>
      <c r="W18" s="774">
        <f>J18</f>
        <v>100</v>
      </c>
      <c r="X18" s="1807"/>
      <c r="Y18" s="3288"/>
      <c r="Z18" s="1808" t="str">
        <f>Q18</f>
        <v>基础设施水平</v>
      </c>
      <c r="AA18" s="1805">
        <f t="shared" ref="AA18" si="8">D18/F18</f>
        <v>1</v>
      </c>
      <c r="AB18" s="1805">
        <f t="shared" ref="AB18" si="9">D18/H18</f>
        <v>1</v>
      </c>
      <c r="AC18" s="1805">
        <f t="shared" ref="AC18" si="10">D18/J18</f>
        <v>1</v>
      </c>
    </row>
    <row r="19" spans="1:29" ht="15">
      <c r="A19" s="404"/>
      <c r="B19" s="632"/>
      <c r="C19" s="2604"/>
      <c r="D19" s="450"/>
      <c r="E19" s="2604"/>
      <c r="F19" s="453"/>
      <c r="G19" s="2604"/>
      <c r="H19" s="448"/>
      <c r="I19" s="447"/>
      <c r="J19" s="448"/>
      <c r="K19" s="1385"/>
      <c r="L19" s="1142"/>
      <c r="M19" s="1133"/>
      <c r="N19" s="1133"/>
      <c r="O19" s="1133"/>
      <c r="P19" s="3288"/>
      <c r="Q19" s="1804"/>
      <c r="R19" s="773"/>
      <c r="S19" s="774"/>
      <c r="T19" s="773"/>
      <c r="U19" s="774"/>
      <c r="V19" s="773"/>
      <c r="W19" s="774"/>
      <c r="X19" s="1807"/>
      <c r="Y19" s="3288"/>
      <c r="Z19" s="1808"/>
      <c r="AA19" s="1805">
        <v>1</v>
      </c>
      <c r="AB19" s="1805">
        <v>1</v>
      </c>
      <c r="AC19" s="1805">
        <v>1</v>
      </c>
    </row>
    <row r="20" spans="1:29" ht="99.75">
      <c r="A20" s="404"/>
      <c r="B20" s="630" t="s">
        <v>2708</v>
      </c>
      <c r="C20" s="2603" t="str">
        <f>IF(B1="工业",估价对象房地状况!G7,估价对象房地状况!C9)</f>
        <v>区域自然环境：芳沁园、南馆公园；人文环境：北京电大朝阳分校等教育机构；综合评价环境状况较好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88"/>
      <c r="Q20" s="1804" t="str">
        <f>B20</f>
        <v>自然及人文环境</v>
      </c>
      <c r="R20" s="773" t="s">
        <v>17</v>
      </c>
      <c r="S20" s="774">
        <f>F20</f>
        <v>100</v>
      </c>
      <c r="T20" s="773" t="s">
        <v>17</v>
      </c>
      <c r="U20" s="774">
        <f>H20</f>
        <v>100</v>
      </c>
      <c r="V20" s="773" t="s">
        <v>17</v>
      </c>
      <c r="W20" s="774">
        <f>J20</f>
        <v>100</v>
      </c>
      <c r="X20" s="1807"/>
      <c r="Y20" s="3288"/>
      <c r="Z20" s="1808" t="str">
        <f>Q20</f>
        <v>自然及人文环境</v>
      </c>
      <c r="AA20" s="1805">
        <f t="shared" si="3"/>
        <v>1</v>
      </c>
      <c r="AB20" s="1805">
        <f t="shared" si="4"/>
        <v>1</v>
      </c>
      <c r="AC20" s="1805">
        <f t="shared" si="5"/>
        <v>1</v>
      </c>
    </row>
    <row r="21" spans="1:29" ht="15">
      <c r="A21" s="404"/>
      <c r="B21" s="631"/>
      <c r="C21" s="447"/>
      <c r="D21" s="448"/>
      <c r="E21" s="447"/>
      <c r="F21" s="449"/>
      <c r="G21" s="447"/>
      <c r="H21" s="448"/>
      <c r="I21" s="447"/>
      <c r="J21" s="448"/>
      <c r="K21" s="615"/>
      <c r="L21" s="1142"/>
      <c r="M21" s="1133"/>
      <c r="N21" s="1133"/>
      <c r="O21" s="1133"/>
      <c r="P21" s="3288"/>
      <c r="Q21" s="1804"/>
      <c r="R21" s="773"/>
      <c r="S21" s="774"/>
      <c r="T21" s="773"/>
      <c r="U21" s="774"/>
      <c r="V21" s="773"/>
      <c r="W21" s="774"/>
      <c r="X21" s="1807"/>
      <c r="Y21" s="3288"/>
      <c r="Z21" s="1808"/>
      <c r="AA21" s="1805">
        <v>1</v>
      </c>
      <c r="AB21" s="1805">
        <v>1</v>
      </c>
      <c r="AC21" s="1805">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88"/>
      <c r="Q22" s="1804" t="str">
        <f>B22</f>
        <v>楼层</v>
      </c>
      <c r="R22" s="773" t="s">
        <v>17</v>
      </c>
      <c r="S22" s="774">
        <f>F22</f>
        <v>100</v>
      </c>
      <c r="T22" s="773" t="s">
        <v>17</v>
      </c>
      <c r="U22" s="774">
        <f>H22</f>
        <v>100</v>
      </c>
      <c r="V22" s="773" t="s">
        <v>17</v>
      </c>
      <c r="W22" s="774">
        <f>J22</f>
        <v>100</v>
      </c>
      <c r="X22" s="1807"/>
      <c r="Y22" s="3288"/>
      <c r="Z22" s="1808" t="str">
        <f>Q22</f>
        <v>楼层</v>
      </c>
      <c r="AA22" s="1805">
        <f t="shared" si="3"/>
        <v>1</v>
      </c>
      <c r="AB22" s="1805">
        <f t="shared" si="4"/>
        <v>1</v>
      </c>
      <c r="AC22" s="1805">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88"/>
      <c r="Q23" s="1804">
        <f>B23</f>
        <v>111</v>
      </c>
      <c r="R23" s="773" t="s">
        <v>17</v>
      </c>
      <c r="S23" s="774">
        <f>F23</f>
        <v>100</v>
      </c>
      <c r="T23" s="773" t="s">
        <v>17</v>
      </c>
      <c r="U23" s="774">
        <f>H23</f>
        <v>100</v>
      </c>
      <c r="V23" s="773" t="s">
        <v>17</v>
      </c>
      <c r="W23" s="774">
        <f>J23</f>
        <v>100</v>
      </c>
      <c r="X23" s="1807"/>
      <c r="Y23" s="3288"/>
      <c r="Z23" s="1808">
        <f>Q23</f>
        <v>111</v>
      </c>
      <c r="AA23" s="1805">
        <f t="shared" si="3"/>
        <v>1</v>
      </c>
      <c r="AB23" s="1805">
        <f t="shared" si="4"/>
        <v>1</v>
      </c>
      <c r="AC23" s="1805">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88"/>
      <c r="Q24" s="1804">
        <f t="shared" ref="Q24:Q36" si="11">B24</f>
        <v>111</v>
      </c>
      <c r="R24" s="773" t="s">
        <v>17</v>
      </c>
      <c r="S24" s="774">
        <f>F24</f>
        <v>100</v>
      </c>
      <c r="T24" s="773" t="s">
        <v>17</v>
      </c>
      <c r="U24" s="774">
        <f>H24</f>
        <v>100</v>
      </c>
      <c r="V24" s="773" t="s">
        <v>17</v>
      </c>
      <c r="W24" s="774">
        <f>J24</f>
        <v>100</v>
      </c>
      <c r="X24" s="1807"/>
      <c r="Y24" s="3288"/>
      <c r="Z24" s="1808">
        <f>Q24</f>
        <v>111</v>
      </c>
      <c r="AA24" s="1805">
        <f t="shared" si="3"/>
        <v>1</v>
      </c>
      <c r="AB24" s="1805">
        <f t="shared" si="4"/>
        <v>1</v>
      </c>
      <c r="AC24" s="1805">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88"/>
      <c r="Q25" s="1789">
        <f t="shared" si="11"/>
        <v>111</v>
      </c>
      <c r="R25" s="769" t="s">
        <v>17</v>
      </c>
      <c r="S25" s="770">
        <f>F25</f>
        <v>100</v>
      </c>
      <c r="T25" s="769" t="s">
        <v>17</v>
      </c>
      <c r="U25" s="770">
        <f>H25</f>
        <v>100</v>
      </c>
      <c r="V25" s="769" t="s">
        <v>17</v>
      </c>
      <c r="W25" s="770">
        <f>J25</f>
        <v>100</v>
      </c>
      <c r="X25" s="771"/>
      <c r="Y25" s="3288"/>
      <c r="Z25" s="55">
        <f>Q25</f>
        <v>111</v>
      </c>
      <c r="AA25" s="1805">
        <f>D25/F25</f>
        <v>1</v>
      </c>
      <c r="AB25" s="1805">
        <f>D25/H25</f>
        <v>1</v>
      </c>
      <c r="AC25" s="1805">
        <f>D25/J25</f>
        <v>1</v>
      </c>
    </row>
    <row r="26" spans="1:29" ht="28.5">
      <c r="A26" s="651" t="s">
        <v>2561</v>
      </c>
      <c r="B26" s="70" t="s">
        <v>2710</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3" t="s">
        <v>2563</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92" t="s">
        <v>2563</v>
      </c>
      <c r="Z26" s="1808" t="str">
        <f t="shared" ref="Z26:Z36" si="15">Q26</f>
        <v>配套类型</v>
      </c>
      <c r="AA26" s="1805">
        <f t="shared" si="3"/>
        <v>1</v>
      </c>
      <c r="AB26" s="1805">
        <f t="shared" si="4"/>
        <v>1</v>
      </c>
      <c r="AC26" s="1805">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92"/>
      <c r="Q27" s="775" t="str">
        <f t="shared" si="11"/>
        <v>项目停车位配比</v>
      </c>
      <c r="R27" s="776" t="s">
        <v>17</v>
      </c>
      <c r="S27" s="777">
        <f t="shared" si="12"/>
        <v>100</v>
      </c>
      <c r="T27" s="776" t="s">
        <v>17</v>
      </c>
      <c r="U27" s="777">
        <f t="shared" si="13"/>
        <v>100</v>
      </c>
      <c r="V27" s="776" t="s">
        <v>17</v>
      </c>
      <c r="W27" s="777">
        <f t="shared" si="14"/>
        <v>100</v>
      </c>
      <c r="X27" s="778"/>
      <c r="Y27" s="3292"/>
      <c r="Z27" s="779" t="str">
        <f t="shared" si="15"/>
        <v>项目停车位配比</v>
      </c>
      <c r="AA27" s="1805">
        <f t="shared" si="3"/>
        <v>1</v>
      </c>
      <c r="AB27" s="1805">
        <f t="shared" si="4"/>
        <v>1</v>
      </c>
      <c r="AC27" s="1805">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92"/>
      <c r="Q28" s="1804" t="str">
        <f t="shared" si="11"/>
        <v>公共部分装修</v>
      </c>
      <c r="R28" s="773" t="s">
        <v>17</v>
      </c>
      <c r="S28" s="774">
        <f t="shared" si="12"/>
        <v>100</v>
      </c>
      <c r="T28" s="773" t="s">
        <v>17</v>
      </c>
      <c r="U28" s="774">
        <f t="shared" si="13"/>
        <v>100</v>
      </c>
      <c r="V28" s="773" t="s">
        <v>17</v>
      </c>
      <c r="W28" s="774">
        <f t="shared" si="14"/>
        <v>100</v>
      </c>
      <c r="X28" s="1807"/>
      <c r="Y28" s="3292"/>
      <c r="Z28" s="1808" t="str">
        <f t="shared" si="15"/>
        <v>公共部分装修</v>
      </c>
      <c r="AA28" s="1805">
        <f t="shared" si="3"/>
        <v>1</v>
      </c>
      <c r="AB28" s="1805">
        <f t="shared" si="4"/>
        <v>1</v>
      </c>
      <c r="AC28" s="1805">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92"/>
      <c r="Q29" s="1804" t="str">
        <f t="shared" si="11"/>
        <v>成新率</v>
      </c>
      <c r="R29" s="773" t="s">
        <v>17</v>
      </c>
      <c r="S29" s="774" t="e">
        <f t="shared" si="12"/>
        <v>#N/A</v>
      </c>
      <c r="T29" s="773" t="s">
        <v>17</v>
      </c>
      <c r="U29" s="774" t="e">
        <f t="shared" si="13"/>
        <v>#N/A</v>
      </c>
      <c r="V29" s="773" t="s">
        <v>17</v>
      </c>
      <c r="W29" s="774" t="e">
        <f t="shared" si="14"/>
        <v>#N/A</v>
      </c>
      <c r="X29" s="1807"/>
      <c r="Y29" s="3292"/>
      <c r="Z29" s="1808" t="str">
        <f t="shared" si="15"/>
        <v>成新率</v>
      </c>
      <c r="AA29" s="1805" t="e">
        <f t="shared" si="3"/>
        <v>#N/A</v>
      </c>
      <c r="AB29" s="1805" t="e">
        <f t="shared" si="4"/>
        <v>#N/A</v>
      </c>
      <c r="AC29" s="1805"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92"/>
      <c r="Q30" s="1804" t="str">
        <f t="shared" si="11"/>
        <v>物业等级</v>
      </c>
      <c r="R30" s="773" t="s">
        <v>17</v>
      </c>
      <c r="S30" s="774">
        <f t="shared" si="12"/>
        <v>100</v>
      </c>
      <c r="T30" s="773" t="s">
        <v>17</v>
      </c>
      <c r="U30" s="774">
        <f t="shared" si="13"/>
        <v>100</v>
      </c>
      <c r="V30" s="773" t="s">
        <v>17</v>
      </c>
      <c r="W30" s="774">
        <f t="shared" si="14"/>
        <v>100</v>
      </c>
      <c r="X30" s="1807"/>
      <c r="Y30" s="3292"/>
      <c r="Z30" s="1808" t="str">
        <f t="shared" si="15"/>
        <v>物业等级</v>
      </c>
      <c r="AA30" s="1805">
        <f t="shared" si="3"/>
        <v>1</v>
      </c>
      <c r="AB30" s="1805">
        <f t="shared" si="4"/>
        <v>1</v>
      </c>
      <c r="AC30" s="1805">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92"/>
      <c r="Q31" s="1789" t="str">
        <f t="shared" si="11"/>
        <v>停车位面积</v>
      </c>
      <c r="R31" s="769" t="s">
        <v>17</v>
      </c>
      <c r="S31" s="770" t="e">
        <f t="shared" si="12"/>
        <v>#N/A</v>
      </c>
      <c r="T31" s="769" t="s">
        <v>17</v>
      </c>
      <c r="U31" s="770" t="e">
        <f t="shared" si="13"/>
        <v>#N/A</v>
      </c>
      <c r="V31" s="769" t="s">
        <v>17</v>
      </c>
      <c r="W31" s="770" t="e">
        <f t="shared" si="14"/>
        <v>#N/A</v>
      </c>
      <c r="X31" s="771"/>
      <c r="Y31" s="3292"/>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92" t="s">
        <v>2563</v>
      </c>
      <c r="Q32" s="1804" t="str">
        <f t="shared" si="11"/>
        <v>车位类型</v>
      </c>
      <c r="R32" s="773" t="s">
        <v>17</v>
      </c>
      <c r="S32" s="774">
        <f t="shared" si="12"/>
        <v>100</v>
      </c>
      <c r="T32" s="773" t="s">
        <v>17</v>
      </c>
      <c r="U32" s="774">
        <f t="shared" si="13"/>
        <v>100</v>
      </c>
      <c r="V32" s="773" t="s">
        <v>17</v>
      </c>
      <c r="W32" s="774">
        <f t="shared" si="14"/>
        <v>100</v>
      </c>
      <c r="X32" s="1807"/>
      <c r="Y32" s="3292" t="s">
        <v>2563</v>
      </c>
      <c r="Z32" s="1808" t="str">
        <f t="shared" si="15"/>
        <v>车位类型</v>
      </c>
      <c r="AA32" s="1805">
        <f t="shared" si="3"/>
        <v>1</v>
      </c>
      <c r="AB32" s="1805">
        <f t="shared" si="4"/>
        <v>1</v>
      </c>
      <c r="AC32" s="1805">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92"/>
      <c r="Q33" s="1804" t="str">
        <f t="shared" si="11"/>
        <v>是否直接入户</v>
      </c>
      <c r="R33" s="773" t="s">
        <v>17</v>
      </c>
      <c r="S33" s="774">
        <f t="shared" si="12"/>
        <v>100</v>
      </c>
      <c r="T33" s="773" t="s">
        <v>17</v>
      </c>
      <c r="U33" s="774">
        <f t="shared" si="13"/>
        <v>100</v>
      </c>
      <c r="V33" s="773" t="s">
        <v>17</v>
      </c>
      <c r="W33" s="774">
        <f t="shared" si="14"/>
        <v>100</v>
      </c>
      <c r="X33" s="1807"/>
      <c r="Y33" s="3292"/>
      <c r="Z33" s="1808" t="str">
        <f t="shared" si="15"/>
        <v>是否直接入户</v>
      </c>
      <c r="AA33" s="1805">
        <f t="shared" si="3"/>
        <v>1</v>
      </c>
      <c r="AB33" s="1805">
        <f t="shared" si="4"/>
        <v>1</v>
      </c>
      <c r="AC33" s="1805">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92"/>
      <c r="Q34" s="1804">
        <f t="shared" si="11"/>
        <v>111</v>
      </c>
      <c r="R34" s="773" t="s">
        <v>17</v>
      </c>
      <c r="S34" s="774">
        <f t="shared" si="12"/>
        <v>100</v>
      </c>
      <c r="T34" s="773" t="s">
        <v>17</v>
      </c>
      <c r="U34" s="774">
        <f t="shared" si="13"/>
        <v>100</v>
      </c>
      <c r="V34" s="773" t="s">
        <v>17</v>
      </c>
      <c r="W34" s="774">
        <f t="shared" si="14"/>
        <v>100</v>
      </c>
      <c r="X34" s="1807"/>
      <c r="Y34" s="3292"/>
      <c r="Z34" s="1808">
        <f t="shared" si="15"/>
        <v>111</v>
      </c>
      <c r="AA34" s="1805">
        <f t="shared" si="3"/>
        <v>1</v>
      </c>
      <c r="AB34" s="1805">
        <f t="shared" si="4"/>
        <v>1</v>
      </c>
      <c r="AC34" s="1805">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92"/>
      <c r="Q35" s="775">
        <f t="shared" si="11"/>
        <v>111</v>
      </c>
      <c r="R35" s="776" t="s">
        <v>17</v>
      </c>
      <c r="S35" s="777">
        <f t="shared" si="12"/>
        <v>100</v>
      </c>
      <c r="T35" s="776" t="s">
        <v>17</v>
      </c>
      <c r="U35" s="777">
        <f t="shared" si="13"/>
        <v>100</v>
      </c>
      <c r="V35" s="776" t="s">
        <v>17</v>
      </c>
      <c r="W35" s="777">
        <f t="shared" si="14"/>
        <v>100</v>
      </c>
      <c r="X35" s="778"/>
      <c r="Y35" s="3292"/>
      <c r="Z35" s="779">
        <f t="shared" si="15"/>
        <v>111</v>
      </c>
      <c r="AA35" s="1805">
        <f t="shared" si="3"/>
        <v>1</v>
      </c>
      <c r="AB35" s="1805">
        <f t="shared" si="4"/>
        <v>1</v>
      </c>
      <c r="AC35" s="1805">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92"/>
      <c r="Q36" s="1804">
        <f t="shared" si="11"/>
        <v>111</v>
      </c>
      <c r="R36" s="773" t="s">
        <v>17</v>
      </c>
      <c r="S36" s="774">
        <f t="shared" si="12"/>
        <v>100</v>
      </c>
      <c r="T36" s="773" t="s">
        <v>17</v>
      </c>
      <c r="U36" s="774">
        <f t="shared" si="13"/>
        <v>100</v>
      </c>
      <c r="V36" s="773" t="s">
        <v>17</v>
      </c>
      <c r="W36" s="774">
        <f t="shared" si="14"/>
        <v>100</v>
      </c>
      <c r="X36" s="1807"/>
      <c r="Y36" s="3292"/>
      <c r="Z36" s="1808">
        <f t="shared" si="15"/>
        <v>111</v>
      </c>
      <c r="AA36" s="1805">
        <f t="shared" si="3"/>
        <v>1</v>
      </c>
      <c r="AB36" s="1805">
        <f t="shared" si="4"/>
        <v>1</v>
      </c>
      <c r="AC36" s="1805">
        <f t="shared" si="5"/>
        <v>1</v>
      </c>
    </row>
    <row r="37" spans="1:29" ht="15">
      <c r="A37" s="479" t="s">
        <v>2718</v>
      </c>
      <c r="B37" s="2691" t="s">
        <v>2719</v>
      </c>
      <c r="C37" s="1409" t="s">
        <v>1</v>
      </c>
      <c r="D37" s="1410"/>
      <c r="E37" s="1411"/>
      <c r="F37" s="1412"/>
      <c r="G37" s="1413"/>
      <c r="H37" s="1414"/>
      <c r="I37" s="1411"/>
      <c r="J37" s="1414"/>
      <c r="K37" s="618"/>
      <c r="L37" s="1145"/>
      <c r="M37" s="1146"/>
      <c r="N37" s="1133"/>
      <c r="O37" s="1146"/>
      <c r="P37" s="3285" t="str">
        <f>A37</f>
        <v>成交单价</v>
      </c>
      <c r="Q37" s="3285"/>
      <c r="R37" s="3286">
        <f>E37</f>
        <v>0</v>
      </c>
      <c r="S37" s="3286"/>
      <c r="T37" s="3286">
        <f>G37</f>
        <v>0</v>
      </c>
      <c r="U37" s="3286"/>
      <c r="V37" s="3286">
        <f>I37</f>
        <v>0</v>
      </c>
      <c r="W37" s="3286"/>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82" t="str">
        <f>A39</f>
        <v>估价对象XX用房的比较价值（楼面单价，元/平方米）</v>
      </c>
      <c r="Q39" s="3283"/>
      <c r="R39" s="3284" t="e">
        <f>IF(F1="售价",ROUND(AVERAGE(R38:V38),0),ROUND(AVERAGE(R38:V38),1))</f>
        <v>#DIV/0!</v>
      </c>
      <c r="S39" s="3284"/>
      <c r="T39" s="3284"/>
      <c r="U39" s="3284"/>
      <c r="V39" s="3284"/>
      <c r="W39" s="328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40"/>
      <c r="Q48" s="1441"/>
      <c r="R48" s="1441"/>
      <c r="S48" s="1441"/>
      <c r="T48" s="1441"/>
      <c r="U48" s="1441"/>
      <c r="V48" s="1441"/>
      <c r="W48" s="1441"/>
      <c r="X48" s="1441"/>
      <c r="Y48" s="1441"/>
      <c r="Z48" s="1441"/>
      <c r="AA48" s="1441"/>
      <c r="AB48" s="1441"/>
      <c r="AC48" s="1441"/>
    </row>
    <row r="49" spans="1:29" s="117" customFormat="1" ht="15">
      <c r="A49" s="509"/>
      <c r="B49" s="510"/>
      <c r="C49" s="1566">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0"/>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20" t="e">
        <f ca="1">IF(C2="——",ROUND(C37*D3/10000,0),ROUND(C37*D3/10000,0)-D2)</f>
        <v>#DIV/0!</v>
      </c>
      <c r="C2" s="2582"/>
      <c r="D2" s="1126" t="e">
        <f ca="1">SUMIF(INDIRECT("'"&amp;F2&amp;"'"&amp;"!A:A"),"承租人权益价值",INDIRECT("'"&amp;F2&amp;"'"&amp;"!c:c"))</f>
        <v>#REF!</v>
      </c>
      <c r="E2" s="2583" t="s">
        <v>2326</v>
      </c>
      <c r="F2" s="258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55" t="s">
        <v>2645</v>
      </c>
      <c r="S4" s="3256"/>
      <c r="T4" s="3255" t="s">
        <v>2646</v>
      </c>
      <c r="U4" s="3256"/>
      <c r="V4" s="3280" t="s">
        <v>2647</v>
      </c>
      <c r="W4" s="3280"/>
      <c r="X4" s="1807"/>
      <c r="Y4" s="3255" t="s">
        <v>2649</v>
      </c>
      <c r="Z4" s="3256"/>
      <c r="AA4" s="3250" t="s">
        <v>2645</v>
      </c>
      <c r="AB4" s="3251" t="s">
        <v>2646</v>
      </c>
      <c r="AC4" s="3250" t="s">
        <v>2647</v>
      </c>
    </row>
    <row r="5" spans="1:29" ht="15">
      <c r="A5" s="404"/>
      <c r="B5" s="405"/>
      <c r="C5" s="3261" t="s">
        <v>2540</v>
      </c>
      <c r="D5" s="3262"/>
      <c r="E5" s="3259" t="s">
        <v>2541</v>
      </c>
      <c r="F5" s="3260"/>
      <c r="G5" s="3261" t="s">
        <v>2542</v>
      </c>
      <c r="H5" s="3262"/>
      <c r="I5" s="3261" t="s">
        <v>2543</v>
      </c>
      <c r="J5" s="3262"/>
      <c r="K5" s="610"/>
      <c r="L5" s="1132"/>
      <c r="M5" s="1133"/>
      <c r="N5" s="1133"/>
      <c r="O5" s="1133"/>
      <c r="P5" s="3274"/>
      <c r="Q5" s="3275"/>
      <c r="R5" s="3257"/>
      <c r="S5" s="3258"/>
      <c r="T5" s="3257"/>
      <c r="U5" s="3258"/>
      <c r="V5" s="3280"/>
      <c r="W5" s="3280"/>
      <c r="X5" s="1807"/>
      <c r="Y5" s="3257"/>
      <c r="Z5" s="3258"/>
      <c r="AA5" s="3251"/>
      <c r="AB5" s="3251"/>
      <c r="AC5" s="3251"/>
    </row>
    <row r="6" spans="1:29" ht="15.75" thickBot="1">
      <c r="A6" s="406"/>
      <c r="B6" s="407"/>
      <c r="C6" s="3263" t="s">
        <v>2544</v>
      </c>
      <c r="D6" s="3264"/>
      <c r="E6" s="3265" t="s">
        <v>2544</v>
      </c>
      <c r="F6" s="3266"/>
      <c r="G6" s="3263" t="s">
        <v>2544</v>
      </c>
      <c r="H6" s="3264"/>
      <c r="I6" s="3263" t="s">
        <v>2544</v>
      </c>
      <c r="J6" s="3264"/>
      <c r="K6" s="610" t="s">
        <v>2545</v>
      </c>
      <c r="L6" s="1132"/>
      <c r="M6" s="1133"/>
      <c r="N6" s="1133"/>
      <c r="O6" s="1133"/>
      <c r="P6" s="3276"/>
      <c r="Q6" s="3277"/>
      <c r="R6" s="3257"/>
      <c r="S6" s="3258"/>
      <c r="T6" s="3278"/>
      <c r="U6" s="3279"/>
      <c r="V6" s="3280"/>
      <c r="W6" s="3280"/>
      <c r="X6" s="1807"/>
      <c r="Y6" s="3278"/>
      <c r="Z6" s="3279"/>
      <c r="AA6" s="3252"/>
      <c r="AB6" s="3252"/>
      <c r="AC6" s="3252"/>
    </row>
    <row r="7" spans="1:29" s="117" customFormat="1" ht="15.75" thickBot="1">
      <c r="A7" s="408" t="s">
        <v>2546</v>
      </c>
      <c r="B7" s="409"/>
      <c r="C7" s="410">
        <f>'数据-取费表'!B2</f>
        <v>43957</v>
      </c>
      <c r="D7" s="411">
        <v>100</v>
      </c>
      <c r="E7" s="412"/>
      <c r="F7" s="413">
        <f>SUMIF(46:46,YEAR(E7)&amp;"-"&amp;MONTH(E7),47:47)</f>
        <v>0</v>
      </c>
      <c r="G7" s="2692"/>
      <c r="H7" s="411">
        <f>SUMIF(46:46,YEAR(G7)&amp;"-"&amp;MONTH(G7),47:47)</f>
        <v>0</v>
      </c>
      <c r="I7" s="412"/>
      <c r="J7" s="411">
        <f>SUMIF(46:46,YEAR(I7)&amp;"-"&amp;MONTH(I7),47:47)</f>
        <v>0</v>
      </c>
      <c r="K7" s="611"/>
      <c r="L7" s="1134"/>
      <c r="M7" s="1135"/>
      <c r="N7" s="1135"/>
      <c r="O7" s="1135"/>
      <c r="P7" s="3253" t="s">
        <v>2547</v>
      </c>
      <c r="Q7" s="3281"/>
      <c r="R7" s="769" t="s">
        <v>17</v>
      </c>
      <c r="S7" s="770">
        <f t="shared" ref="S7:S14" si="0">F7</f>
        <v>0</v>
      </c>
      <c r="T7" s="769" t="s">
        <v>17</v>
      </c>
      <c r="U7" s="770">
        <f t="shared" ref="U7:U14" si="1">H7</f>
        <v>0</v>
      </c>
      <c r="V7" s="769" t="s">
        <v>17</v>
      </c>
      <c r="W7" s="770">
        <f t="shared" ref="W7:W14" si="2">J7</f>
        <v>0</v>
      </c>
      <c r="X7" s="771"/>
      <c r="Y7" s="3253" t="s">
        <v>2547</v>
      </c>
      <c r="Z7" s="3254"/>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53" t="s">
        <v>2550</v>
      </c>
      <c r="Q8" s="3254"/>
      <c r="R8" s="769" t="s">
        <v>17</v>
      </c>
      <c r="S8" s="770">
        <f t="shared" si="0"/>
        <v>0</v>
      </c>
      <c r="T8" s="769" t="s">
        <v>17</v>
      </c>
      <c r="U8" s="770">
        <f t="shared" si="1"/>
        <v>0</v>
      </c>
      <c r="V8" s="769" t="s">
        <v>17</v>
      </c>
      <c r="W8" s="770">
        <f t="shared" si="2"/>
        <v>0</v>
      </c>
      <c r="X8" s="771"/>
      <c r="Y8" s="3253" t="s">
        <v>2550</v>
      </c>
      <c r="Z8" s="3254"/>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85" t="s">
        <v>2553</v>
      </c>
      <c r="Q9" s="1789" t="str">
        <f t="shared" ref="Q9:Q14" si="6">B9</f>
        <v>用途</v>
      </c>
      <c r="R9" s="769" t="s">
        <v>17</v>
      </c>
      <c r="S9" s="770">
        <f t="shared" si="0"/>
        <v>100</v>
      </c>
      <c r="T9" s="769" t="s">
        <v>17</v>
      </c>
      <c r="U9" s="770">
        <f t="shared" si="1"/>
        <v>100</v>
      </c>
      <c r="V9" s="769" t="s">
        <v>17</v>
      </c>
      <c r="W9" s="770">
        <f t="shared" si="2"/>
        <v>100</v>
      </c>
      <c r="X9" s="771"/>
      <c r="Y9" s="3100"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85"/>
      <c r="Q10" s="1789" t="str">
        <f t="shared" si="6"/>
        <v>土地使用年限（年）</v>
      </c>
      <c r="R10" s="769" t="s">
        <v>17</v>
      </c>
      <c r="S10" s="770">
        <f t="shared" si="0"/>
        <v>100</v>
      </c>
      <c r="T10" s="769" t="s">
        <v>17</v>
      </c>
      <c r="U10" s="770">
        <f t="shared" si="1"/>
        <v>100</v>
      </c>
      <c r="V10" s="769" t="s">
        <v>17</v>
      </c>
      <c r="W10" s="770">
        <f t="shared" si="2"/>
        <v>100</v>
      </c>
      <c r="X10" s="771"/>
      <c r="Y10" s="3100"/>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85"/>
      <c r="Q11" s="1789">
        <f t="shared" si="6"/>
        <v>111</v>
      </c>
      <c r="R11" s="769" t="s">
        <v>17</v>
      </c>
      <c r="S11" s="770">
        <f t="shared" si="0"/>
        <v>100</v>
      </c>
      <c r="T11" s="769" t="s">
        <v>17</v>
      </c>
      <c r="U11" s="770">
        <f t="shared" si="1"/>
        <v>100</v>
      </c>
      <c r="V11" s="769" t="s">
        <v>17</v>
      </c>
      <c r="W11" s="770">
        <f t="shared" si="2"/>
        <v>100</v>
      </c>
      <c r="X11" s="771"/>
      <c r="Y11" s="3100"/>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85"/>
      <c r="Q12" s="1789">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2"/>
      <c r="M13" s="1133"/>
      <c r="N13" s="1133"/>
      <c r="O13" s="1141"/>
      <c r="P13" s="3285"/>
      <c r="Q13" s="1789">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85.25">
      <c r="A14" s="440" t="s">
        <v>2557</v>
      </c>
      <c r="B14" s="69" t="s">
        <v>2707</v>
      </c>
      <c r="C14" s="2689" t="str">
        <f>IF(B1="工业",估价对象房地状况!G4,估价对象房地状况!C6)</f>
        <v>估价对象周边2公里范围内有18路、123路、413路、635路、916路等公交线路，南距地铁二号线东直门站及东直门交通枢纽约1公里，公交便捷度较好、停车便捷程度较好，综合评价交通便捷度较好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87" t="s">
        <v>2558</v>
      </c>
      <c r="Q14" s="1804" t="str">
        <f t="shared" si="6"/>
        <v>交通便捷度</v>
      </c>
      <c r="R14" s="773" t="s">
        <v>17</v>
      </c>
      <c r="S14" s="774">
        <f t="shared" si="0"/>
        <v>100</v>
      </c>
      <c r="T14" s="773" t="s">
        <v>17</v>
      </c>
      <c r="U14" s="774">
        <f t="shared" si="1"/>
        <v>100</v>
      </c>
      <c r="V14" s="773" t="s">
        <v>17</v>
      </c>
      <c r="W14" s="774">
        <f t="shared" si="2"/>
        <v>100</v>
      </c>
      <c r="X14" s="1807"/>
      <c r="Y14" s="3287" t="s">
        <v>2558</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42"/>
      <c r="M15" s="1133"/>
      <c r="N15" s="1133"/>
      <c r="O15" s="1141"/>
      <c r="P15" s="3288"/>
      <c r="Q15" s="1804"/>
      <c r="R15" s="773"/>
      <c r="S15" s="774"/>
      <c r="T15" s="773"/>
      <c r="U15" s="774"/>
      <c r="V15" s="773"/>
      <c r="W15" s="774"/>
      <c r="X15" s="1807"/>
      <c r="Y15" s="3288"/>
      <c r="Z15" s="1808"/>
      <c r="AA15" s="1805">
        <v>1</v>
      </c>
      <c r="AB15" s="1805">
        <v>1</v>
      </c>
      <c r="AC15" s="1805">
        <v>1</v>
      </c>
    </row>
    <row r="16" spans="1:29" ht="213.75">
      <c r="A16" s="428"/>
      <c r="B16" s="451" t="s">
        <v>2686</v>
      </c>
      <c r="C16" s="2603" t="str">
        <f>IF(B1="工业",估价对象房地状况!G5,估价对象房地状况!C7)</f>
        <v>估价对象所在区域公共配套设施齐备情况较齐全（购物场所（华润万家便利超市等）、医院（左家庄医院、北京中医药大学东直门医院等）、银行（中国工商银行、中国建设银行、中国银行等）、学校（北京市东直门中学等））</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88"/>
      <c r="Q16" s="1804" t="str">
        <f>B16</f>
        <v>公共配套设施</v>
      </c>
      <c r="R16" s="773" t="s">
        <v>17</v>
      </c>
      <c r="S16" s="774">
        <f>F16</f>
        <v>100</v>
      </c>
      <c r="T16" s="773" t="s">
        <v>17</v>
      </c>
      <c r="U16" s="774">
        <f>H16</f>
        <v>100</v>
      </c>
      <c r="V16" s="773" t="s">
        <v>17</v>
      </c>
      <c r="W16" s="774">
        <f>J16</f>
        <v>100</v>
      </c>
      <c r="X16" s="1807"/>
      <c r="Y16" s="3288"/>
      <c r="Z16" s="1808" t="str">
        <f>Q16</f>
        <v>公共配套设施</v>
      </c>
      <c r="AA16" s="1805">
        <f t="shared" si="3"/>
        <v>1</v>
      </c>
      <c r="AB16" s="1805">
        <f t="shared" si="4"/>
        <v>1</v>
      </c>
      <c r="AC16" s="1805">
        <f t="shared" si="5"/>
        <v>1</v>
      </c>
    </row>
    <row r="17" spans="1:29" ht="15">
      <c r="A17" s="428"/>
      <c r="B17" s="456"/>
      <c r="C17" s="2604"/>
      <c r="D17" s="448"/>
      <c r="E17" s="447"/>
      <c r="F17" s="449"/>
      <c r="G17" s="447"/>
      <c r="H17" s="448"/>
      <c r="I17" s="447"/>
      <c r="J17" s="448"/>
      <c r="K17" s="615"/>
      <c r="L17" s="1142"/>
      <c r="M17" s="1133"/>
      <c r="N17" s="1133"/>
      <c r="O17" s="1141"/>
      <c r="P17" s="3288"/>
      <c r="Q17" s="1804"/>
      <c r="R17" s="773"/>
      <c r="S17" s="774"/>
      <c r="T17" s="773"/>
      <c r="U17" s="774"/>
      <c r="V17" s="773"/>
      <c r="W17" s="774"/>
      <c r="X17" s="1807"/>
      <c r="Y17" s="3288"/>
      <c r="Z17" s="1808"/>
      <c r="AA17" s="1805">
        <v>1</v>
      </c>
      <c r="AB17" s="1805">
        <v>1</v>
      </c>
      <c r="AC17" s="1805">
        <v>1</v>
      </c>
    </row>
    <row r="18" spans="1:29" ht="42.75">
      <c r="A18" s="428"/>
      <c r="B18" s="1386" t="s">
        <v>2687</v>
      </c>
      <c r="C18" s="2603" t="str">
        <f>IF(B1="工业",估价对象房地状况!G6,估价对象房地状况!C8)</f>
        <v>估价对象所在区域基础设施水平好（七通）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88"/>
      <c r="Q18" s="1804" t="str">
        <f>B18</f>
        <v>基础设施水平</v>
      </c>
      <c r="R18" s="773" t="s">
        <v>17</v>
      </c>
      <c r="S18" s="774">
        <f>F18</f>
        <v>100</v>
      </c>
      <c r="T18" s="773" t="s">
        <v>17</v>
      </c>
      <c r="U18" s="774">
        <f>H18</f>
        <v>100</v>
      </c>
      <c r="V18" s="773" t="s">
        <v>17</v>
      </c>
      <c r="W18" s="774">
        <f>J18</f>
        <v>100</v>
      </c>
      <c r="X18" s="1807"/>
      <c r="Y18" s="3288"/>
      <c r="Z18" s="1808" t="str">
        <f>Q18</f>
        <v>基础设施水平</v>
      </c>
      <c r="AA18" s="1805">
        <f t="shared" ref="AA18" si="8">D18/F18</f>
        <v>1</v>
      </c>
      <c r="AB18" s="1805">
        <f t="shared" ref="AB18" si="9">D18/H18</f>
        <v>1</v>
      </c>
      <c r="AC18" s="1805">
        <f t="shared" ref="AC18" si="10">D18/J18</f>
        <v>1</v>
      </c>
    </row>
    <row r="19" spans="1:29" ht="15">
      <c r="A19" s="428"/>
      <c r="B19" s="1386"/>
      <c r="C19" s="2604"/>
      <c r="D19" s="450"/>
      <c r="E19" s="2604"/>
      <c r="F19" s="453"/>
      <c r="G19" s="2604"/>
      <c r="H19" s="448"/>
      <c r="I19" s="447"/>
      <c r="J19" s="448"/>
      <c r="K19" s="1385"/>
      <c r="L19" s="1142"/>
      <c r="M19" s="1133"/>
      <c r="N19" s="1133"/>
      <c r="O19" s="1141"/>
      <c r="P19" s="3288"/>
      <c r="Q19" s="1804"/>
      <c r="R19" s="773"/>
      <c r="S19" s="774"/>
      <c r="T19" s="773"/>
      <c r="U19" s="774"/>
      <c r="V19" s="773"/>
      <c r="W19" s="774"/>
      <c r="X19" s="1807"/>
      <c r="Y19" s="3288"/>
      <c r="Z19" s="1808"/>
      <c r="AA19" s="1805">
        <v>1</v>
      </c>
      <c r="AB19" s="1805">
        <v>1</v>
      </c>
      <c r="AC19" s="1805">
        <v>1</v>
      </c>
    </row>
    <row r="20" spans="1:29" ht="99.75">
      <c r="A20" s="428"/>
      <c r="B20" s="451" t="s">
        <v>2708</v>
      </c>
      <c r="C20" s="2603" t="str">
        <f>IF(B1="工业",估价对象房地状况!G7,估价对象房地状况!C9)</f>
        <v>区域自然环境：芳沁园、南馆公园；人文环境：北京电大朝阳分校等教育机构；综合评价环境状况较好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88"/>
      <c r="Q20" s="1804" t="str">
        <f>B20</f>
        <v>自然及人文环境</v>
      </c>
      <c r="R20" s="773" t="s">
        <v>17</v>
      </c>
      <c r="S20" s="774">
        <f>F20</f>
        <v>100</v>
      </c>
      <c r="T20" s="773" t="s">
        <v>17</v>
      </c>
      <c r="U20" s="774">
        <f>H20</f>
        <v>100</v>
      </c>
      <c r="V20" s="773" t="s">
        <v>17</v>
      </c>
      <c r="W20" s="774">
        <f>J20</f>
        <v>100</v>
      </c>
      <c r="X20" s="1807"/>
      <c r="Y20" s="3288"/>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42"/>
      <c r="M21" s="1133"/>
      <c r="N21" s="1133"/>
      <c r="O21" s="1141"/>
      <c r="P21" s="3288"/>
      <c r="Q21" s="1804"/>
      <c r="R21" s="773"/>
      <c r="S21" s="774"/>
      <c r="T21" s="773"/>
      <c r="U21" s="774"/>
      <c r="V21" s="773"/>
      <c r="W21" s="774"/>
      <c r="X21" s="1807"/>
      <c r="Y21" s="3288"/>
      <c r="Z21" s="1808"/>
      <c r="AA21" s="1805">
        <v>1</v>
      </c>
      <c r="AB21" s="1805">
        <v>1</v>
      </c>
      <c r="AC21" s="180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88"/>
      <c r="Q22" s="1804" t="str">
        <f>B22</f>
        <v>楼层</v>
      </c>
      <c r="R22" s="773" t="s">
        <v>17</v>
      </c>
      <c r="S22" s="774">
        <f>F22</f>
        <v>100</v>
      </c>
      <c r="T22" s="773" t="s">
        <v>17</v>
      </c>
      <c r="U22" s="774">
        <f>H22</f>
        <v>100</v>
      </c>
      <c r="V22" s="773" t="s">
        <v>17</v>
      </c>
      <c r="W22" s="774">
        <f>J22</f>
        <v>100</v>
      </c>
      <c r="X22" s="1807"/>
      <c r="Y22" s="3288"/>
      <c r="Z22" s="1808" t="str">
        <f>Q22</f>
        <v>楼层</v>
      </c>
      <c r="AA22" s="1805">
        <f t="shared" si="3"/>
        <v>1</v>
      </c>
      <c r="AB22" s="1805">
        <f t="shared" si="4"/>
        <v>1</v>
      </c>
      <c r="AC22" s="1805">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88"/>
      <c r="Q23" s="1804">
        <f>B23</f>
        <v>111</v>
      </c>
      <c r="R23" s="773" t="s">
        <v>17</v>
      </c>
      <c r="S23" s="774">
        <f>F23</f>
        <v>100</v>
      </c>
      <c r="T23" s="773" t="s">
        <v>17</v>
      </c>
      <c r="U23" s="774">
        <f>H23</f>
        <v>100</v>
      </c>
      <c r="V23" s="773" t="s">
        <v>17</v>
      </c>
      <c r="W23" s="774">
        <f>J23</f>
        <v>100</v>
      </c>
      <c r="X23" s="1807"/>
      <c r="Y23" s="3288"/>
      <c r="Z23" s="1808">
        <f>Q23</f>
        <v>111</v>
      </c>
      <c r="AA23" s="1805">
        <f t="shared" si="3"/>
        <v>1</v>
      </c>
      <c r="AB23" s="1805">
        <f t="shared" si="4"/>
        <v>1</v>
      </c>
      <c r="AC23" s="1805">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88"/>
      <c r="Q24" s="1804">
        <f t="shared" ref="Q24:Q34" si="11">B24</f>
        <v>111</v>
      </c>
      <c r="R24" s="773" t="s">
        <v>17</v>
      </c>
      <c r="S24" s="774">
        <f>F24</f>
        <v>100</v>
      </c>
      <c r="T24" s="773" t="s">
        <v>17</v>
      </c>
      <c r="U24" s="774">
        <f>H24</f>
        <v>100</v>
      </c>
      <c r="V24" s="773" t="s">
        <v>17</v>
      </c>
      <c r="W24" s="774">
        <f>J24</f>
        <v>100</v>
      </c>
      <c r="X24" s="1807"/>
      <c r="Y24" s="3288"/>
      <c r="Z24" s="1808">
        <f>Q24</f>
        <v>111</v>
      </c>
      <c r="AA24" s="1805">
        <f t="shared" si="3"/>
        <v>1</v>
      </c>
      <c r="AB24" s="1805">
        <f t="shared" si="4"/>
        <v>1</v>
      </c>
      <c r="AC24" s="1805">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34"/>
      <c r="M25" s="1135"/>
      <c r="N25" s="1135"/>
      <c r="O25" s="1136"/>
      <c r="P25" s="3288"/>
      <c r="Q25" s="1789">
        <f t="shared" si="11"/>
        <v>111</v>
      </c>
      <c r="R25" s="769" t="s">
        <v>17</v>
      </c>
      <c r="S25" s="770">
        <f>F25</f>
        <v>100</v>
      </c>
      <c r="T25" s="769" t="s">
        <v>17</v>
      </c>
      <c r="U25" s="770">
        <f>H25</f>
        <v>100</v>
      </c>
      <c r="V25" s="769" t="s">
        <v>17</v>
      </c>
      <c r="W25" s="770">
        <f>J25</f>
        <v>100</v>
      </c>
      <c r="X25" s="771"/>
      <c r="Y25" s="3288"/>
      <c r="Z25" s="55">
        <f>Q25</f>
        <v>111</v>
      </c>
      <c r="AA25" s="1805">
        <f>D25/F25</f>
        <v>1</v>
      </c>
      <c r="AB25" s="1805">
        <f>D25/H25</f>
        <v>1</v>
      </c>
      <c r="AC25" s="1805">
        <f>D25/J25</f>
        <v>1</v>
      </c>
    </row>
    <row r="26" spans="1:29" ht="28.5">
      <c r="A26" s="466" t="s">
        <v>2561</v>
      </c>
      <c r="B26" s="71" t="s">
        <v>2712</v>
      </c>
      <c r="C26" s="2675"/>
      <c r="D26" s="467">
        <v>100</v>
      </c>
      <c r="E26" s="2675"/>
      <c r="F26" s="666">
        <f>SUMIF(77:77,E26,78:78)-SUMIF(77:77,C26,78:78)+100</f>
        <v>100</v>
      </c>
      <c r="G26" s="2675"/>
      <c r="H26" s="467">
        <f>SUMIF(77:77,G26,78:78)-SUMIF(77:77,C26,78:78)+100</f>
        <v>100</v>
      </c>
      <c r="I26" s="2675"/>
      <c r="J26" s="467">
        <f>SUMIF(77:77,I26,78:78)-SUMIF(77:77,C26,78:78)+100</f>
        <v>100</v>
      </c>
      <c r="K26" s="612"/>
      <c r="L26" s="1142"/>
      <c r="M26" s="1133"/>
      <c r="N26" s="1133"/>
      <c r="O26" s="1141"/>
      <c r="P26" s="3313" t="s">
        <v>2563</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92" t="s">
        <v>2563</v>
      </c>
      <c r="Z26" s="1808" t="str">
        <f t="shared" ref="Z26:Z34" si="15">Q26</f>
        <v>公共部分装修</v>
      </c>
      <c r="AA26" s="1805">
        <f t="shared" si="3"/>
        <v>1</v>
      </c>
      <c r="AB26" s="1805">
        <f t="shared" si="4"/>
        <v>1</v>
      </c>
      <c r="AC26" s="1805">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92"/>
      <c r="Q27" s="775" t="str">
        <f t="shared" si="11"/>
        <v>成新率</v>
      </c>
      <c r="R27" s="776" t="s">
        <v>17</v>
      </c>
      <c r="S27" s="777" t="e">
        <f t="shared" si="12"/>
        <v>#N/A</v>
      </c>
      <c r="T27" s="776" t="s">
        <v>17</v>
      </c>
      <c r="U27" s="777" t="e">
        <f t="shared" si="13"/>
        <v>#N/A</v>
      </c>
      <c r="V27" s="776" t="s">
        <v>17</v>
      </c>
      <c r="W27" s="777" t="e">
        <f t="shared" si="14"/>
        <v>#N/A</v>
      </c>
      <c r="X27" s="778"/>
      <c r="Y27" s="3292"/>
      <c r="Z27" s="779" t="str">
        <f t="shared" si="15"/>
        <v>成新率</v>
      </c>
      <c r="AA27" s="1805" t="e">
        <f t="shared" si="3"/>
        <v>#N/A</v>
      </c>
      <c r="AB27" s="1805" t="e">
        <f t="shared" si="4"/>
        <v>#N/A</v>
      </c>
      <c r="AC27" s="180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92"/>
      <c r="Q28" s="1804" t="str">
        <f t="shared" si="11"/>
        <v>物业等级</v>
      </c>
      <c r="R28" s="773" t="s">
        <v>17</v>
      </c>
      <c r="S28" s="774">
        <f t="shared" si="12"/>
        <v>100</v>
      </c>
      <c r="T28" s="773" t="s">
        <v>17</v>
      </c>
      <c r="U28" s="774">
        <f t="shared" si="13"/>
        <v>100</v>
      </c>
      <c r="V28" s="773" t="s">
        <v>17</v>
      </c>
      <c r="W28" s="774">
        <f t="shared" si="14"/>
        <v>100</v>
      </c>
      <c r="X28" s="1807"/>
      <c r="Y28" s="3292"/>
      <c r="Z28" s="1808" t="str">
        <f t="shared" si="15"/>
        <v>物业等级</v>
      </c>
      <c r="AA28" s="1805">
        <f t="shared" si="3"/>
        <v>1</v>
      </c>
      <c r="AB28" s="1805">
        <f t="shared" si="4"/>
        <v>1</v>
      </c>
      <c r="AC28" s="1805">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92"/>
      <c r="Q29" s="1804" t="str">
        <f t="shared" si="11"/>
        <v>有无电梯</v>
      </c>
      <c r="R29" s="773" t="s">
        <v>17</v>
      </c>
      <c r="S29" s="774">
        <f t="shared" si="12"/>
        <v>100</v>
      </c>
      <c r="T29" s="773" t="s">
        <v>17</v>
      </c>
      <c r="U29" s="774">
        <f t="shared" si="13"/>
        <v>100</v>
      </c>
      <c r="V29" s="773" t="s">
        <v>17</v>
      </c>
      <c r="W29" s="774">
        <f t="shared" si="14"/>
        <v>100</v>
      </c>
      <c r="X29" s="1807"/>
      <c r="Y29" s="3292"/>
      <c r="Z29" s="1808" t="str">
        <f t="shared" si="15"/>
        <v>有无电梯</v>
      </c>
      <c r="AA29" s="1805">
        <f t="shared" si="3"/>
        <v>1</v>
      </c>
      <c r="AB29" s="1805">
        <f t="shared" si="4"/>
        <v>1</v>
      </c>
      <c r="AC29" s="180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92"/>
      <c r="Q30" s="1804" t="str">
        <f t="shared" si="11"/>
        <v>建筑面积</v>
      </c>
      <c r="R30" s="773" t="s">
        <v>17</v>
      </c>
      <c r="S30" s="774" t="e">
        <f t="shared" si="12"/>
        <v>#N/A</v>
      </c>
      <c r="T30" s="773" t="s">
        <v>17</v>
      </c>
      <c r="U30" s="774" t="e">
        <f t="shared" si="13"/>
        <v>#N/A</v>
      </c>
      <c r="V30" s="773" t="s">
        <v>17</v>
      </c>
      <c r="W30" s="774" t="e">
        <f t="shared" si="14"/>
        <v>#N/A</v>
      </c>
      <c r="X30" s="1807"/>
      <c r="Y30" s="3292"/>
      <c r="Z30" s="1808" t="str">
        <f t="shared" si="15"/>
        <v>建筑面积</v>
      </c>
      <c r="AA30" s="1805" t="e">
        <f t="shared" si="3"/>
        <v>#N/A</v>
      </c>
      <c r="AB30" s="1805" t="e">
        <f t="shared" si="4"/>
        <v>#N/A</v>
      </c>
      <c r="AC30" s="1805"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92"/>
      <c r="Q31" s="1789" t="str">
        <f t="shared" si="11"/>
        <v>是否封闭</v>
      </c>
      <c r="R31" s="769" t="s">
        <v>17</v>
      </c>
      <c r="S31" s="770">
        <f t="shared" si="12"/>
        <v>100</v>
      </c>
      <c r="T31" s="769" t="s">
        <v>17</v>
      </c>
      <c r="U31" s="770">
        <f t="shared" si="13"/>
        <v>100</v>
      </c>
      <c r="V31" s="769" t="s">
        <v>17</v>
      </c>
      <c r="W31" s="770">
        <f t="shared" si="14"/>
        <v>100</v>
      </c>
      <c r="X31" s="771"/>
      <c r="Y31" s="3292"/>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92" t="s">
        <v>2563</v>
      </c>
      <c r="Q32" s="1804">
        <f t="shared" si="11"/>
        <v>111</v>
      </c>
      <c r="R32" s="773" t="s">
        <v>17</v>
      </c>
      <c r="S32" s="774">
        <f t="shared" si="12"/>
        <v>100</v>
      </c>
      <c r="T32" s="773" t="s">
        <v>17</v>
      </c>
      <c r="U32" s="774">
        <f t="shared" si="13"/>
        <v>100</v>
      </c>
      <c r="V32" s="773" t="s">
        <v>17</v>
      </c>
      <c r="W32" s="774">
        <f t="shared" si="14"/>
        <v>100</v>
      </c>
      <c r="X32" s="1807"/>
      <c r="Y32" s="3292" t="s">
        <v>2563</v>
      </c>
      <c r="Z32" s="1808">
        <f t="shared" si="15"/>
        <v>111</v>
      </c>
      <c r="AA32" s="1805">
        <f t="shared" si="3"/>
        <v>1</v>
      </c>
      <c r="AB32" s="1805">
        <f t="shared" si="4"/>
        <v>1</v>
      </c>
      <c r="AC32" s="1805">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92"/>
      <c r="Q33" s="1804">
        <f t="shared" si="11"/>
        <v>111</v>
      </c>
      <c r="R33" s="773" t="s">
        <v>17</v>
      </c>
      <c r="S33" s="774">
        <f t="shared" si="12"/>
        <v>100</v>
      </c>
      <c r="T33" s="773" t="s">
        <v>17</v>
      </c>
      <c r="U33" s="774">
        <f t="shared" si="13"/>
        <v>100</v>
      </c>
      <c r="V33" s="773" t="s">
        <v>17</v>
      </c>
      <c r="W33" s="774">
        <f t="shared" si="14"/>
        <v>100</v>
      </c>
      <c r="X33" s="1807"/>
      <c r="Y33" s="3292"/>
      <c r="Z33" s="1808">
        <f t="shared" si="15"/>
        <v>111</v>
      </c>
      <c r="AA33" s="1805">
        <f t="shared" si="3"/>
        <v>1</v>
      </c>
      <c r="AB33" s="1805">
        <f t="shared" si="4"/>
        <v>1</v>
      </c>
      <c r="AC33" s="1805">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2"/>
      <c r="M34" s="1133"/>
      <c r="N34" s="1133"/>
      <c r="O34" s="1141"/>
      <c r="P34" s="3292"/>
      <c r="Q34" s="1804">
        <f t="shared" si="11"/>
        <v>111</v>
      </c>
      <c r="R34" s="773" t="s">
        <v>17</v>
      </c>
      <c r="S34" s="774">
        <f t="shared" si="12"/>
        <v>100</v>
      </c>
      <c r="T34" s="773" t="s">
        <v>17</v>
      </c>
      <c r="U34" s="774">
        <f t="shared" si="13"/>
        <v>100</v>
      </c>
      <c r="V34" s="773" t="s">
        <v>17</v>
      </c>
      <c r="W34" s="774">
        <f t="shared" si="14"/>
        <v>100</v>
      </c>
      <c r="X34" s="1807"/>
      <c r="Y34" s="3292"/>
      <c r="Z34" s="1808">
        <f t="shared" si="15"/>
        <v>111</v>
      </c>
      <c r="AA34" s="1805">
        <f t="shared" si="3"/>
        <v>1</v>
      </c>
      <c r="AB34" s="1805">
        <f t="shared" si="4"/>
        <v>1</v>
      </c>
      <c r="AC34" s="1805">
        <f t="shared" si="5"/>
        <v>1</v>
      </c>
    </row>
    <row r="35" spans="1:29" ht="15">
      <c r="A35" s="479" t="s">
        <v>2575</v>
      </c>
      <c r="B35" s="480"/>
      <c r="C35" s="1409" t="s">
        <v>1</v>
      </c>
      <c r="D35" s="1410"/>
      <c r="E35" s="1411"/>
      <c r="F35" s="1412"/>
      <c r="G35" s="1413"/>
      <c r="H35" s="1414"/>
      <c r="I35" s="1411"/>
      <c r="J35" s="1414"/>
      <c r="K35" s="782"/>
      <c r="L35" s="1145"/>
      <c r="M35" s="1146"/>
      <c r="N35" s="1133"/>
      <c r="O35" s="1146"/>
      <c r="P35" s="3285" t="str">
        <f>A35</f>
        <v>成交单价（元/平方米）</v>
      </c>
      <c r="Q35" s="3285"/>
      <c r="R35" s="3286">
        <f>E35</f>
        <v>0</v>
      </c>
      <c r="S35" s="3286"/>
      <c r="T35" s="3286">
        <f>G35</f>
        <v>0</v>
      </c>
      <c r="U35" s="3286"/>
      <c r="V35" s="3286">
        <f>I35</f>
        <v>0</v>
      </c>
      <c r="W35" s="3286"/>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82" t="str">
        <f>A37</f>
        <v>估价对象XX用房的比较价值（楼面单价，元/平方米）</v>
      </c>
      <c r="Q37" s="3283"/>
      <c r="R37" s="3284" t="e">
        <f>IF(F1="售价",ROUND(AVERAGE(R36:V36),0),ROUND(AVERAGE(R36:V36),1))</f>
        <v>#DIV/0!</v>
      </c>
      <c r="S37" s="3284"/>
      <c r="T37" s="3284"/>
      <c r="U37" s="3284"/>
      <c r="V37" s="3284"/>
      <c r="W37" s="328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3"/>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55" t="s">
        <v>2645</v>
      </c>
      <c r="S4" s="3256"/>
      <c r="T4" s="3255" t="s">
        <v>2646</v>
      </c>
      <c r="U4" s="3256"/>
      <c r="V4" s="3280" t="s">
        <v>2647</v>
      </c>
      <c r="W4" s="3280"/>
      <c r="X4" s="1807"/>
      <c r="Y4" s="3255" t="s">
        <v>2649</v>
      </c>
      <c r="Z4" s="3256"/>
      <c r="AA4" s="3250" t="s">
        <v>2645</v>
      </c>
      <c r="AB4" s="3251" t="s">
        <v>2646</v>
      </c>
      <c r="AC4" s="3250" t="s">
        <v>2647</v>
      </c>
    </row>
    <row r="5" spans="1:30" ht="15">
      <c r="A5" s="404"/>
      <c r="B5" s="405"/>
      <c r="C5" s="3261" t="s">
        <v>2540</v>
      </c>
      <c r="D5" s="3262"/>
      <c r="E5" s="3259" t="s">
        <v>2541</v>
      </c>
      <c r="F5" s="3260"/>
      <c r="G5" s="3261" t="s">
        <v>2542</v>
      </c>
      <c r="H5" s="3262"/>
      <c r="I5" s="3261" t="s">
        <v>2543</v>
      </c>
      <c r="J5" s="3262"/>
      <c r="K5" s="610"/>
      <c r="L5" s="1132"/>
      <c r="M5" s="1133"/>
      <c r="N5" s="1133"/>
      <c r="O5" s="1133"/>
      <c r="P5" s="3274"/>
      <c r="Q5" s="3275"/>
      <c r="R5" s="3257"/>
      <c r="S5" s="3258"/>
      <c r="T5" s="3257"/>
      <c r="U5" s="3258"/>
      <c r="V5" s="3280"/>
      <c r="W5" s="3280"/>
      <c r="X5" s="1807"/>
      <c r="Y5" s="3257"/>
      <c r="Z5" s="3258"/>
      <c r="AA5" s="3251"/>
      <c r="AB5" s="3251"/>
      <c r="AC5" s="3251"/>
    </row>
    <row r="6" spans="1:30" ht="15.75" thickBot="1">
      <c r="A6" s="406"/>
      <c r="B6" s="407"/>
      <c r="C6" s="3263" t="s">
        <v>2544</v>
      </c>
      <c r="D6" s="3264"/>
      <c r="E6" s="3265" t="s">
        <v>2544</v>
      </c>
      <c r="F6" s="3266"/>
      <c r="G6" s="3263" t="s">
        <v>2544</v>
      </c>
      <c r="H6" s="3264"/>
      <c r="I6" s="3263" t="s">
        <v>2544</v>
      </c>
      <c r="J6" s="3264"/>
      <c r="K6" s="610" t="s">
        <v>2545</v>
      </c>
      <c r="L6" s="1132"/>
      <c r="M6" s="1133"/>
      <c r="N6" s="1133"/>
      <c r="O6" s="1133"/>
      <c r="P6" s="3276"/>
      <c r="Q6" s="3277"/>
      <c r="R6" s="3257"/>
      <c r="S6" s="3258"/>
      <c r="T6" s="3278"/>
      <c r="U6" s="3279"/>
      <c r="V6" s="3280"/>
      <c r="W6" s="3280"/>
      <c r="X6" s="1807"/>
      <c r="Y6" s="3278"/>
      <c r="Z6" s="3279"/>
      <c r="AA6" s="3252"/>
      <c r="AB6" s="3252"/>
      <c r="AC6" s="3252"/>
    </row>
    <row r="7" spans="1:30" s="117" customFormat="1" ht="15.75" thickBot="1">
      <c r="A7" s="408" t="s">
        <v>2546</v>
      </c>
      <c r="B7" s="409"/>
      <c r="C7" s="410">
        <f>'数据-取费表'!B2</f>
        <v>43957</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4"/>
      <c r="M7" s="1135"/>
      <c r="N7" s="1135"/>
      <c r="O7" s="1135"/>
      <c r="P7" s="3253" t="s">
        <v>2547</v>
      </c>
      <c r="Q7" s="3281"/>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53" t="s">
        <v>2550</v>
      </c>
      <c r="Q8" s="3254"/>
      <c r="R8" s="769" t="s">
        <v>17</v>
      </c>
      <c r="S8" s="770">
        <f t="shared" si="0"/>
        <v>0</v>
      </c>
      <c r="T8" s="769" t="s">
        <v>17</v>
      </c>
      <c r="U8" s="770">
        <f t="shared" si="1"/>
        <v>0</v>
      </c>
      <c r="V8" s="769" t="s">
        <v>17</v>
      </c>
      <c r="W8" s="770">
        <f t="shared" si="2"/>
        <v>0</v>
      </c>
      <c r="X8" s="771"/>
      <c r="Y8" s="3253" t="s">
        <v>2550</v>
      </c>
      <c r="Z8" s="3254"/>
      <c r="AA8" s="772" t="e">
        <f t="shared" ref="AA8:AA45" si="3">D8/F8</f>
        <v>#DIV/0!</v>
      </c>
      <c r="AB8" s="772" t="e">
        <f t="shared" ref="AB8:AB45" si="4">D8/H8</f>
        <v>#DIV/0!</v>
      </c>
      <c r="AC8" s="772" t="e">
        <f t="shared" ref="AC8:AC45" si="5">D8/J8</f>
        <v>#DIV/0!</v>
      </c>
    </row>
    <row r="9" spans="1:30" s="117" customFormat="1">
      <c r="A9" s="415" t="s">
        <v>2551</v>
      </c>
      <c r="B9" s="71" t="s">
        <v>2552</v>
      </c>
      <c r="C9" s="2695"/>
      <c r="D9" s="135">
        <v>100</v>
      </c>
      <c r="E9" s="2695"/>
      <c r="F9" s="135">
        <f>SUMIF(75:75,E9,76:76)-SUMIF(75:75,C9,76:76)+100</f>
        <v>100</v>
      </c>
      <c r="G9" s="2695"/>
      <c r="H9" s="135">
        <f>SUMIF(75:75,G9,76:76)-SUMIF(75:75,C9,76:76)+100</f>
        <v>100</v>
      </c>
      <c r="I9" s="2695"/>
      <c r="J9" s="135">
        <f>SUMIF(75:75,I9,76:76)-SUMIF(75:75,C9,76:76)+100</f>
        <v>100</v>
      </c>
      <c r="K9" s="611"/>
      <c r="L9" s="1134"/>
      <c r="M9" s="1135"/>
      <c r="N9" s="1135"/>
      <c r="O9" s="1136"/>
      <c r="P9" s="3285" t="s">
        <v>2553</v>
      </c>
      <c r="Q9" s="1789" t="str">
        <f t="shared" ref="Q9:Q15" si="6">B9</f>
        <v>用途</v>
      </c>
      <c r="R9" s="769" t="s">
        <v>17</v>
      </c>
      <c r="S9" s="770">
        <f t="shared" si="0"/>
        <v>100</v>
      </c>
      <c r="T9" s="769" t="s">
        <v>17</v>
      </c>
      <c r="U9" s="770">
        <f t="shared" si="1"/>
        <v>100</v>
      </c>
      <c r="V9" s="769" t="s">
        <v>17</v>
      </c>
      <c r="W9" s="770">
        <f t="shared" si="2"/>
        <v>100</v>
      </c>
      <c r="X9" s="771"/>
      <c r="Y9" s="3100"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 ca="1">ROUND(100/'数据-取费表'!G16,0)</f>
        <v>122</v>
      </c>
      <c r="G10" s="463"/>
      <c r="H10" s="136">
        <f ca="1">ROUND(100/'数据-取费表'!G16,0)</f>
        <v>122</v>
      </c>
      <c r="I10" s="463"/>
      <c r="J10" s="136">
        <f ca="1">ROUND(100/'数据-取费表'!G16,0)</f>
        <v>122</v>
      </c>
      <c r="K10" s="671"/>
      <c r="L10" s="1137"/>
      <c r="M10" s="1138"/>
      <c r="N10" s="1138"/>
      <c r="O10" s="1139"/>
      <c r="P10" s="3285"/>
      <c r="Q10" s="1789" t="str">
        <f t="shared" si="6"/>
        <v>土地使用年限（年）</v>
      </c>
      <c r="R10" s="769" t="s">
        <v>17</v>
      </c>
      <c r="S10" s="770">
        <f t="shared" ca="1" si="0"/>
        <v>122</v>
      </c>
      <c r="T10" s="769" t="s">
        <v>17</v>
      </c>
      <c r="U10" s="770">
        <f t="shared" ca="1" si="1"/>
        <v>122</v>
      </c>
      <c r="V10" s="769" t="s">
        <v>17</v>
      </c>
      <c r="W10" s="770">
        <f t="shared" ca="1" si="2"/>
        <v>122</v>
      </c>
      <c r="X10" s="771"/>
      <c r="Y10" s="3100"/>
      <c r="Z10" s="55" t="str">
        <f t="shared" si="7"/>
        <v>土地使用年限（年）</v>
      </c>
      <c r="AA10" s="772">
        <f t="shared" ca="1" si="3"/>
        <v>0.81967213114754101</v>
      </c>
      <c r="AB10" s="772">
        <f t="shared" ca="1" si="4"/>
        <v>0.81967213114754101</v>
      </c>
      <c r="AC10" s="772">
        <f t="shared" ca="1" si="5"/>
        <v>0.81967213114754101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85"/>
      <c r="Q11" s="1789"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772" t="e">
        <f t="shared" si="5"/>
        <v>#N/A</v>
      </c>
    </row>
    <row r="12" spans="1:30" s="117" customFormat="1" ht="15">
      <c r="A12" s="431"/>
      <c r="B12" s="2596"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85"/>
      <c r="Q12" s="1789" t="str">
        <f t="shared" si="6"/>
        <v>配建</v>
      </c>
      <c r="R12" s="769" t="s">
        <v>17</v>
      </c>
      <c r="S12" s="770">
        <f t="shared" si="0"/>
        <v>100</v>
      </c>
      <c r="T12" s="769" t="s">
        <v>17</v>
      </c>
      <c r="U12" s="770">
        <f t="shared" si="1"/>
        <v>100</v>
      </c>
      <c r="V12" s="769" t="s">
        <v>17</v>
      </c>
      <c r="W12" s="770">
        <f t="shared" si="2"/>
        <v>100</v>
      </c>
      <c r="X12" s="771"/>
      <c r="Y12" s="3100"/>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85"/>
      <c r="Q13" s="1789">
        <f t="shared" si="6"/>
        <v>111</v>
      </c>
      <c r="R13" s="769" t="s">
        <v>17</v>
      </c>
      <c r="S13" s="770">
        <f t="shared" si="0"/>
        <v>100</v>
      </c>
      <c r="T13" s="769" t="s">
        <v>17</v>
      </c>
      <c r="U13" s="770">
        <f t="shared" si="1"/>
        <v>100</v>
      </c>
      <c r="V13" s="769" t="s">
        <v>17</v>
      </c>
      <c r="W13" s="770">
        <f t="shared" si="2"/>
        <v>100</v>
      </c>
      <c r="X13" s="771"/>
      <c r="Y13" s="3100"/>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85"/>
      <c r="Q14" s="1789">
        <f t="shared" si="6"/>
        <v>111</v>
      </c>
      <c r="R14" s="769" t="s">
        <v>17</v>
      </c>
      <c r="S14" s="770">
        <f t="shared" si="0"/>
        <v>100</v>
      </c>
      <c r="T14" s="769" t="s">
        <v>17</v>
      </c>
      <c r="U14" s="770">
        <f t="shared" si="1"/>
        <v>100</v>
      </c>
      <c r="V14" s="769" t="s">
        <v>17</v>
      </c>
      <c r="W14" s="770">
        <f t="shared" si="2"/>
        <v>100</v>
      </c>
      <c r="X14" s="771"/>
      <c r="Y14" s="3100"/>
      <c r="Z14" s="55">
        <f t="shared" si="7"/>
        <v>111</v>
      </c>
      <c r="AA14" s="772">
        <f>D14/F14</f>
        <v>1</v>
      </c>
      <c r="AB14" s="772">
        <f>D14/H14</f>
        <v>1</v>
      </c>
      <c r="AC14" s="772">
        <f>D14/J14</f>
        <v>1</v>
      </c>
    </row>
    <row r="15" spans="1:30" ht="99.75">
      <c r="A15" s="440" t="s">
        <v>2557</v>
      </c>
      <c r="B15" s="69" t="s">
        <v>2083</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87" t="s">
        <v>2558</v>
      </c>
      <c r="Q15" s="1804" t="str">
        <f t="shared" si="6"/>
        <v>居住社区成熟度</v>
      </c>
      <c r="R15" s="773" t="s">
        <v>17</v>
      </c>
      <c r="S15" s="774">
        <f t="shared" si="0"/>
        <v>100</v>
      </c>
      <c r="T15" s="773" t="s">
        <v>17</v>
      </c>
      <c r="U15" s="774">
        <f t="shared" si="1"/>
        <v>100</v>
      </c>
      <c r="V15" s="773" t="s">
        <v>17</v>
      </c>
      <c r="W15" s="774">
        <f t="shared" si="2"/>
        <v>100</v>
      </c>
      <c r="X15" s="1807"/>
      <c r="Y15" s="3287" t="s">
        <v>2558</v>
      </c>
      <c r="Z15" s="1808" t="str">
        <f t="shared" si="7"/>
        <v>居住社区成熟度</v>
      </c>
      <c r="AA15" s="1805">
        <f t="shared" si="3"/>
        <v>1</v>
      </c>
      <c r="AB15" s="1805">
        <f t="shared" si="4"/>
        <v>1</v>
      </c>
      <c r="AC15" s="1805">
        <f t="shared" si="5"/>
        <v>1</v>
      </c>
    </row>
    <row r="16" spans="1:30" ht="15">
      <c r="A16" s="428"/>
      <c r="B16" s="446"/>
      <c r="C16" s="447"/>
      <c r="D16" s="448"/>
      <c r="E16" s="2601"/>
      <c r="F16" s="448"/>
      <c r="G16" s="2601"/>
      <c r="H16" s="450"/>
      <c r="I16" s="2600"/>
      <c r="J16" s="448"/>
      <c r="K16" s="671"/>
      <c r="L16" s="1142"/>
      <c r="M16" s="1133"/>
      <c r="N16" s="1133"/>
      <c r="O16" s="1141"/>
      <c r="P16" s="3288"/>
      <c r="Q16" s="1804"/>
      <c r="R16" s="773"/>
      <c r="S16" s="774"/>
      <c r="T16" s="773"/>
      <c r="U16" s="774"/>
      <c r="V16" s="773"/>
      <c r="W16" s="774"/>
      <c r="X16" s="1807"/>
      <c r="Y16" s="3288"/>
      <c r="Z16" s="1808"/>
      <c r="AA16" s="1805">
        <v>1</v>
      </c>
      <c r="AB16" s="1805">
        <v>1</v>
      </c>
      <c r="AC16" s="1805">
        <v>1</v>
      </c>
    </row>
    <row r="17" spans="1:29" ht="71.25">
      <c r="A17" s="428"/>
      <c r="B17" s="451" t="s">
        <v>2651</v>
      </c>
      <c r="C17" s="2660"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88"/>
      <c r="Q17" s="1804" t="str">
        <f>B17</f>
        <v>商业繁华度</v>
      </c>
      <c r="R17" s="773" t="s">
        <v>17</v>
      </c>
      <c r="S17" s="774">
        <f>F17</f>
        <v>100</v>
      </c>
      <c r="T17" s="773" t="s">
        <v>17</v>
      </c>
      <c r="U17" s="774">
        <f>H17</f>
        <v>100</v>
      </c>
      <c r="V17" s="773" t="s">
        <v>17</v>
      </c>
      <c r="W17" s="774">
        <f>J17</f>
        <v>100</v>
      </c>
      <c r="X17" s="1807"/>
      <c r="Y17" s="3288"/>
      <c r="Z17" s="1808" t="str">
        <f>Q17</f>
        <v>商业繁华度</v>
      </c>
      <c r="AA17" s="1805">
        <f t="shared" si="3"/>
        <v>1</v>
      </c>
      <c r="AB17" s="1805">
        <f t="shared" si="4"/>
        <v>1</v>
      </c>
      <c r="AC17" s="1805">
        <f t="shared" si="5"/>
        <v>1</v>
      </c>
    </row>
    <row r="18" spans="1:29" ht="15">
      <c r="A18" s="428"/>
      <c r="B18" s="456"/>
      <c r="C18" s="2604"/>
      <c r="D18" s="450"/>
      <c r="E18" s="2606"/>
      <c r="F18" s="450"/>
      <c r="G18" s="2606"/>
      <c r="H18" s="448"/>
      <c r="I18" s="2605"/>
      <c r="J18" s="448"/>
      <c r="K18" s="671"/>
      <c r="L18" s="1142"/>
      <c r="M18" s="1133"/>
      <c r="N18" s="1133"/>
      <c r="O18" s="1141"/>
      <c r="P18" s="3288"/>
      <c r="Q18" s="1804"/>
      <c r="R18" s="773"/>
      <c r="S18" s="774"/>
      <c r="T18" s="773"/>
      <c r="U18" s="774"/>
      <c r="V18" s="773"/>
      <c r="W18" s="774"/>
      <c r="X18" s="1807"/>
      <c r="Y18" s="3288"/>
      <c r="Z18" s="1808"/>
      <c r="AA18" s="1805">
        <v>1</v>
      </c>
      <c r="AB18" s="1805">
        <v>1</v>
      </c>
      <c r="AC18" s="1805">
        <v>1</v>
      </c>
    </row>
    <row r="19" spans="1:29" ht="71.25">
      <c r="A19" s="428"/>
      <c r="B19" s="451" t="s">
        <v>2685</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88"/>
      <c r="Q19" s="1804" t="str">
        <f>B19</f>
        <v>办公集聚程度</v>
      </c>
      <c r="R19" s="773" t="s">
        <v>17</v>
      </c>
      <c r="S19" s="774">
        <f>F19</f>
        <v>100</v>
      </c>
      <c r="T19" s="773" t="s">
        <v>17</v>
      </c>
      <c r="U19" s="774">
        <f>H19</f>
        <v>100</v>
      </c>
      <c r="V19" s="773" t="s">
        <v>17</v>
      </c>
      <c r="W19" s="774">
        <f>J19</f>
        <v>100</v>
      </c>
      <c r="X19" s="1807"/>
      <c r="Y19" s="3288"/>
      <c r="Z19" s="1808" t="str">
        <f>Q19</f>
        <v>办公集聚程度</v>
      </c>
      <c r="AA19" s="1805">
        <f t="shared" si="3"/>
        <v>1</v>
      </c>
      <c r="AB19" s="1805">
        <f t="shared" si="4"/>
        <v>1</v>
      </c>
      <c r="AC19" s="1805">
        <f t="shared" si="5"/>
        <v>1</v>
      </c>
    </row>
    <row r="20" spans="1:29" ht="15">
      <c r="A20" s="428"/>
      <c r="B20" s="456"/>
      <c r="C20" s="447"/>
      <c r="D20" s="448"/>
      <c r="E20" s="2601"/>
      <c r="F20" s="448"/>
      <c r="G20" s="2601"/>
      <c r="H20" s="448"/>
      <c r="I20" s="2600"/>
      <c r="J20" s="448"/>
      <c r="K20" s="671"/>
      <c r="L20" s="1142"/>
      <c r="M20" s="1133"/>
      <c r="N20" s="1133"/>
      <c r="O20" s="1141"/>
      <c r="P20" s="3288"/>
      <c r="Q20" s="1804"/>
      <c r="R20" s="773"/>
      <c r="S20" s="774"/>
      <c r="T20" s="773"/>
      <c r="U20" s="774"/>
      <c r="V20" s="773"/>
      <c r="W20" s="774"/>
      <c r="X20" s="1807"/>
      <c r="Y20" s="3288"/>
      <c r="Z20" s="1808"/>
      <c r="AA20" s="1805">
        <v>1</v>
      </c>
      <c r="AB20" s="1805">
        <v>1</v>
      </c>
      <c r="AC20" s="1805">
        <v>1</v>
      </c>
    </row>
    <row r="21" spans="1:29" ht="185.25">
      <c r="A21" s="428"/>
      <c r="B21" s="451" t="s">
        <v>2707</v>
      </c>
      <c r="C21" s="2603" t="str">
        <f>估价对象房地状况!C18</f>
        <v>估价对象周边2公里范围内有18路、123路、413路、635路、916路等公交线路，南距地铁二号线东直门站及东直门交通枢纽约1公里，公交便捷度较好、停车便捷程度较好，综合评价交通便捷度较好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88"/>
      <c r="Q21" s="1804" t="str">
        <f>B21</f>
        <v>交通便捷度</v>
      </c>
      <c r="R21" s="773" t="s">
        <v>17</v>
      </c>
      <c r="S21" s="774">
        <f>F21</f>
        <v>100</v>
      </c>
      <c r="T21" s="773" t="s">
        <v>17</v>
      </c>
      <c r="U21" s="774">
        <f>H21</f>
        <v>100</v>
      </c>
      <c r="V21" s="773" t="s">
        <v>17</v>
      </c>
      <c r="W21" s="774">
        <f>J21</f>
        <v>100</v>
      </c>
      <c r="X21" s="1807"/>
      <c r="Y21" s="3288"/>
      <c r="Z21" s="1808" t="str">
        <f>Q21</f>
        <v>交通便捷度</v>
      </c>
      <c r="AA21" s="1805">
        <f t="shared" si="3"/>
        <v>1</v>
      </c>
      <c r="AB21" s="1805">
        <f t="shared" si="4"/>
        <v>1</v>
      </c>
      <c r="AC21" s="1805">
        <f t="shared" si="5"/>
        <v>1</v>
      </c>
    </row>
    <row r="22" spans="1:29" ht="15">
      <c r="A22" s="428"/>
      <c r="B22" s="1386"/>
      <c r="C22" s="447"/>
      <c r="D22" s="450"/>
      <c r="E22" s="2601"/>
      <c r="F22" s="448"/>
      <c r="G22" s="2601"/>
      <c r="H22" s="448"/>
      <c r="I22" s="2600"/>
      <c r="J22" s="448"/>
      <c r="K22" s="671"/>
      <c r="L22" s="1142"/>
      <c r="M22" s="1133"/>
      <c r="N22" s="1133"/>
      <c r="O22" s="1141"/>
      <c r="P22" s="3288"/>
      <c r="Q22" s="1804"/>
      <c r="R22" s="773"/>
      <c r="S22" s="774"/>
      <c r="T22" s="773"/>
      <c r="U22" s="774"/>
      <c r="V22" s="773"/>
      <c r="W22" s="774"/>
      <c r="X22" s="1807"/>
      <c r="Y22" s="3288"/>
      <c r="Z22" s="1808"/>
      <c r="AA22" s="1805">
        <v>1</v>
      </c>
      <c r="AB22" s="1805">
        <v>1</v>
      </c>
      <c r="AC22" s="1805">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88"/>
      <c r="Q23" s="1804" t="str">
        <f t="shared" ref="Q23:Q37" si="8">B23</f>
        <v>区域土地利用方向</v>
      </c>
      <c r="R23" s="773" t="s">
        <v>17</v>
      </c>
      <c r="S23" s="774">
        <f>F23</f>
        <v>100</v>
      </c>
      <c r="T23" s="773" t="s">
        <v>17</v>
      </c>
      <c r="U23" s="774">
        <f>H23</f>
        <v>100</v>
      </c>
      <c r="V23" s="773" t="s">
        <v>17</v>
      </c>
      <c r="W23" s="774">
        <f>J23</f>
        <v>100</v>
      </c>
      <c r="X23" s="1807"/>
      <c r="Y23" s="3288"/>
      <c r="Z23" s="1808" t="str">
        <f>Q23</f>
        <v>区域土地利用方向</v>
      </c>
      <c r="AA23" s="1805">
        <f t="shared" si="3"/>
        <v>1</v>
      </c>
      <c r="AB23" s="1805">
        <f t="shared" si="4"/>
        <v>1</v>
      </c>
      <c r="AC23" s="1805">
        <f t="shared" si="5"/>
        <v>1</v>
      </c>
    </row>
    <row r="24" spans="1:29" ht="15">
      <c r="A24" s="404"/>
      <c r="B24" s="456"/>
      <c r="C24" s="616"/>
      <c r="D24" s="448"/>
      <c r="E24" s="2601"/>
      <c r="F24" s="448"/>
      <c r="G24" s="2600"/>
      <c r="H24" s="448"/>
      <c r="I24" s="2600"/>
      <c r="J24" s="448"/>
      <c r="K24" s="811"/>
      <c r="L24" s="1142"/>
      <c r="M24" s="1133"/>
      <c r="N24" s="1133"/>
      <c r="O24" s="1141"/>
      <c r="P24" s="3288"/>
      <c r="Q24" s="1804"/>
      <c r="R24" s="773"/>
      <c r="S24" s="774"/>
      <c r="T24" s="773"/>
      <c r="U24" s="774"/>
      <c r="V24" s="773"/>
      <c r="W24" s="774"/>
      <c r="X24" s="1807"/>
      <c r="Y24" s="3288"/>
      <c r="Z24" s="1808"/>
      <c r="AA24" s="1805"/>
      <c r="AB24" s="1805"/>
      <c r="AC24" s="1805"/>
    </row>
    <row r="25" spans="1:29" ht="99.75">
      <c r="A25" s="404"/>
      <c r="B25" s="1386" t="s">
        <v>2747</v>
      </c>
      <c r="C25" s="2660" t="str">
        <f>估价对象房地状况!C20</f>
        <v>区域自然环境：芳沁园、南馆公园；人文环境：北京电大朝阳分校等教育机构；综合评价环境状况较好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88"/>
      <c r="Q25" s="1804" t="str">
        <f t="shared" si="8"/>
        <v>自然及人文环境状况</v>
      </c>
      <c r="R25" s="773" t="s">
        <v>17</v>
      </c>
      <c r="S25" s="774">
        <f>F25</f>
        <v>100</v>
      </c>
      <c r="T25" s="773" t="s">
        <v>17</v>
      </c>
      <c r="U25" s="774">
        <f>H25</f>
        <v>100</v>
      </c>
      <c r="V25" s="773" t="s">
        <v>17</v>
      </c>
      <c r="W25" s="774">
        <f>J25</f>
        <v>100</v>
      </c>
      <c r="X25" s="1807"/>
      <c r="Y25" s="3288"/>
      <c r="Z25" s="1808" t="str">
        <f>Q25</f>
        <v>自然及人文环境状况</v>
      </c>
      <c r="AA25" s="1805">
        <f t="shared" si="3"/>
        <v>1</v>
      </c>
      <c r="AB25" s="1805">
        <f t="shared" si="4"/>
        <v>1</v>
      </c>
      <c r="AC25" s="1805">
        <f t="shared" si="5"/>
        <v>1</v>
      </c>
    </row>
    <row r="26" spans="1:29" ht="15">
      <c r="A26" s="404"/>
      <c r="B26" s="456"/>
      <c r="C26" s="447"/>
      <c r="D26" s="448"/>
      <c r="E26" s="2607"/>
      <c r="F26" s="448"/>
      <c r="G26" s="2607"/>
      <c r="H26" s="448"/>
      <c r="I26" s="447"/>
      <c r="J26" s="448"/>
      <c r="K26" s="671"/>
      <c r="L26" s="1142"/>
      <c r="M26" s="1133"/>
      <c r="N26" s="1133"/>
      <c r="O26" s="1141"/>
      <c r="P26" s="3288"/>
      <c r="Q26" s="1804"/>
      <c r="R26" s="773"/>
      <c r="S26" s="774"/>
      <c r="T26" s="773"/>
      <c r="U26" s="774"/>
      <c r="V26" s="773"/>
      <c r="W26" s="774"/>
      <c r="X26" s="1807"/>
      <c r="Y26" s="3288"/>
      <c r="Z26" s="1808"/>
      <c r="AA26" s="1805">
        <v>1</v>
      </c>
      <c r="AB26" s="1805">
        <v>1</v>
      </c>
      <c r="AC26" s="1805">
        <v>1</v>
      </c>
    </row>
    <row r="27" spans="1:29" s="117" customFormat="1" ht="213.75">
      <c r="A27" s="648"/>
      <c r="B27" s="1386" t="s">
        <v>2652</v>
      </c>
      <c r="C27" s="2603"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88"/>
      <c r="Q27" s="1789" t="str">
        <f t="shared" si="8"/>
        <v>公共配套设施</v>
      </c>
      <c r="R27" s="769" t="s">
        <v>17</v>
      </c>
      <c r="S27" s="770">
        <f>F27</f>
        <v>100</v>
      </c>
      <c r="T27" s="769" t="s">
        <v>17</v>
      </c>
      <c r="U27" s="770">
        <f>H27</f>
        <v>100</v>
      </c>
      <c r="V27" s="769" t="s">
        <v>17</v>
      </c>
      <c r="W27" s="770">
        <f>J27</f>
        <v>100</v>
      </c>
      <c r="X27" s="771"/>
      <c r="Y27" s="3288"/>
      <c r="Z27" s="55" t="str">
        <f>Q27</f>
        <v>公共配套设施</v>
      </c>
      <c r="AA27" s="1805">
        <f>D27/F27</f>
        <v>1</v>
      </c>
      <c r="AB27" s="1805">
        <f>D27/H27</f>
        <v>1</v>
      </c>
      <c r="AC27" s="1805">
        <f>D27/J27</f>
        <v>1</v>
      </c>
    </row>
    <row r="28" spans="1:29" s="117" customFormat="1" ht="15">
      <c r="A28" s="648"/>
      <c r="B28" s="456"/>
      <c r="C28" s="2696"/>
      <c r="D28" s="448"/>
      <c r="E28" s="2607"/>
      <c r="F28" s="448"/>
      <c r="G28" s="2607"/>
      <c r="H28" s="448"/>
      <c r="I28" s="447"/>
      <c r="J28" s="448"/>
      <c r="K28" s="671"/>
      <c r="L28" s="1134"/>
      <c r="M28" s="1135"/>
      <c r="N28" s="1135"/>
      <c r="O28" s="1136"/>
      <c r="P28" s="3288"/>
      <c r="Q28" s="1789"/>
      <c r="R28" s="769"/>
      <c r="S28" s="770"/>
      <c r="T28" s="769"/>
      <c r="U28" s="770"/>
      <c r="V28" s="769"/>
      <c r="W28" s="770"/>
      <c r="X28" s="771"/>
      <c r="Y28" s="3288"/>
      <c r="Z28" s="55"/>
      <c r="AA28" s="1805">
        <v>1</v>
      </c>
      <c r="AB28" s="1805">
        <v>1</v>
      </c>
      <c r="AC28" s="1805">
        <v>1</v>
      </c>
    </row>
    <row r="29" spans="1:29" s="117" customFormat="1" ht="42.75">
      <c r="A29" s="648"/>
      <c r="B29" s="1386" t="s">
        <v>2653</v>
      </c>
      <c r="C29" s="2603" t="str">
        <f>估价对象房地状况!C22</f>
        <v>估价对象所在区域基础设施水平好（七通）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88"/>
      <c r="Q29" s="1789" t="str">
        <f t="shared" ref="Q29" si="9">B29</f>
        <v>基础设施水平</v>
      </c>
      <c r="R29" s="769" t="s">
        <v>17</v>
      </c>
      <c r="S29" s="770">
        <f>F29</f>
        <v>100</v>
      </c>
      <c r="T29" s="769" t="s">
        <v>17</v>
      </c>
      <c r="U29" s="770">
        <f>H29</f>
        <v>100</v>
      </c>
      <c r="V29" s="769" t="s">
        <v>17</v>
      </c>
      <c r="W29" s="770">
        <f>J29</f>
        <v>100</v>
      </c>
      <c r="X29" s="771"/>
      <c r="Y29" s="3288"/>
      <c r="Z29" s="55" t="str">
        <f>Q29</f>
        <v>基础设施水平</v>
      </c>
      <c r="AA29" s="1805">
        <f>D29/F29</f>
        <v>1</v>
      </c>
      <c r="AB29" s="1805">
        <f>D29/H29</f>
        <v>1</v>
      </c>
      <c r="AC29" s="1805">
        <f>D29/J29</f>
        <v>1</v>
      </c>
    </row>
    <row r="30" spans="1:29" s="117" customFormat="1" ht="15">
      <c r="A30" s="648"/>
      <c r="B30" s="456"/>
      <c r="C30" s="2696"/>
      <c r="D30" s="448"/>
      <c r="E30" s="2697"/>
      <c r="F30" s="448"/>
      <c r="G30" s="2697"/>
      <c r="H30" s="448"/>
      <c r="I30" s="2697"/>
      <c r="J30" s="448"/>
      <c r="K30" s="671"/>
      <c r="L30" s="1134"/>
      <c r="M30" s="1135"/>
      <c r="N30" s="1135"/>
      <c r="O30" s="1136"/>
      <c r="P30" s="3288"/>
      <c r="Q30" s="1789"/>
      <c r="R30" s="769"/>
      <c r="S30" s="770"/>
      <c r="T30" s="769"/>
      <c r="U30" s="770"/>
      <c r="V30" s="769"/>
      <c r="W30" s="770"/>
      <c r="X30" s="771"/>
      <c r="Y30" s="3288"/>
      <c r="Z30" s="55"/>
      <c r="AA30" s="1805">
        <v>1</v>
      </c>
      <c r="AB30" s="1805">
        <v>1</v>
      </c>
      <c r="AC30" s="1805">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88"/>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88"/>
      <c r="Z31" s="1808" t="str">
        <f t="shared" ref="Z31:Z45" si="13">Q31</f>
        <v>临街状况</v>
      </c>
      <c r="AA31" s="1805">
        <f t="shared" si="3"/>
        <v>1</v>
      </c>
      <c r="AB31" s="1805">
        <f t="shared" si="4"/>
        <v>1</v>
      </c>
      <c r="AC31" s="1805">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88"/>
      <c r="Q32" s="1804" t="str">
        <f t="shared" si="8"/>
        <v>毗邻道路的类型与等级</v>
      </c>
      <c r="R32" s="773" t="s">
        <v>17</v>
      </c>
      <c r="S32" s="774">
        <f t="shared" si="10"/>
        <v>100</v>
      </c>
      <c r="T32" s="773" t="s">
        <v>17</v>
      </c>
      <c r="U32" s="774">
        <f t="shared" si="11"/>
        <v>100</v>
      </c>
      <c r="V32" s="773" t="s">
        <v>17</v>
      </c>
      <c r="W32" s="774">
        <f t="shared" si="12"/>
        <v>100</v>
      </c>
      <c r="X32" s="1807"/>
      <c r="Y32" s="3288"/>
      <c r="Z32" s="1808" t="str">
        <f t="shared" si="13"/>
        <v>毗邻道路的类型与等级</v>
      </c>
      <c r="AA32" s="1805">
        <f t="shared" si="3"/>
        <v>1</v>
      </c>
      <c r="AB32" s="1805">
        <f t="shared" si="4"/>
        <v>1</v>
      </c>
      <c r="AC32" s="1805">
        <f t="shared" si="5"/>
        <v>1</v>
      </c>
    </row>
    <row r="33" spans="1:29" ht="15">
      <c r="A33" s="428"/>
      <c r="B33" s="456"/>
      <c r="C33" s="447"/>
      <c r="D33" s="448"/>
      <c r="E33" s="2607"/>
      <c r="F33" s="448"/>
      <c r="G33" s="2607"/>
      <c r="H33" s="448"/>
      <c r="I33" s="447"/>
      <c r="J33" s="448"/>
      <c r="K33" s="613"/>
      <c r="L33" s="1142"/>
      <c r="M33" s="1133"/>
      <c r="N33" s="1133"/>
      <c r="O33" s="1141"/>
      <c r="P33" s="3288"/>
      <c r="Q33" s="1804"/>
      <c r="R33" s="773"/>
      <c r="S33" s="774"/>
      <c r="T33" s="773"/>
      <c r="U33" s="774"/>
      <c r="V33" s="773"/>
      <c r="W33" s="774"/>
      <c r="X33" s="1807"/>
      <c r="Y33" s="3288"/>
      <c r="Z33" s="1808"/>
      <c r="AA33" s="1805">
        <v>1</v>
      </c>
      <c r="AB33" s="1805">
        <v>1</v>
      </c>
      <c r="AC33" s="1805">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88"/>
      <c r="Q34" s="1804" t="str">
        <f t="shared" si="8"/>
        <v>土地级别</v>
      </c>
      <c r="R34" s="773" t="s">
        <v>17</v>
      </c>
      <c r="S34" s="774">
        <f t="shared" si="10"/>
        <v>100</v>
      </c>
      <c r="T34" s="773" t="s">
        <v>17</v>
      </c>
      <c r="U34" s="774">
        <f t="shared" si="11"/>
        <v>100</v>
      </c>
      <c r="V34" s="773" t="s">
        <v>17</v>
      </c>
      <c r="W34" s="774">
        <f t="shared" si="12"/>
        <v>100</v>
      </c>
      <c r="X34" s="1807"/>
      <c r="Y34" s="3288"/>
      <c r="Z34" s="1808" t="str">
        <f t="shared" si="13"/>
        <v>土地级别</v>
      </c>
      <c r="AA34" s="1805">
        <f t="shared" si="3"/>
        <v>1</v>
      </c>
      <c r="AB34" s="1805">
        <f t="shared" si="4"/>
        <v>1</v>
      </c>
      <c r="AC34" s="1805">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88"/>
      <c r="Q35" s="1804">
        <f t="shared" si="8"/>
        <v>111</v>
      </c>
      <c r="R35" s="773" t="s">
        <v>17</v>
      </c>
      <c r="S35" s="774">
        <f t="shared" si="10"/>
        <v>100</v>
      </c>
      <c r="T35" s="773" t="s">
        <v>17</v>
      </c>
      <c r="U35" s="774">
        <f t="shared" si="11"/>
        <v>100</v>
      </c>
      <c r="V35" s="773" t="s">
        <v>17</v>
      </c>
      <c r="W35" s="774">
        <f t="shared" si="12"/>
        <v>100</v>
      </c>
      <c r="X35" s="1807"/>
      <c r="Y35" s="3288"/>
      <c r="Z35" s="1808">
        <f t="shared" si="13"/>
        <v>111</v>
      </c>
      <c r="AA35" s="1805">
        <f t="shared" si="3"/>
        <v>1</v>
      </c>
      <c r="AB35" s="1805">
        <f t="shared" si="4"/>
        <v>1</v>
      </c>
      <c r="AC35" s="1805">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3" t="s">
        <v>2563</v>
      </c>
      <c r="Q36" s="1804">
        <f t="shared" si="8"/>
        <v>111</v>
      </c>
      <c r="R36" s="773" t="s">
        <v>17</v>
      </c>
      <c r="S36" s="774">
        <f t="shared" si="10"/>
        <v>100</v>
      </c>
      <c r="T36" s="773" t="s">
        <v>17</v>
      </c>
      <c r="U36" s="774">
        <f t="shared" si="11"/>
        <v>100</v>
      </c>
      <c r="V36" s="773" t="s">
        <v>17</v>
      </c>
      <c r="W36" s="774">
        <f t="shared" si="12"/>
        <v>100</v>
      </c>
      <c r="X36" s="1807"/>
      <c r="Y36" s="3292" t="s">
        <v>2563</v>
      </c>
      <c r="Z36" s="1808">
        <f t="shared" si="13"/>
        <v>111</v>
      </c>
      <c r="AA36" s="1805">
        <f t="shared" si="3"/>
        <v>1</v>
      </c>
      <c r="AB36" s="1805">
        <f t="shared" si="4"/>
        <v>1</v>
      </c>
      <c r="AC36" s="1805">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92"/>
      <c r="Q37" s="1804">
        <f t="shared" si="8"/>
        <v>111</v>
      </c>
      <c r="R37" s="776" t="s">
        <v>17</v>
      </c>
      <c r="S37" s="777">
        <f t="shared" si="10"/>
        <v>100</v>
      </c>
      <c r="T37" s="776" t="s">
        <v>17</v>
      </c>
      <c r="U37" s="777">
        <f t="shared" si="11"/>
        <v>100</v>
      </c>
      <c r="V37" s="776" t="s">
        <v>17</v>
      </c>
      <c r="W37" s="777">
        <f t="shared" si="12"/>
        <v>100</v>
      </c>
      <c r="X37" s="778"/>
      <c r="Y37" s="3292"/>
      <c r="Z37" s="779">
        <f t="shared" si="13"/>
        <v>111</v>
      </c>
      <c r="AA37" s="1805">
        <f t="shared" si="3"/>
        <v>1</v>
      </c>
      <c r="AB37" s="1805">
        <f t="shared" si="4"/>
        <v>1</v>
      </c>
      <c r="AC37" s="1805">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92"/>
      <c r="Q38" s="1804" t="str">
        <f>B38</f>
        <v>宗地面积</v>
      </c>
      <c r="R38" s="773" t="s">
        <v>17</v>
      </c>
      <c r="S38" s="774" t="e">
        <f t="shared" si="10"/>
        <v>#N/A</v>
      </c>
      <c r="T38" s="773" t="s">
        <v>17</v>
      </c>
      <c r="U38" s="774" t="e">
        <f t="shared" si="11"/>
        <v>#N/A</v>
      </c>
      <c r="V38" s="773" t="s">
        <v>17</v>
      </c>
      <c r="W38" s="774" t="e">
        <f t="shared" si="12"/>
        <v>#N/A</v>
      </c>
      <c r="X38" s="1807"/>
      <c r="Y38" s="3292"/>
      <c r="Z38" s="1808" t="str">
        <f t="shared" si="13"/>
        <v>宗地面积</v>
      </c>
      <c r="AA38" s="1805" t="e">
        <f t="shared" si="3"/>
        <v>#N/A</v>
      </c>
      <c r="AB38" s="1805" t="e">
        <f t="shared" si="4"/>
        <v>#N/A</v>
      </c>
      <c r="AC38" s="1805" t="e">
        <f t="shared" si="5"/>
        <v>#N/A</v>
      </c>
    </row>
    <row r="39" spans="1:29" ht="15">
      <c r="A39" s="472"/>
      <c r="B39" s="422" t="s">
        <v>2750</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2"/>
      <c r="M39" s="1133"/>
      <c r="N39" s="1133"/>
      <c r="O39" s="1141"/>
      <c r="P39" s="3292"/>
      <c r="Q39" s="1804" t="str">
        <f t="shared" ref="Q39:Q45" si="14">B39</f>
        <v>宗地形状</v>
      </c>
      <c r="R39" s="773" t="s">
        <v>17</v>
      </c>
      <c r="S39" s="774">
        <f t="shared" si="10"/>
        <v>100</v>
      </c>
      <c r="T39" s="773" t="s">
        <v>17</v>
      </c>
      <c r="U39" s="774">
        <f t="shared" si="11"/>
        <v>100</v>
      </c>
      <c r="V39" s="773" t="s">
        <v>17</v>
      </c>
      <c r="W39" s="774">
        <f t="shared" si="12"/>
        <v>100</v>
      </c>
      <c r="X39" s="1807"/>
      <c r="Y39" s="3292"/>
      <c r="Z39" s="1808" t="str">
        <f t="shared" si="13"/>
        <v>宗地形状</v>
      </c>
      <c r="AA39" s="1805">
        <f t="shared" si="3"/>
        <v>1</v>
      </c>
      <c r="AB39" s="1805">
        <f t="shared" si="4"/>
        <v>1</v>
      </c>
      <c r="AC39" s="1805">
        <f t="shared" si="5"/>
        <v>1</v>
      </c>
    </row>
    <row r="40" spans="1:29" ht="15">
      <c r="A40" s="472"/>
      <c r="B40" s="422" t="s">
        <v>2751</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2"/>
      <c r="M40" s="1133"/>
      <c r="N40" s="1133"/>
      <c r="O40" s="1141"/>
      <c r="P40" s="3292"/>
      <c r="Q40" s="1804" t="str">
        <f t="shared" si="14"/>
        <v>临街宽度及深度</v>
      </c>
      <c r="R40" s="773" t="s">
        <v>17</v>
      </c>
      <c r="S40" s="774">
        <f t="shared" si="10"/>
        <v>100</v>
      </c>
      <c r="T40" s="773" t="s">
        <v>17</v>
      </c>
      <c r="U40" s="774">
        <f t="shared" si="11"/>
        <v>100</v>
      </c>
      <c r="V40" s="773" t="s">
        <v>17</v>
      </c>
      <c r="W40" s="774">
        <f t="shared" si="12"/>
        <v>100</v>
      </c>
      <c r="X40" s="1807"/>
      <c r="Y40" s="3292"/>
      <c r="Z40" s="1808" t="str">
        <f t="shared" si="13"/>
        <v>临街宽度及深度</v>
      </c>
      <c r="AA40" s="1805">
        <f t="shared" si="3"/>
        <v>1</v>
      </c>
      <c r="AB40" s="1805">
        <f t="shared" si="4"/>
        <v>1</v>
      </c>
      <c r="AC40" s="1805">
        <f t="shared" si="5"/>
        <v>1</v>
      </c>
    </row>
    <row r="41" spans="1:29" s="117" customFormat="1" ht="15">
      <c r="A41" s="473"/>
      <c r="B41" s="422" t="s">
        <v>2752</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4"/>
      <c r="M41" s="1135"/>
      <c r="N41" s="1135"/>
      <c r="O41" s="1136"/>
      <c r="P41" s="3292"/>
      <c r="Q41" s="1804" t="str">
        <f t="shared" si="14"/>
        <v>宗地开发程度</v>
      </c>
      <c r="R41" s="769" t="s">
        <v>17</v>
      </c>
      <c r="S41" s="770">
        <f t="shared" si="10"/>
        <v>100</v>
      </c>
      <c r="T41" s="769" t="s">
        <v>17</v>
      </c>
      <c r="U41" s="770">
        <f t="shared" si="11"/>
        <v>100</v>
      </c>
      <c r="V41" s="769" t="s">
        <v>17</v>
      </c>
      <c r="W41" s="770">
        <f t="shared" si="12"/>
        <v>100</v>
      </c>
      <c r="X41" s="771"/>
      <c r="Y41" s="3292"/>
      <c r="Z41" s="55" t="str">
        <f t="shared" si="13"/>
        <v>宗地开发程度</v>
      </c>
      <c r="AA41" s="772">
        <f t="shared" si="3"/>
        <v>1</v>
      </c>
      <c r="AB41" s="772">
        <f t="shared" si="4"/>
        <v>1</v>
      </c>
      <c r="AC41" s="772">
        <f t="shared" si="5"/>
        <v>1</v>
      </c>
    </row>
    <row r="42" spans="1:29" ht="15">
      <c r="A42" s="472"/>
      <c r="B42" s="422" t="s">
        <v>2753</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2"/>
      <c r="M42" s="1133"/>
      <c r="N42" s="1133"/>
      <c r="O42" s="1141"/>
      <c r="P42" s="3292" t="s">
        <v>2563</v>
      </c>
      <c r="Q42" s="1804" t="str">
        <f t="shared" si="14"/>
        <v>工程地质条件</v>
      </c>
      <c r="R42" s="773" t="s">
        <v>17</v>
      </c>
      <c r="S42" s="774">
        <f t="shared" si="10"/>
        <v>100</v>
      </c>
      <c r="T42" s="773" t="s">
        <v>17</v>
      </c>
      <c r="U42" s="774">
        <f t="shared" si="11"/>
        <v>100</v>
      </c>
      <c r="V42" s="773" t="s">
        <v>17</v>
      </c>
      <c r="W42" s="774">
        <f t="shared" si="12"/>
        <v>100</v>
      </c>
      <c r="X42" s="1807"/>
      <c r="Y42" s="3292" t="s">
        <v>2563</v>
      </c>
      <c r="Z42" s="1808" t="str">
        <f t="shared" si="13"/>
        <v>工程地质条件</v>
      </c>
      <c r="AA42" s="1805">
        <f t="shared" si="3"/>
        <v>1</v>
      </c>
      <c r="AB42" s="1805">
        <f t="shared" si="4"/>
        <v>1</v>
      </c>
      <c r="AC42" s="1805">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92"/>
      <c r="Q43" s="1804">
        <f t="shared" si="14"/>
        <v>111</v>
      </c>
      <c r="R43" s="773" t="s">
        <v>17</v>
      </c>
      <c r="S43" s="774">
        <f t="shared" si="10"/>
        <v>100</v>
      </c>
      <c r="T43" s="773" t="s">
        <v>17</v>
      </c>
      <c r="U43" s="774">
        <f t="shared" si="11"/>
        <v>100</v>
      </c>
      <c r="V43" s="773" t="s">
        <v>17</v>
      </c>
      <c r="W43" s="774">
        <f t="shared" si="12"/>
        <v>100</v>
      </c>
      <c r="X43" s="1807"/>
      <c r="Y43" s="3292"/>
      <c r="Z43" s="1808">
        <f t="shared" si="13"/>
        <v>111</v>
      </c>
      <c r="AA43" s="1805">
        <f t="shared" si="3"/>
        <v>1</v>
      </c>
      <c r="AB43" s="1805">
        <f t="shared" si="4"/>
        <v>1</v>
      </c>
      <c r="AC43" s="1805">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92"/>
      <c r="Q44" s="1804">
        <f t="shared" si="14"/>
        <v>111</v>
      </c>
      <c r="R44" s="773" t="s">
        <v>17</v>
      </c>
      <c r="S44" s="774">
        <f t="shared" si="10"/>
        <v>100</v>
      </c>
      <c r="T44" s="773" t="s">
        <v>17</v>
      </c>
      <c r="U44" s="774">
        <f t="shared" si="11"/>
        <v>100</v>
      </c>
      <c r="V44" s="773" t="s">
        <v>17</v>
      </c>
      <c r="W44" s="774">
        <f t="shared" si="12"/>
        <v>100</v>
      </c>
      <c r="X44" s="1807"/>
      <c r="Y44" s="3292"/>
      <c r="Z44" s="1808">
        <f t="shared" si="13"/>
        <v>111</v>
      </c>
      <c r="AA44" s="1805">
        <f t="shared" si="3"/>
        <v>1</v>
      </c>
      <c r="AB44" s="1805">
        <f t="shared" si="4"/>
        <v>1</v>
      </c>
      <c r="AC44" s="1805">
        <f t="shared" si="5"/>
        <v>1</v>
      </c>
    </row>
    <row r="45" spans="1:29" s="471" customFormat="1" ht="15.75" thickBot="1">
      <c r="A45" s="468"/>
      <c r="B45" s="1389">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92"/>
      <c r="Q45" s="1804">
        <f t="shared" si="14"/>
        <v>111</v>
      </c>
      <c r="R45" s="776" t="s">
        <v>17</v>
      </c>
      <c r="S45" s="777">
        <f t="shared" si="10"/>
        <v>100</v>
      </c>
      <c r="T45" s="776" t="s">
        <v>17</v>
      </c>
      <c r="U45" s="777">
        <f t="shared" si="11"/>
        <v>100</v>
      </c>
      <c r="V45" s="776" t="s">
        <v>17</v>
      </c>
      <c r="W45" s="777">
        <f t="shared" si="12"/>
        <v>100</v>
      </c>
      <c r="X45" s="778"/>
      <c r="Y45" s="3292"/>
      <c r="Z45" s="779">
        <f t="shared" si="13"/>
        <v>111</v>
      </c>
      <c r="AA45" s="1805">
        <f t="shared" si="3"/>
        <v>1</v>
      </c>
      <c r="AB45" s="1805">
        <f t="shared" si="4"/>
        <v>1</v>
      </c>
      <c r="AC45" s="1805">
        <f t="shared" si="5"/>
        <v>1</v>
      </c>
    </row>
    <row r="46" spans="1:29" ht="15">
      <c r="A46" s="479" t="s">
        <v>2718</v>
      </c>
      <c r="B46" s="2700" t="s">
        <v>2754</v>
      </c>
      <c r="C46" s="681" t="s">
        <v>1</v>
      </c>
      <c r="D46" s="481"/>
      <c r="E46" s="482"/>
      <c r="F46" s="483"/>
      <c r="G46" s="484"/>
      <c r="H46" s="485"/>
      <c r="I46" s="482"/>
      <c r="J46" s="485"/>
      <c r="K46" s="782"/>
      <c r="L46" s="1145"/>
      <c r="M46" s="1146"/>
      <c r="N46" s="1133"/>
      <c r="O46" s="1146"/>
      <c r="P46" s="3285" t="str">
        <f>A46</f>
        <v>成交单价</v>
      </c>
      <c r="Q46" s="3285"/>
      <c r="R46" s="3280">
        <f>E46</f>
        <v>0</v>
      </c>
      <c r="S46" s="3280"/>
      <c r="T46" s="3280">
        <f>G46</f>
        <v>0</v>
      </c>
      <c r="U46" s="3280"/>
      <c r="V46" s="3280">
        <f>I46</f>
        <v>0</v>
      </c>
      <c r="W46" s="3280"/>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85" t="str">
        <f>A47</f>
        <v>比较价值（元/平方米）</v>
      </c>
      <c r="Q47" s="3285"/>
      <c r="R47" s="3314" t="e">
        <f>ROUND(PRODUCT(R46,AA7:AA45),0)</f>
        <v>#DIV/0!</v>
      </c>
      <c r="S47" s="3314"/>
      <c r="T47" s="3314" t="e">
        <f>ROUND(PRODUCT(T46,AB7:AB45),0)</f>
        <v>#DIV/0!</v>
      </c>
      <c r="U47" s="3314"/>
      <c r="V47" s="3314" t="e">
        <f>ROUND(PRODUCT(V46,AC7:AC45),0)</f>
        <v>#DIV/0!</v>
      </c>
      <c r="W47" s="3314"/>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82" t="str">
        <f>A48</f>
        <v>估价对象XX用房的比较价值（楼面单价，元/平方米）</v>
      </c>
      <c r="Q48" s="3283"/>
      <c r="R48" s="3315" t="e">
        <f>ROUND(AVERAGE(R47:V47),0)</f>
        <v>#DIV/0!</v>
      </c>
      <c r="S48" s="3315"/>
      <c r="T48" s="3315"/>
      <c r="U48" s="3315"/>
      <c r="V48" s="3315"/>
      <c r="W48" s="331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1" t="s">
        <v>2758</v>
      </c>
      <c r="D55" s="2702" t="s">
        <v>2759</v>
      </c>
      <c r="E55" s="685" t="s">
        <v>2760</v>
      </c>
      <c r="F55" s="1109" t="s">
        <v>2761</v>
      </c>
      <c r="G55" s="3268" t="s">
        <v>2762</v>
      </c>
      <c r="H55" s="3316"/>
      <c r="I55" s="144" t="s">
        <v>2763</v>
      </c>
      <c r="J55" s="2703">
        <f>项目基本情况!F35</f>
        <v>0</v>
      </c>
      <c r="K55" s="2704" t="s">
        <v>2764</v>
      </c>
      <c r="L55" s="1108"/>
      <c r="M55" s="1146"/>
      <c r="N55" s="1146"/>
      <c r="O55" s="1146"/>
    </row>
    <row r="56" spans="1:15" s="691" customFormat="1">
      <c r="A56" s="687" t="s">
        <v>2765</v>
      </c>
      <c r="B56" s="688" t="e">
        <f>C48</f>
        <v>#DIV/0!</v>
      </c>
      <c r="C56" s="689">
        <v>1</v>
      </c>
      <c r="D56" s="1165">
        <v>1</v>
      </c>
      <c r="E56" s="689">
        <f>'数据-汇总表'!E8+'数据-汇总表'!E9</f>
        <v>2526.41</v>
      </c>
      <c r="F56" s="1105" t="e">
        <f t="shared" ref="F56:F65" si="15">ROUND(B56*E56/10000,0)</f>
        <v>#DIV/0!</v>
      </c>
      <c r="G56" s="3267"/>
      <c r="H56" s="3285"/>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7" t="s">
        <v>2767</v>
      </c>
      <c r="H57" s="1106" t="str">
        <f>项目基本情况!B37</f>
        <v>二级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7"/>
      <c r="H58" s="1106" t="str">
        <f>项目基本情况!B37</f>
        <v>二级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7"/>
      <c r="H59" s="1106" t="str">
        <f>项目基本情况!B37</f>
        <v>二级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7"/>
      <c r="H60" s="1106" t="str">
        <f>项目基本情况!B37</f>
        <v>二级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5"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5" t="s">
        <v>2767</v>
      </c>
      <c r="H64" s="1106" t="str">
        <f>项目基本情况!B37</f>
        <v>二级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06"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1026</v>
      </c>
      <c r="E66" s="695">
        <f>IF(B46="楼面地价",SUM(E56:E65),'数据-汇总表'!D3)</f>
        <v>2526.41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07" t="s">
        <v>2780</v>
      </c>
      <c r="B70" s="1361"/>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8" t="s">
        <v>2781</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3"/>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32"/>
      <c r="M4" s="1133"/>
      <c r="N4" s="1133"/>
      <c r="O4" s="1133"/>
      <c r="P4" s="3272" t="s">
        <v>2649</v>
      </c>
      <c r="Q4" s="3273"/>
      <c r="R4" s="3255" t="s">
        <v>2645</v>
      </c>
      <c r="S4" s="3256"/>
      <c r="T4" s="3255" t="s">
        <v>2646</v>
      </c>
      <c r="U4" s="3256"/>
      <c r="V4" s="3280" t="s">
        <v>2647</v>
      </c>
      <c r="W4" s="3280"/>
      <c r="X4" s="1807"/>
      <c r="Y4" s="3255" t="s">
        <v>2649</v>
      </c>
      <c r="Z4" s="3256"/>
      <c r="AA4" s="3250" t="s">
        <v>2645</v>
      </c>
      <c r="AB4" s="3251" t="s">
        <v>2646</v>
      </c>
      <c r="AC4" s="3250" t="s">
        <v>2647</v>
      </c>
    </row>
    <row r="5" spans="1:29" ht="15">
      <c r="A5" s="404"/>
      <c r="B5" s="405"/>
      <c r="C5" s="3261" t="s">
        <v>2540</v>
      </c>
      <c r="D5" s="3262"/>
      <c r="E5" s="3259" t="s">
        <v>2541</v>
      </c>
      <c r="F5" s="3260"/>
      <c r="G5" s="3261" t="s">
        <v>2542</v>
      </c>
      <c r="H5" s="3262"/>
      <c r="I5" s="3261" t="s">
        <v>2543</v>
      </c>
      <c r="J5" s="3262"/>
      <c r="K5" s="610"/>
      <c r="L5" s="1132"/>
      <c r="M5" s="1133"/>
      <c r="N5" s="1133"/>
      <c r="O5" s="1133"/>
      <c r="P5" s="3274"/>
      <c r="Q5" s="3275"/>
      <c r="R5" s="3257"/>
      <c r="S5" s="3258"/>
      <c r="T5" s="3257"/>
      <c r="U5" s="3258"/>
      <c r="V5" s="3280"/>
      <c r="W5" s="3280"/>
      <c r="X5" s="1807"/>
      <c r="Y5" s="3257"/>
      <c r="Z5" s="3258"/>
      <c r="AA5" s="3251"/>
      <c r="AB5" s="3251"/>
      <c r="AC5" s="3251"/>
    </row>
    <row r="6" spans="1:29" ht="15.75" thickBot="1">
      <c r="A6" s="406"/>
      <c r="B6" s="407"/>
      <c r="C6" s="3318" t="s">
        <v>2795</v>
      </c>
      <c r="D6" s="3319"/>
      <c r="E6" s="3320" t="s">
        <v>2795</v>
      </c>
      <c r="F6" s="3321"/>
      <c r="G6" s="3318" t="s">
        <v>2795</v>
      </c>
      <c r="H6" s="3319"/>
      <c r="I6" s="3318" t="s">
        <v>2795</v>
      </c>
      <c r="J6" s="3319"/>
      <c r="K6" s="610" t="s">
        <v>2545</v>
      </c>
      <c r="L6" s="1132"/>
      <c r="M6" s="1133"/>
      <c r="N6" s="1133"/>
      <c r="O6" s="1133"/>
      <c r="P6" s="3276"/>
      <c r="Q6" s="3277"/>
      <c r="R6" s="3257"/>
      <c r="S6" s="3258"/>
      <c r="T6" s="3278"/>
      <c r="U6" s="3279"/>
      <c r="V6" s="3280"/>
      <c r="W6" s="3280"/>
      <c r="X6" s="1807"/>
      <c r="Y6" s="3278"/>
      <c r="Z6" s="3279"/>
      <c r="AA6" s="3252"/>
      <c r="AB6" s="3252"/>
      <c r="AC6" s="3252"/>
    </row>
    <row r="7" spans="1:29" s="117" customFormat="1" ht="15.75" thickBot="1">
      <c r="A7" s="408" t="s">
        <v>2546</v>
      </c>
      <c r="B7" s="409"/>
      <c r="C7" s="410">
        <f>'数据-取费表'!B2</f>
        <v>43957</v>
      </c>
      <c r="D7" s="411">
        <v>100</v>
      </c>
      <c r="E7" s="412"/>
      <c r="F7" s="413">
        <f>SUMIF(65:65,YEAR(E7)&amp;"-"&amp;INT((MONTH(E7)+2)/3),66:66)</f>
        <v>0</v>
      </c>
      <c r="G7" s="2692"/>
      <c r="H7" s="411">
        <f>SUMIF(65:65,YEAR(G7)&amp;"-"&amp;INT((MONTH(G7)+2)/3),66:66)</f>
        <v>0</v>
      </c>
      <c r="I7" s="2692"/>
      <c r="J7" s="411">
        <f>SUMIF(65:65,YEAR(I7)&amp;"-"&amp;INT((MONTH(I7)+2)/3),66:66)</f>
        <v>0</v>
      </c>
      <c r="K7" s="611"/>
      <c r="L7" s="1134"/>
      <c r="M7" s="1135"/>
      <c r="N7" s="1135"/>
      <c r="O7" s="1135"/>
      <c r="P7" s="3253" t="s">
        <v>2547</v>
      </c>
      <c r="Q7" s="3281"/>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3" t="s">
        <v>2550</v>
      </c>
      <c r="Q8" s="3254"/>
      <c r="R8" s="769" t="s">
        <v>17</v>
      </c>
      <c r="S8" s="770">
        <f t="shared" si="0"/>
        <v>0</v>
      </c>
      <c r="T8" s="769" t="s">
        <v>17</v>
      </c>
      <c r="U8" s="770">
        <f t="shared" si="1"/>
        <v>0</v>
      </c>
      <c r="V8" s="769" t="s">
        <v>17</v>
      </c>
      <c r="W8" s="770">
        <f t="shared" si="2"/>
        <v>0</v>
      </c>
      <c r="X8" s="771"/>
      <c r="Y8" s="3253" t="s">
        <v>2550</v>
      </c>
      <c r="Z8" s="3254"/>
      <c r="AA8" s="772" t="e">
        <f t="shared" ref="AA8:AA40" si="3">D8/F8</f>
        <v>#DIV/0!</v>
      </c>
      <c r="AB8" s="772" t="e">
        <f t="shared" ref="AB8:AB40" si="4">D8/H8</f>
        <v>#DIV/0!</v>
      </c>
      <c r="AC8" s="772" t="e">
        <f t="shared" ref="AC8:AC40" si="5">D8/J8</f>
        <v>#DIV/0!</v>
      </c>
    </row>
    <row r="9" spans="1:29" s="117" customFormat="1">
      <c r="A9" s="415" t="s">
        <v>2551</v>
      </c>
      <c r="B9" s="71" t="s">
        <v>2552</v>
      </c>
      <c r="C9" s="2695"/>
      <c r="D9" s="135">
        <v>100</v>
      </c>
      <c r="E9" s="2695"/>
      <c r="F9" s="135">
        <f>SUMIF(70:70,E9,71:71)-SUMIF(70:70,C9,71:71)+100</f>
        <v>100</v>
      </c>
      <c r="G9" s="2695"/>
      <c r="H9" s="135">
        <f>SUMIF(70:70,G9,71:71)-SUMIF(70:70,C9,71:71)+100</f>
        <v>100</v>
      </c>
      <c r="I9" s="2695"/>
      <c r="J9" s="135">
        <f>SUMIF(70:70,I9,71:71)-SUMIF(70:70,C9,71:71)+100</f>
        <v>100</v>
      </c>
      <c r="K9" s="611"/>
      <c r="L9" s="1134"/>
      <c r="M9" s="1135"/>
      <c r="N9" s="1135"/>
      <c r="O9" s="1136"/>
      <c r="P9" s="3285" t="s">
        <v>2553</v>
      </c>
      <c r="Q9" s="1789" t="str">
        <f t="shared" ref="Q9:Q15" si="6">B9</f>
        <v>用途</v>
      </c>
      <c r="R9" s="769" t="s">
        <v>17</v>
      </c>
      <c r="S9" s="770">
        <f t="shared" si="0"/>
        <v>100</v>
      </c>
      <c r="T9" s="769" t="s">
        <v>17</v>
      </c>
      <c r="U9" s="770">
        <f t="shared" si="1"/>
        <v>100</v>
      </c>
      <c r="V9" s="769" t="s">
        <v>17</v>
      </c>
      <c r="W9" s="770">
        <f t="shared" si="2"/>
        <v>100</v>
      </c>
      <c r="X9" s="771"/>
      <c r="Y9" s="3100"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 ca="1">ROUND(100/'数据-取费表'!G16,0)</f>
        <v>122</v>
      </c>
      <c r="G10" s="432"/>
      <c r="H10" s="136">
        <f ca="1">ROUND(100/'数据-取费表'!G16,0)</f>
        <v>122</v>
      </c>
      <c r="I10" s="432"/>
      <c r="J10" s="136">
        <f ca="1">ROUND(100/'数据-取费表'!G16,0)</f>
        <v>122</v>
      </c>
      <c r="K10" s="671"/>
      <c r="L10" s="1137"/>
      <c r="M10" s="1138"/>
      <c r="N10" s="1138"/>
      <c r="O10" s="1139"/>
      <c r="P10" s="3285"/>
      <c r="Q10" s="1789" t="str">
        <f t="shared" si="6"/>
        <v>土地使用年限（年）</v>
      </c>
      <c r="R10" s="769" t="s">
        <v>17</v>
      </c>
      <c r="S10" s="770">
        <f t="shared" ca="1" si="0"/>
        <v>122</v>
      </c>
      <c r="T10" s="769" t="s">
        <v>17</v>
      </c>
      <c r="U10" s="770">
        <f t="shared" ca="1" si="1"/>
        <v>122</v>
      </c>
      <c r="V10" s="769" t="s">
        <v>17</v>
      </c>
      <c r="W10" s="770">
        <f t="shared" ca="1" si="2"/>
        <v>122</v>
      </c>
      <c r="X10" s="771"/>
      <c r="Y10" s="3100"/>
      <c r="Z10" s="55" t="str">
        <f t="shared" si="7"/>
        <v>土地使用年限（年）</v>
      </c>
      <c r="AA10" s="772">
        <f t="shared" ca="1" si="3"/>
        <v>0.81967213114754101</v>
      </c>
      <c r="AB10" s="772">
        <f t="shared" ca="1" si="4"/>
        <v>0.81967213114754101</v>
      </c>
      <c r="AC10" s="772">
        <f t="shared" ca="1" si="5"/>
        <v>0.81967213114754101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85"/>
      <c r="Q11" s="1789" t="str">
        <f t="shared" si="6"/>
        <v>容积率</v>
      </c>
      <c r="R11" s="769" t="s">
        <v>17</v>
      </c>
      <c r="S11" s="770" t="e">
        <f t="shared" si="0"/>
        <v>#N/A</v>
      </c>
      <c r="T11" s="769" t="s">
        <v>17</v>
      </c>
      <c r="U11" s="770" t="e">
        <f t="shared" si="1"/>
        <v>#N/A</v>
      </c>
      <c r="V11" s="769" t="s">
        <v>17</v>
      </c>
      <c r="W11" s="770" t="e">
        <f t="shared" si="2"/>
        <v>#N/A</v>
      </c>
      <c r="X11" s="771"/>
      <c r="Y11" s="3100"/>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85"/>
      <c r="Q12" s="1789">
        <f t="shared" si="6"/>
        <v>111</v>
      </c>
      <c r="R12" s="769" t="s">
        <v>17</v>
      </c>
      <c r="S12" s="770">
        <f t="shared" si="0"/>
        <v>100</v>
      </c>
      <c r="T12" s="769" t="s">
        <v>17</v>
      </c>
      <c r="U12" s="770">
        <f t="shared" si="1"/>
        <v>100</v>
      </c>
      <c r="V12" s="769" t="s">
        <v>17</v>
      </c>
      <c r="W12" s="770">
        <f t="shared" si="2"/>
        <v>100</v>
      </c>
      <c r="X12" s="771"/>
      <c r="Y12" s="3100"/>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85"/>
      <c r="Q13" s="1789">
        <f t="shared" si="6"/>
        <v>111</v>
      </c>
      <c r="R13" s="769" t="s">
        <v>17</v>
      </c>
      <c r="S13" s="770">
        <f t="shared" si="0"/>
        <v>100</v>
      </c>
      <c r="T13" s="769" t="s">
        <v>17</v>
      </c>
      <c r="U13" s="770">
        <f t="shared" si="1"/>
        <v>100</v>
      </c>
      <c r="V13" s="769" t="s">
        <v>17</v>
      </c>
      <c r="W13" s="770">
        <f t="shared" si="2"/>
        <v>100</v>
      </c>
      <c r="X13" s="771"/>
      <c r="Y13" s="3100"/>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85"/>
      <c r="Q14" s="1789">
        <f t="shared" si="6"/>
        <v>111</v>
      </c>
      <c r="R14" s="769" t="s">
        <v>17</v>
      </c>
      <c r="S14" s="770">
        <f t="shared" si="0"/>
        <v>100</v>
      </c>
      <c r="T14" s="769" t="s">
        <v>17</v>
      </c>
      <c r="U14" s="770">
        <f t="shared" si="1"/>
        <v>100</v>
      </c>
      <c r="V14" s="769" t="s">
        <v>17</v>
      </c>
      <c r="W14" s="770">
        <f t="shared" si="2"/>
        <v>100</v>
      </c>
      <c r="X14" s="771"/>
      <c r="Y14" s="3100"/>
      <c r="Z14" s="55">
        <f t="shared" si="7"/>
        <v>111</v>
      </c>
      <c r="AA14" s="772">
        <f t="shared" si="3"/>
        <v>1</v>
      </c>
      <c r="AB14" s="772">
        <f t="shared" si="4"/>
        <v>1</v>
      </c>
      <c r="AC14" s="772">
        <f t="shared" si="5"/>
        <v>1</v>
      </c>
    </row>
    <row r="15" spans="1:29" ht="57">
      <c r="A15" s="440" t="s">
        <v>2557</v>
      </c>
      <c r="B15" s="628" t="s">
        <v>2796</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87" t="s">
        <v>2558</v>
      </c>
      <c r="Q15" s="1804" t="str">
        <f t="shared" si="6"/>
        <v>产业集聚程度</v>
      </c>
      <c r="R15" s="773" t="s">
        <v>17</v>
      </c>
      <c r="S15" s="774">
        <f t="shared" si="0"/>
        <v>100</v>
      </c>
      <c r="T15" s="773" t="s">
        <v>17</v>
      </c>
      <c r="U15" s="774">
        <f t="shared" si="1"/>
        <v>100</v>
      </c>
      <c r="V15" s="773" t="s">
        <v>17</v>
      </c>
      <c r="W15" s="774">
        <f t="shared" si="2"/>
        <v>100</v>
      </c>
      <c r="X15" s="1807"/>
      <c r="Y15" s="3287" t="s">
        <v>2558</v>
      </c>
      <c r="Z15" s="1808" t="str">
        <f t="shared" si="7"/>
        <v>产业集聚程度</v>
      </c>
      <c r="AA15" s="1805">
        <f t="shared" si="3"/>
        <v>1</v>
      </c>
      <c r="AB15" s="1805">
        <f t="shared" si="4"/>
        <v>1</v>
      </c>
      <c r="AC15" s="1805">
        <f t="shared" si="5"/>
        <v>1</v>
      </c>
    </row>
    <row r="16" spans="1:29" ht="15">
      <c r="A16" s="428"/>
      <c r="B16" s="629"/>
      <c r="C16" s="447"/>
      <c r="D16" s="448"/>
      <c r="E16" s="2607"/>
      <c r="F16" s="448"/>
      <c r="G16" s="2607"/>
      <c r="H16" s="450"/>
      <c r="I16" s="2607"/>
      <c r="J16" s="448"/>
      <c r="K16" s="671"/>
      <c r="L16" s="1142"/>
      <c r="M16" s="1133"/>
      <c r="N16" s="1133"/>
      <c r="O16" s="1141"/>
      <c r="P16" s="3288"/>
      <c r="Q16" s="1804"/>
      <c r="R16" s="773"/>
      <c r="S16" s="774"/>
      <c r="T16" s="773"/>
      <c r="U16" s="774"/>
      <c r="V16" s="773"/>
      <c r="W16" s="774"/>
      <c r="X16" s="1807"/>
      <c r="Y16" s="3288"/>
      <c r="Z16" s="1808"/>
      <c r="AA16" s="1805">
        <v>1</v>
      </c>
      <c r="AB16" s="1805">
        <v>1</v>
      </c>
      <c r="AC16" s="1805">
        <v>1</v>
      </c>
    </row>
    <row r="17" spans="1:29" ht="85.5">
      <c r="A17" s="428"/>
      <c r="B17" s="630" t="s">
        <v>2707</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88"/>
      <c r="Q17" s="1804" t="str">
        <f>B17</f>
        <v>交通便捷度</v>
      </c>
      <c r="R17" s="773" t="s">
        <v>17</v>
      </c>
      <c r="S17" s="774">
        <f>F17</f>
        <v>100</v>
      </c>
      <c r="T17" s="773" t="s">
        <v>17</v>
      </c>
      <c r="U17" s="774">
        <f>H17</f>
        <v>100</v>
      </c>
      <c r="V17" s="773" t="s">
        <v>17</v>
      </c>
      <c r="W17" s="774">
        <f>J17</f>
        <v>100</v>
      </c>
      <c r="X17" s="1807"/>
      <c r="Y17" s="3288"/>
      <c r="Z17" s="1808" t="str">
        <f>Q17</f>
        <v>交通便捷度</v>
      </c>
      <c r="AA17" s="1805">
        <f t="shared" si="3"/>
        <v>1</v>
      </c>
      <c r="AB17" s="1805">
        <f t="shared" si="4"/>
        <v>1</v>
      </c>
      <c r="AC17" s="1805">
        <f t="shared" si="5"/>
        <v>1</v>
      </c>
    </row>
    <row r="18" spans="1:29" ht="15">
      <c r="A18" s="428"/>
      <c r="B18" s="631"/>
      <c r="C18" s="447"/>
      <c r="D18" s="448"/>
      <c r="E18" s="2601"/>
      <c r="F18" s="448"/>
      <c r="G18" s="2601"/>
      <c r="H18" s="448"/>
      <c r="I18" s="2600"/>
      <c r="J18" s="448"/>
      <c r="K18" s="671"/>
      <c r="L18" s="1142"/>
      <c r="M18" s="1133"/>
      <c r="N18" s="1133"/>
      <c r="O18" s="1141"/>
      <c r="P18" s="3288"/>
      <c r="Q18" s="1804"/>
      <c r="R18" s="773"/>
      <c r="S18" s="774"/>
      <c r="T18" s="773"/>
      <c r="U18" s="774"/>
      <c r="V18" s="773"/>
      <c r="W18" s="774"/>
      <c r="X18" s="1807"/>
      <c r="Y18" s="3288"/>
      <c r="Z18" s="1808"/>
      <c r="AA18" s="1805">
        <v>1</v>
      </c>
      <c r="AB18" s="1805">
        <v>1</v>
      </c>
      <c r="AC18" s="1805">
        <v>1</v>
      </c>
    </row>
    <row r="19" spans="1:29" ht="15">
      <c r="A19" s="428"/>
      <c r="B19" s="630" t="s">
        <v>2746</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88"/>
      <c r="Q19" s="1804" t="str">
        <f t="shared" ref="Q19:Q33" si="8">B19</f>
        <v>区域土地利用方向</v>
      </c>
      <c r="R19" s="773" t="s">
        <v>17</v>
      </c>
      <c r="S19" s="774">
        <f>F19</f>
        <v>100</v>
      </c>
      <c r="T19" s="773" t="s">
        <v>17</v>
      </c>
      <c r="U19" s="774">
        <f>H19</f>
        <v>100</v>
      </c>
      <c r="V19" s="773" t="s">
        <v>17</v>
      </c>
      <c r="W19" s="774">
        <f>J19</f>
        <v>100</v>
      </c>
      <c r="X19" s="1807"/>
      <c r="Y19" s="3288"/>
      <c r="Z19" s="1808" t="str">
        <f>Q19</f>
        <v>区域土地利用方向</v>
      </c>
      <c r="AA19" s="1805">
        <f t="shared" si="3"/>
        <v>1</v>
      </c>
      <c r="AB19" s="1805">
        <f t="shared" si="4"/>
        <v>1</v>
      </c>
      <c r="AC19" s="1805">
        <f t="shared" si="5"/>
        <v>1</v>
      </c>
    </row>
    <row r="20" spans="1:29" ht="15">
      <c r="A20" s="404"/>
      <c r="B20" s="631"/>
      <c r="C20" s="447"/>
      <c r="D20" s="448"/>
      <c r="E20" s="2601"/>
      <c r="F20" s="448"/>
      <c r="G20" s="2601"/>
      <c r="H20" s="448"/>
      <c r="I20" s="2601"/>
      <c r="J20" s="448"/>
      <c r="K20" s="811"/>
      <c r="L20" s="1142"/>
      <c r="M20" s="1133"/>
      <c r="N20" s="1133"/>
      <c r="O20" s="1141"/>
      <c r="P20" s="3288"/>
      <c r="Q20" s="1804"/>
      <c r="R20" s="773"/>
      <c r="S20" s="774"/>
      <c r="T20" s="773"/>
      <c r="U20" s="774"/>
      <c r="V20" s="773"/>
      <c r="W20" s="774"/>
      <c r="X20" s="1807"/>
      <c r="Y20" s="3288"/>
      <c r="Z20" s="1808"/>
      <c r="AA20" s="1805"/>
      <c r="AB20" s="1805"/>
      <c r="AC20" s="1805"/>
    </row>
    <row r="21" spans="1:29" ht="71.25">
      <c r="A21" s="404"/>
      <c r="B21" s="630" t="s">
        <v>2797</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88"/>
      <c r="Q21" s="1804" t="str">
        <f t="shared" si="8"/>
        <v>环境状况</v>
      </c>
      <c r="R21" s="773" t="s">
        <v>17</v>
      </c>
      <c r="S21" s="774">
        <f>F21</f>
        <v>100</v>
      </c>
      <c r="T21" s="773" t="s">
        <v>17</v>
      </c>
      <c r="U21" s="774">
        <f>H21</f>
        <v>100</v>
      </c>
      <c r="V21" s="773" t="s">
        <v>17</v>
      </c>
      <c r="W21" s="774">
        <f>J21</f>
        <v>100</v>
      </c>
      <c r="X21" s="1807"/>
      <c r="Y21" s="3288"/>
      <c r="Z21" s="1808" t="str">
        <f>Q21</f>
        <v>环境状况</v>
      </c>
      <c r="AA21" s="1805">
        <f t="shared" si="3"/>
        <v>1</v>
      </c>
      <c r="AB21" s="1805">
        <f t="shared" si="4"/>
        <v>1</v>
      </c>
      <c r="AC21" s="1805">
        <f t="shared" si="5"/>
        <v>1</v>
      </c>
    </row>
    <row r="22" spans="1:29" ht="15">
      <c r="A22" s="404"/>
      <c r="B22" s="631"/>
      <c r="C22" s="447"/>
      <c r="D22" s="448"/>
      <c r="E22" s="2607"/>
      <c r="F22" s="448"/>
      <c r="G22" s="2607"/>
      <c r="H22" s="448"/>
      <c r="I22" s="447"/>
      <c r="J22" s="448"/>
      <c r="K22" s="671"/>
      <c r="L22" s="1142"/>
      <c r="M22" s="1133"/>
      <c r="N22" s="1133"/>
      <c r="O22" s="1141"/>
      <c r="P22" s="3288"/>
      <c r="Q22" s="1804"/>
      <c r="R22" s="773"/>
      <c r="S22" s="774"/>
      <c r="T22" s="773"/>
      <c r="U22" s="774"/>
      <c r="V22" s="773"/>
      <c r="W22" s="774"/>
      <c r="X22" s="1807"/>
      <c r="Y22" s="3288"/>
      <c r="Z22" s="1808"/>
      <c r="AA22" s="1805">
        <v>1</v>
      </c>
      <c r="AB22" s="1805">
        <v>1</v>
      </c>
      <c r="AC22" s="1805">
        <v>1</v>
      </c>
    </row>
    <row r="23" spans="1:29" s="117" customFormat="1" ht="42.75">
      <c r="A23" s="648"/>
      <c r="B23" s="632" t="s">
        <v>2652</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88"/>
      <c r="Q23" s="1789" t="str">
        <f t="shared" si="8"/>
        <v>公共配套设施</v>
      </c>
      <c r="R23" s="769" t="s">
        <v>17</v>
      </c>
      <c r="S23" s="770">
        <f>F23</f>
        <v>100</v>
      </c>
      <c r="T23" s="769" t="s">
        <v>17</v>
      </c>
      <c r="U23" s="770">
        <f>H23</f>
        <v>100</v>
      </c>
      <c r="V23" s="769" t="s">
        <v>17</v>
      </c>
      <c r="W23" s="770">
        <f>J23</f>
        <v>100</v>
      </c>
      <c r="X23" s="771"/>
      <c r="Y23" s="3288"/>
      <c r="Z23" s="55" t="str">
        <f>Q23</f>
        <v>公共配套设施</v>
      </c>
      <c r="AA23" s="1805">
        <f>D23/F23</f>
        <v>1</v>
      </c>
      <c r="AB23" s="1805">
        <f>D23/H23</f>
        <v>1</v>
      </c>
      <c r="AC23" s="1805">
        <f>D23/J23</f>
        <v>1</v>
      </c>
    </row>
    <row r="24" spans="1:29" s="117" customFormat="1" ht="15">
      <c r="A24" s="648"/>
      <c r="B24" s="631"/>
      <c r="C24" s="2696"/>
      <c r="D24" s="448"/>
      <c r="E24" s="2607"/>
      <c r="F24" s="448"/>
      <c r="G24" s="2607"/>
      <c r="H24" s="448"/>
      <c r="I24" s="447"/>
      <c r="J24" s="448"/>
      <c r="K24" s="671"/>
      <c r="L24" s="1134"/>
      <c r="M24" s="1135"/>
      <c r="N24" s="1135"/>
      <c r="O24" s="1136"/>
      <c r="P24" s="3288"/>
      <c r="Q24" s="1789"/>
      <c r="R24" s="769"/>
      <c r="S24" s="770"/>
      <c r="T24" s="769"/>
      <c r="U24" s="770"/>
      <c r="V24" s="769"/>
      <c r="W24" s="770"/>
      <c r="X24" s="771"/>
      <c r="Y24" s="3288"/>
      <c r="Z24" s="55"/>
      <c r="AA24" s="772">
        <v>1</v>
      </c>
      <c r="AB24" s="772">
        <v>1</v>
      </c>
      <c r="AC24" s="772">
        <v>1</v>
      </c>
    </row>
    <row r="25" spans="1:29" s="117" customFormat="1" ht="28.5">
      <c r="A25" s="648"/>
      <c r="B25" s="632" t="s">
        <v>2653</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88"/>
      <c r="Q25" s="1789" t="str">
        <f t="shared" ref="Q25" si="9">B25</f>
        <v>基础设施水平</v>
      </c>
      <c r="R25" s="769" t="s">
        <v>17</v>
      </c>
      <c r="S25" s="770">
        <f>F25</f>
        <v>100</v>
      </c>
      <c r="T25" s="769" t="s">
        <v>17</v>
      </c>
      <c r="U25" s="770">
        <f>H25</f>
        <v>100</v>
      </c>
      <c r="V25" s="769" t="s">
        <v>17</v>
      </c>
      <c r="W25" s="770">
        <f>J25</f>
        <v>100</v>
      </c>
      <c r="X25" s="771"/>
      <c r="Y25" s="3288"/>
      <c r="Z25" s="55" t="str">
        <f>Q25</f>
        <v>基础设施水平</v>
      </c>
      <c r="AA25" s="1805">
        <f>D25/F25</f>
        <v>1</v>
      </c>
      <c r="AB25" s="1805">
        <f>D25/H25</f>
        <v>1</v>
      </c>
      <c r="AC25" s="1805">
        <f>D25/J25</f>
        <v>1</v>
      </c>
    </row>
    <row r="26" spans="1:29" s="117" customFormat="1" ht="15">
      <c r="A26" s="648"/>
      <c r="B26" s="631"/>
      <c r="C26" s="2696"/>
      <c r="D26" s="448"/>
      <c r="E26" s="2697"/>
      <c r="F26" s="448"/>
      <c r="G26" s="2697"/>
      <c r="H26" s="448"/>
      <c r="I26" s="2697"/>
      <c r="J26" s="448"/>
      <c r="K26" s="671"/>
      <c r="L26" s="1134"/>
      <c r="M26" s="1135"/>
      <c r="N26" s="1135"/>
      <c r="O26" s="1136"/>
      <c r="P26" s="3288"/>
      <c r="Q26" s="1789"/>
      <c r="R26" s="769"/>
      <c r="S26" s="770"/>
      <c r="T26" s="769"/>
      <c r="U26" s="770"/>
      <c r="V26" s="769"/>
      <c r="W26" s="770"/>
      <c r="X26" s="771"/>
      <c r="Y26" s="3288"/>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88"/>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88"/>
      <c r="Z27" s="1808" t="str">
        <f t="shared" ref="Z27:Z40" si="13">Q27</f>
        <v>临街状况</v>
      </c>
      <c r="AA27" s="1805">
        <f t="shared" si="3"/>
        <v>1</v>
      </c>
      <c r="AB27" s="1805">
        <f t="shared" si="4"/>
        <v>1</v>
      </c>
      <c r="AC27" s="1805">
        <f t="shared" si="5"/>
        <v>1</v>
      </c>
    </row>
    <row r="28" spans="1:29" ht="27">
      <c r="A28" s="428"/>
      <c r="B28" s="632" t="s">
        <v>2689</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88"/>
      <c r="Q28" s="1804" t="str">
        <f t="shared" si="8"/>
        <v>毗邻道路的类型与等级</v>
      </c>
      <c r="R28" s="773" t="s">
        <v>17</v>
      </c>
      <c r="S28" s="774">
        <f t="shared" si="10"/>
        <v>100</v>
      </c>
      <c r="T28" s="773" t="s">
        <v>17</v>
      </c>
      <c r="U28" s="774">
        <f t="shared" si="11"/>
        <v>100</v>
      </c>
      <c r="V28" s="773" t="s">
        <v>17</v>
      </c>
      <c r="W28" s="774">
        <f t="shared" si="12"/>
        <v>100</v>
      </c>
      <c r="X28" s="1807"/>
      <c r="Y28" s="3288"/>
      <c r="Z28" s="1808" t="str">
        <f t="shared" si="13"/>
        <v>毗邻道路的类型与等级</v>
      </c>
      <c r="AA28" s="1805">
        <f t="shared" si="3"/>
        <v>1</v>
      </c>
      <c r="AB28" s="1805">
        <f t="shared" si="4"/>
        <v>1</v>
      </c>
      <c r="AC28" s="1805">
        <f t="shared" si="5"/>
        <v>1</v>
      </c>
    </row>
    <row r="29" spans="1:29" ht="15">
      <c r="A29" s="428"/>
      <c r="B29" s="631"/>
      <c r="C29" s="447"/>
      <c r="D29" s="448"/>
      <c r="E29" s="2607"/>
      <c r="F29" s="448"/>
      <c r="G29" s="2607"/>
      <c r="H29" s="448"/>
      <c r="I29" s="2607"/>
      <c r="J29" s="448"/>
      <c r="K29" s="613"/>
      <c r="L29" s="1142"/>
      <c r="M29" s="1133"/>
      <c r="N29" s="1133"/>
      <c r="O29" s="1141"/>
      <c r="P29" s="3288"/>
      <c r="Q29" s="1804"/>
      <c r="R29" s="773"/>
      <c r="S29" s="774"/>
      <c r="T29" s="773"/>
      <c r="U29" s="774"/>
      <c r="V29" s="773"/>
      <c r="W29" s="774"/>
      <c r="X29" s="1807"/>
      <c r="Y29" s="3288"/>
      <c r="Z29" s="1808"/>
      <c r="AA29" s="1805">
        <v>1</v>
      </c>
      <c r="AB29" s="1805">
        <v>1</v>
      </c>
      <c r="AC29" s="1805">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88"/>
      <c r="Q30" s="1804" t="str">
        <f t="shared" si="8"/>
        <v>土地级别</v>
      </c>
      <c r="R30" s="773" t="s">
        <v>17</v>
      </c>
      <c r="S30" s="774">
        <f t="shared" si="10"/>
        <v>100</v>
      </c>
      <c r="T30" s="773" t="s">
        <v>17</v>
      </c>
      <c r="U30" s="774">
        <f t="shared" si="11"/>
        <v>100</v>
      </c>
      <c r="V30" s="773" t="s">
        <v>17</v>
      </c>
      <c r="W30" s="774">
        <f t="shared" si="12"/>
        <v>100</v>
      </c>
      <c r="X30" s="1807"/>
      <c r="Y30" s="3288"/>
      <c r="Z30" s="1808" t="str">
        <f t="shared" si="13"/>
        <v>土地级别</v>
      </c>
      <c r="AA30" s="1805">
        <f t="shared" si="3"/>
        <v>1</v>
      </c>
      <c r="AB30" s="1805">
        <f t="shared" si="4"/>
        <v>1</v>
      </c>
      <c r="AC30" s="1805">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88"/>
      <c r="Q31" s="1804">
        <f t="shared" si="8"/>
        <v>111</v>
      </c>
      <c r="R31" s="773" t="s">
        <v>17</v>
      </c>
      <c r="S31" s="774">
        <f t="shared" si="10"/>
        <v>100</v>
      </c>
      <c r="T31" s="773" t="s">
        <v>17</v>
      </c>
      <c r="U31" s="774">
        <f t="shared" si="11"/>
        <v>100</v>
      </c>
      <c r="V31" s="773" t="s">
        <v>17</v>
      </c>
      <c r="W31" s="774">
        <f t="shared" si="12"/>
        <v>100</v>
      </c>
      <c r="X31" s="1807"/>
      <c r="Y31" s="3288"/>
      <c r="Z31" s="1808">
        <f t="shared" si="13"/>
        <v>111</v>
      </c>
      <c r="AA31" s="1805">
        <f t="shared" si="3"/>
        <v>1</v>
      </c>
      <c r="AB31" s="1805">
        <f t="shared" si="4"/>
        <v>1</v>
      </c>
      <c r="AC31" s="1805">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3" t="s">
        <v>2563</v>
      </c>
      <c r="Q32" s="1804">
        <f t="shared" si="8"/>
        <v>111</v>
      </c>
      <c r="R32" s="773" t="s">
        <v>17</v>
      </c>
      <c r="S32" s="774">
        <f t="shared" si="10"/>
        <v>100</v>
      </c>
      <c r="T32" s="773" t="s">
        <v>17</v>
      </c>
      <c r="U32" s="774">
        <f t="shared" si="11"/>
        <v>100</v>
      </c>
      <c r="V32" s="773" t="s">
        <v>17</v>
      </c>
      <c r="W32" s="774">
        <f t="shared" si="12"/>
        <v>100</v>
      </c>
      <c r="X32" s="1807"/>
      <c r="Y32" s="3292" t="s">
        <v>2563</v>
      </c>
      <c r="Z32" s="1808">
        <f t="shared" si="13"/>
        <v>111</v>
      </c>
      <c r="AA32" s="1805">
        <f t="shared" si="3"/>
        <v>1</v>
      </c>
      <c r="AB32" s="1805">
        <f t="shared" si="4"/>
        <v>1</v>
      </c>
      <c r="AC32" s="1805">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92"/>
      <c r="Q33" s="1804">
        <f t="shared" si="8"/>
        <v>111</v>
      </c>
      <c r="R33" s="776" t="s">
        <v>17</v>
      </c>
      <c r="S33" s="777">
        <f t="shared" si="10"/>
        <v>100</v>
      </c>
      <c r="T33" s="776" t="s">
        <v>17</v>
      </c>
      <c r="U33" s="777">
        <f t="shared" si="11"/>
        <v>100</v>
      </c>
      <c r="V33" s="776" t="s">
        <v>17</v>
      </c>
      <c r="W33" s="777">
        <f t="shared" si="12"/>
        <v>100</v>
      </c>
      <c r="X33" s="778"/>
      <c r="Y33" s="3292"/>
      <c r="Z33" s="779">
        <f t="shared" si="13"/>
        <v>111</v>
      </c>
      <c r="AA33" s="1805">
        <f t="shared" si="3"/>
        <v>1</v>
      </c>
      <c r="AB33" s="1805">
        <f t="shared" si="4"/>
        <v>1</v>
      </c>
      <c r="AC33" s="1805">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92"/>
      <c r="Q34" s="1804" t="str">
        <f>B34</f>
        <v>宗地面积</v>
      </c>
      <c r="R34" s="773" t="s">
        <v>17</v>
      </c>
      <c r="S34" s="774" t="e">
        <f t="shared" si="10"/>
        <v>#N/A</v>
      </c>
      <c r="T34" s="773" t="s">
        <v>17</v>
      </c>
      <c r="U34" s="774" t="e">
        <f t="shared" si="11"/>
        <v>#N/A</v>
      </c>
      <c r="V34" s="773" t="s">
        <v>17</v>
      </c>
      <c r="W34" s="774" t="e">
        <f t="shared" si="12"/>
        <v>#N/A</v>
      </c>
      <c r="X34" s="1807"/>
      <c r="Y34" s="3292"/>
      <c r="Z34" s="1808" t="str">
        <f t="shared" si="13"/>
        <v>宗地面积</v>
      </c>
      <c r="AA34" s="1805" t="e">
        <f t="shared" si="3"/>
        <v>#N/A</v>
      </c>
      <c r="AB34" s="1805" t="e">
        <f t="shared" si="4"/>
        <v>#N/A</v>
      </c>
      <c r="AC34" s="1805" t="e">
        <f t="shared" si="5"/>
        <v>#N/A</v>
      </c>
    </row>
    <row r="35" spans="1:29" ht="15">
      <c r="A35" s="472"/>
      <c r="B35" s="422" t="s">
        <v>2750</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2"/>
      <c r="M35" s="1133"/>
      <c r="N35" s="1133"/>
      <c r="O35" s="1141"/>
      <c r="P35" s="3292"/>
      <c r="Q35" s="1804" t="str">
        <f t="shared" ref="Q35:Q40" si="14">B35</f>
        <v>宗地形状</v>
      </c>
      <c r="R35" s="773" t="s">
        <v>17</v>
      </c>
      <c r="S35" s="774">
        <f t="shared" si="10"/>
        <v>100</v>
      </c>
      <c r="T35" s="773" t="s">
        <v>17</v>
      </c>
      <c r="U35" s="774">
        <f t="shared" si="11"/>
        <v>100</v>
      </c>
      <c r="V35" s="773" t="s">
        <v>17</v>
      </c>
      <c r="W35" s="774">
        <f t="shared" si="12"/>
        <v>100</v>
      </c>
      <c r="X35" s="1807"/>
      <c r="Y35" s="3292"/>
      <c r="Z35" s="1808" t="str">
        <f t="shared" si="13"/>
        <v>宗地形状</v>
      </c>
      <c r="AA35" s="1805">
        <f t="shared" si="3"/>
        <v>1</v>
      </c>
      <c r="AB35" s="1805">
        <f t="shared" si="4"/>
        <v>1</v>
      </c>
      <c r="AC35" s="1805">
        <f t="shared" si="5"/>
        <v>1</v>
      </c>
    </row>
    <row r="36" spans="1:29" s="117" customFormat="1" ht="15">
      <c r="A36" s="473"/>
      <c r="B36" s="422" t="s">
        <v>2752</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4"/>
      <c r="M36" s="1135"/>
      <c r="N36" s="1135"/>
      <c r="O36" s="1136"/>
      <c r="P36" s="3292"/>
      <c r="Q36" s="1804" t="str">
        <f t="shared" si="14"/>
        <v>宗地开发程度</v>
      </c>
      <c r="R36" s="769" t="s">
        <v>17</v>
      </c>
      <c r="S36" s="770">
        <f t="shared" si="10"/>
        <v>100</v>
      </c>
      <c r="T36" s="769" t="s">
        <v>17</v>
      </c>
      <c r="U36" s="770">
        <f t="shared" si="11"/>
        <v>100</v>
      </c>
      <c r="V36" s="769" t="s">
        <v>17</v>
      </c>
      <c r="W36" s="770">
        <f t="shared" si="12"/>
        <v>100</v>
      </c>
      <c r="X36" s="771"/>
      <c r="Y36" s="3292"/>
      <c r="Z36" s="55" t="str">
        <f t="shared" si="13"/>
        <v>宗地开发程度</v>
      </c>
      <c r="AA36" s="772">
        <f t="shared" si="3"/>
        <v>1</v>
      </c>
      <c r="AB36" s="772">
        <f t="shared" si="4"/>
        <v>1</v>
      </c>
      <c r="AC36" s="772">
        <f t="shared" si="5"/>
        <v>1</v>
      </c>
    </row>
    <row r="37" spans="1:29" ht="15">
      <c r="A37" s="472"/>
      <c r="B37" s="422" t="s">
        <v>2753</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2"/>
      <c r="M37" s="1133"/>
      <c r="N37" s="1133"/>
      <c r="O37" s="1141"/>
      <c r="P37" s="3292" t="s">
        <v>2563</v>
      </c>
      <c r="Q37" s="1804" t="str">
        <f t="shared" si="14"/>
        <v>工程地质条件</v>
      </c>
      <c r="R37" s="773" t="s">
        <v>17</v>
      </c>
      <c r="S37" s="774">
        <f t="shared" si="10"/>
        <v>100</v>
      </c>
      <c r="T37" s="773" t="s">
        <v>17</v>
      </c>
      <c r="U37" s="774">
        <f t="shared" si="11"/>
        <v>100</v>
      </c>
      <c r="V37" s="773" t="s">
        <v>17</v>
      </c>
      <c r="W37" s="774">
        <f t="shared" si="12"/>
        <v>100</v>
      </c>
      <c r="X37" s="1807"/>
      <c r="Y37" s="3292" t="s">
        <v>2563</v>
      </c>
      <c r="Z37" s="1808" t="str">
        <f t="shared" si="13"/>
        <v>工程地质条件</v>
      </c>
      <c r="AA37" s="1805">
        <f t="shared" si="3"/>
        <v>1</v>
      </c>
      <c r="AB37" s="1805">
        <f t="shared" si="4"/>
        <v>1</v>
      </c>
      <c r="AC37" s="1805">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92"/>
      <c r="Q38" s="1804">
        <f t="shared" si="14"/>
        <v>111</v>
      </c>
      <c r="R38" s="773" t="s">
        <v>17</v>
      </c>
      <c r="S38" s="774">
        <f t="shared" si="10"/>
        <v>100</v>
      </c>
      <c r="T38" s="773" t="s">
        <v>17</v>
      </c>
      <c r="U38" s="774">
        <f t="shared" si="11"/>
        <v>100</v>
      </c>
      <c r="V38" s="773" t="s">
        <v>17</v>
      </c>
      <c r="W38" s="774">
        <f t="shared" si="12"/>
        <v>100</v>
      </c>
      <c r="X38" s="1807"/>
      <c r="Y38" s="3292"/>
      <c r="Z38" s="1808">
        <f t="shared" si="13"/>
        <v>111</v>
      </c>
      <c r="AA38" s="1805">
        <f t="shared" si="3"/>
        <v>1</v>
      </c>
      <c r="AB38" s="1805">
        <f t="shared" si="4"/>
        <v>1</v>
      </c>
      <c r="AC38" s="1805">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92"/>
      <c r="Q39" s="1804">
        <f t="shared" si="14"/>
        <v>111</v>
      </c>
      <c r="R39" s="773" t="s">
        <v>17</v>
      </c>
      <c r="S39" s="774">
        <f t="shared" si="10"/>
        <v>100</v>
      </c>
      <c r="T39" s="773" t="s">
        <v>17</v>
      </c>
      <c r="U39" s="774">
        <f t="shared" si="11"/>
        <v>100</v>
      </c>
      <c r="V39" s="773" t="s">
        <v>17</v>
      </c>
      <c r="W39" s="774">
        <f t="shared" si="12"/>
        <v>100</v>
      </c>
      <c r="X39" s="1807"/>
      <c r="Y39" s="3292"/>
      <c r="Z39" s="1808">
        <f t="shared" si="13"/>
        <v>111</v>
      </c>
      <c r="AA39" s="1805">
        <f t="shared" si="3"/>
        <v>1</v>
      </c>
      <c r="AB39" s="1805">
        <f t="shared" si="4"/>
        <v>1</v>
      </c>
      <c r="AC39" s="1805">
        <f t="shared" si="5"/>
        <v>1</v>
      </c>
    </row>
    <row r="40" spans="1:29" s="471" customFormat="1" ht="15.75" thickBot="1">
      <c r="A40" s="468"/>
      <c r="B40" s="1389">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92"/>
      <c r="Q40" s="1804">
        <f t="shared" si="14"/>
        <v>111</v>
      </c>
      <c r="R40" s="776" t="s">
        <v>17</v>
      </c>
      <c r="S40" s="777">
        <f t="shared" si="10"/>
        <v>100</v>
      </c>
      <c r="T40" s="776" t="s">
        <v>17</v>
      </c>
      <c r="U40" s="777">
        <f t="shared" si="11"/>
        <v>100</v>
      </c>
      <c r="V40" s="776" t="s">
        <v>17</v>
      </c>
      <c r="W40" s="777">
        <f t="shared" si="12"/>
        <v>100</v>
      </c>
      <c r="X40" s="778"/>
      <c r="Y40" s="3292"/>
      <c r="Z40" s="779">
        <f t="shared" si="13"/>
        <v>111</v>
      </c>
      <c r="AA40" s="1805">
        <f t="shared" si="3"/>
        <v>1</v>
      </c>
      <c r="AB40" s="1805">
        <f t="shared" si="4"/>
        <v>1</v>
      </c>
      <c r="AC40" s="1805">
        <f t="shared" si="5"/>
        <v>1</v>
      </c>
    </row>
    <row r="41" spans="1:29" ht="15">
      <c r="A41" s="479" t="s">
        <v>2718</v>
      </c>
      <c r="B41" s="2700" t="s">
        <v>2798</v>
      </c>
      <c r="C41" s="681" t="s">
        <v>1</v>
      </c>
      <c r="D41" s="481"/>
      <c r="E41" s="482"/>
      <c r="F41" s="483"/>
      <c r="G41" s="484"/>
      <c r="H41" s="485"/>
      <c r="I41" s="482"/>
      <c r="J41" s="485"/>
      <c r="K41" s="782"/>
      <c r="L41" s="1145"/>
      <c r="M41" s="1133"/>
      <c r="N41" s="1133"/>
      <c r="O41" s="1146"/>
      <c r="P41" s="3285" t="str">
        <f>A41</f>
        <v>成交单价</v>
      </c>
      <c r="Q41" s="3285"/>
      <c r="R41" s="3280">
        <f>E41</f>
        <v>0</v>
      </c>
      <c r="S41" s="3280"/>
      <c r="T41" s="3280">
        <f>G41</f>
        <v>0</v>
      </c>
      <c r="U41" s="3280"/>
      <c r="V41" s="3280">
        <f>I41</f>
        <v>0</v>
      </c>
      <c r="W41" s="3280"/>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85" t="str">
        <f>A42</f>
        <v>比较价值（元/平方米）</v>
      </c>
      <c r="Q42" s="3285"/>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82" t="str">
        <f>A43</f>
        <v>估价对象XX用房的比较价值（楼面单价，元/平方米）</v>
      </c>
      <c r="Q43" s="3283"/>
      <c r="R43" s="3315" t="e">
        <f>ROUND(AVERAGE(R42:V42),0)</f>
        <v>#DIV/0!</v>
      </c>
      <c r="S43" s="3315"/>
      <c r="T43" s="3315"/>
      <c r="U43" s="3315"/>
      <c r="V43" s="3315"/>
      <c r="W43" s="331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1" t="s">
        <v>2758</v>
      </c>
      <c r="D50" s="2702" t="s">
        <v>2759</v>
      </c>
      <c r="E50" s="685" t="s">
        <v>2760</v>
      </c>
      <c r="F50" s="686" t="s">
        <v>2761</v>
      </c>
      <c r="G50" s="3268" t="s">
        <v>2762</v>
      </c>
      <c r="H50" s="3316"/>
      <c r="I50" s="1808" t="s">
        <v>2799</v>
      </c>
      <c r="J50" s="1808">
        <f>项目基本情况!F35</f>
        <v>0</v>
      </c>
      <c r="K50" s="2704" t="s">
        <v>2764</v>
      </c>
      <c r="L50" s="1108"/>
      <c r="M50" s="1146"/>
      <c r="N50" s="1146"/>
      <c r="O50" s="1146"/>
    </row>
    <row r="51" spans="1:17" s="691" customFormat="1">
      <c r="A51" s="687" t="s">
        <v>2765</v>
      </c>
      <c r="B51" s="688" t="e">
        <f>C43</f>
        <v>#DIV/0!</v>
      </c>
      <c r="C51" s="689">
        <v>1</v>
      </c>
      <c r="D51" s="1165">
        <v>1</v>
      </c>
      <c r="E51" s="689">
        <f>'数据-汇总表'!E8+'数据-汇总表'!E9</f>
        <v>2526.41</v>
      </c>
      <c r="F51" s="690" t="e">
        <f t="shared" ref="F51:F60" si="15">ROUND(B51*E51/10000,0)</f>
        <v>#DIV/0!</v>
      </c>
      <c r="G51" s="3267"/>
      <c r="H51" s="3285"/>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7" t="s">
        <v>2767</v>
      </c>
      <c r="H52" s="1106" t="str">
        <f>项目基本情况!B37</f>
        <v>二级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7"/>
      <c r="H53" s="1106" t="str">
        <f>项目基本情况!B37</f>
        <v>二级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7"/>
      <c r="H54" s="1106" t="str">
        <f>项目基本情况!B37</f>
        <v>二级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7"/>
      <c r="H55" s="1106" t="str">
        <f>项目基本情况!B37</f>
        <v>二级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5"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5" t="s">
        <v>2767</v>
      </c>
      <c r="H59" s="1106" t="str">
        <f>项目基本情况!B37</f>
        <v>二级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06"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1026</v>
      </c>
      <c r="E61" s="695">
        <f>IF(B41="楼面地价",SUM(E51:E60),'数据-汇总表'!D3)</f>
        <v>711.96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07" t="s">
        <v>2780</v>
      </c>
      <c r="B65" s="1361"/>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2" t="s">
        <v>2800</v>
      </c>
      <c r="B66" s="332" t="str">
        <f>"北京市平均增长率"&amp;TEXT(基准地价修正!P24,"0.00%")</f>
        <v>北京市平均增长率1.30%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1"/>
      <c r="C1" s="242"/>
      <c r="D1" s="242"/>
      <c r="E1" s="242"/>
      <c r="F1" s="242"/>
      <c r="G1" s="1381">
        <f>MATCH(B1,'数据-取费表'!A6:A16,0)+5</f>
        <v>8</v>
      </c>
    </row>
    <row r="2" spans="1:9" s="244" customFormat="1" ht="18" customHeight="1">
      <c r="A2" s="245" t="s">
        <v>2325</v>
      </c>
      <c r="B2" s="246">
        <f ca="1">IF(D2="——",C52,C52-E2)</f>
        <v>13879</v>
      </c>
      <c r="C2" s="243" t="s">
        <v>2326</v>
      </c>
      <c r="D2" s="2543" t="s">
        <v>70</v>
      </c>
      <c r="E2" s="1442">
        <f ca="1">SUMIF(INDIRECT("'"&amp;G2&amp;"'"&amp;"!A:A"),"承租人权益价值",INDIRECT("'"&amp;G2&amp;"'"&amp;"!c:c"))</f>
        <v>0</v>
      </c>
      <c r="F2" s="2544" t="s">
        <v>2326</v>
      </c>
      <c r="G2" s="2545" t="s">
        <v>3316</v>
      </c>
    </row>
    <row r="3" spans="1:9" s="244" customFormat="1" ht="18" customHeight="1" thickBot="1">
      <c r="A3" s="247" t="s">
        <v>2327</v>
      </c>
      <c r="B3" s="248">
        <f ca="1">ROUND(B2*10000/(IF(B1="",'数据-汇总表'!E3,INDIRECT("'数据-取费表'!k"&amp;$G$1))),0)</f>
        <v>54936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7580.53</v>
      </c>
      <c r="D5" s="255" t="s">
        <v>2332</v>
      </c>
      <c r="E5" s="256" t="s">
        <v>2333</v>
      </c>
      <c r="F5" s="256" t="s">
        <v>2334</v>
      </c>
      <c r="G5" s="257"/>
    </row>
    <row r="6" spans="1:9" s="258" customFormat="1" ht="13.5" customHeight="1">
      <c r="A6" s="951" t="s">
        <v>2335</v>
      </c>
      <c r="B6" s="259" t="s">
        <v>2336</v>
      </c>
      <c r="C6" s="260">
        <f ca="1">基准地价修正!E29</f>
        <v>7307</v>
      </c>
      <c r="D6" s="261"/>
      <c r="E6" s="262"/>
      <c r="F6" s="262"/>
      <c r="G6" s="263"/>
    </row>
    <row r="7" spans="1:9" s="258" customFormat="1" ht="13.5" customHeight="1">
      <c r="A7" s="951" t="s">
        <v>2337</v>
      </c>
      <c r="B7" s="259" t="s">
        <v>2338</v>
      </c>
      <c r="C7" s="264">
        <f ca="1">ROUND(C6*F7,0)</f>
        <v>223</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50.53</v>
      </c>
      <c r="D8" s="266"/>
      <c r="E8" s="264"/>
      <c r="F8" s="265"/>
      <c r="G8" s="2546" t="s">
        <v>3301</v>
      </c>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160</v>
      </c>
      <c r="F9" s="265"/>
      <c r="G9" s="2547" t="s">
        <v>3300</v>
      </c>
      <c r="H9" s="1392"/>
      <c r="I9" s="2548" t="s">
        <v>2342</v>
      </c>
    </row>
    <row r="10" spans="1:9" s="258" customFormat="1" ht="13.5" customHeight="1">
      <c r="A10" s="952" t="s">
        <v>801</v>
      </c>
      <c r="B10" s="268" t="s">
        <v>2343</v>
      </c>
      <c r="C10" s="269">
        <f ca="1">ROUND(D10*E10/10000,0)</f>
        <v>51</v>
      </c>
      <c r="D10" s="1034">
        <f ca="1">IF(B1="",'数据-汇总表'!E6,IF(INDIRECT("'数据-取费表'!c"&amp;$G$1)="住宅",INDIRECT("'数据-取费表'!s"&amp;$G$1),INDIRECT("'数据-取费表'!k"&amp;$G$1)+INDIRECT("'数据-取费表'!s"&amp;$G$1)))</f>
        <v>2526.41</v>
      </c>
      <c r="E10" s="269">
        <f>'数据-取费表'!B28</f>
        <v>200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t="str">
        <f>IF(G19="已包含在土地取得成本中","0",ROUND(D19*E19/10000,0))</f>
        <v>0</v>
      </c>
      <c r="D19" s="1038">
        <f ca="1">D9+D10</f>
        <v>2526.41</v>
      </c>
      <c r="E19" s="255">
        <f>'数据-取费表'!B31</f>
        <v>200</v>
      </c>
      <c r="F19" s="275"/>
      <c r="G19" s="2546" t="s">
        <v>3302</v>
      </c>
    </row>
    <row r="20" spans="1:7" s="258" customFormat="1" ht="13.5" customHeight="1">
      <c r="A20" s="299" t="s">
        <v>2356</v>
      </c>
      <c r="B20" s="254" t="s">
        <v>2357</v>
      </c>
      <c r="C20" s="276">
        <f ca="1">ROUND((C5+C19)*F20,0)</f>
        <v>152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1143</v>
      </c>
      <c r="D22" s="279">
        <f ca="1">C26</f>
        <v>1.4E-3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1132</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0</v>
      </c>
      <c r="D24" s="282"/>
      <c r="E24" s="282"/>
      <c r="F24" s="283"/>
      <c r="G24" s="284" t="s">
        <v>2370</v>
      </c>
    </row>
    <row r="25" spans="1:7" s="258" customFormat="1" ht="24">
      <c r="A25" s="953" t="s">
        <v>2371</v>
      </c>
      <c r="B25" s="259" t="s">
        <v>2372</v>
      </c>
      <c r="C25" s="1357">
        <f ca="1">ROUND(IF('数据-取费表'!B22&lt;=1,C20*F22*'数据-取费表'!B23/2,C20*(POWER((1+F22),'数据-取费表'!B23/2)-1)),0)</f>
        <v>11</v>
      </c>
      <c r="D25" s="282"/>
      <c r="E25" s="285"/>
      <c r="F25" s="283"/>
      <c r="G25" s="286" t="s">
        <v>2373</v>
      </c>
    </row>
    <row r="26" spans="1:7" s="258" customFormat="1">
      <c r="A26" s="953"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2320</v>
      </c>
      <c r="D27" s="279">
        <f ca="1">C29</f>
        <v>6.0000000000000001E-3</v>
      </c>
      <c r="E27" s="280" t="s">
        <v>2377</v>
      </c>
      <c r="F27" s="290">
        <f ca="1">IF(B1="",'数据-取费表'!Q16,INDIRECT("'数据-取费表'!q"&amp;$G$1))</f>
        <v>0.3</v>
      </c>
      <c r="G27" s="291" t="s">
        <v>2378</v>
      </c>
    </row>
    <row r="28" spans="1:7" s="258" customFormat="1" ht="13.5" customHeight="1">
      <c r="A28" s="953" t="s">
        <v>791</v>
      </c>
      <c r="B28" s="292" t="s">
        <v>2379</v>
      </c>
      <c r="C28" s="293">
        <f ca="1">ROUND((C5+C19+C20)*F27*'数据-取费表'!B21/'数据-取费表'!B20,0)</f>
        <v>2320</v>
      </c>
      <c r="D28" s="279"/>
      <c r="E28" s="280"/>
      <c r="F28" s="290"/>
      <c r="G28" s="291"/>
    </row>
    <row r="29" spans="1:7" s="258" customFormat="1" ht="13.5" customHeight="1">
      <c r="A29" s="953"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12178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1396</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1263</v>
      </c>
      <c r="D34" s="261"/>
      <c r="E34" s="264"/>
      <c r="F34" s="301">
        <f ca="1">IF('数据-取费表'!B24=0,1,IF(B1="",'数据-取费表'!N16,INDIRECT("'数据-取费表'!n"&amp;$G$1)))</f>
        <v>1</v>
      </c>
      <c r="G34" s="263" t="s">
        <v>2389</v>
      </c>
    </row>
    <row r="35" spans="1:7" ht="13.5" customHeight="1">
      <c r="A35" s="953" t="s">
        <v>796</v>
      </c>
      <c r="B35" s="259" t="s">
        <v>2390</v>
      </c>
      <c r="C35" s="264">
        <f ca="1">ROUND(C34*F35,0)</f>
        <v>63</v>
      </c>
      <c r="D35" s="264"/>
      <c r="E35" s="264"/>
      <c r="F35" s="303">
        <f>'数据-取费表'!B33</f>
        <v>0.05</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3" t="s">
        <v>798</v>
      </c>
      <c r="B37" s="259" t="s">
        <v>2394</v>
      </c>
      <c r="C37" s="293">
        <f ca="1">ROUND(E37*D37*F34/10000,0)</f>
        <v>51</v>
      </c>
      <c r="D37" s="261">
        <f ca="1">D19</f>
        <v>2526.41</v>
      </c>
      <c r="E37" s="293">
        <f>'数据-取费表'!B35</f>
        <v>200</v>
      </c>
      <c r="F37" s="303"/>
      <c r="G37" s="305" t="s">
        <v>2395</v>
      </c>
    </row>
    <row r="38" spans="1:7" ht="13.5" customHeight="1">
      <c r="A38" s="953" t="s">
        <v>799</v>
      </c>
      <c r="B38" s="259" t="s">
        <v>2396</v>
      </c>
      <c r="C38" s="264">
        <f ca="1">ROUND(C34*F38,0)</f>
        <v>19</v>
      </c>
      <c r="D38" s="264"/>
      <c r="E38" s="264"/>
      <c r="F38" s="303">
        <f>'数据-取费表'!B36</f>
        <v>1.4999999999999999E-2</v>
      </c>
      <c r="G38" s="263" t="s">
        <v>2391</v>
      </c>
    </row>
    <row r="39" spans="1:7" s="258" customFormat="1" ht="13.5" customHeight="1">
      <c r="A39" s="299" t="s">
        <v>2397</v>
      </c>
      <c r="B39" s="254" t="s">
        <v>2398</v>
      </c>
      <c r="C39" s="276">
        <f ca="1">ROUND(C33*F20,0)</f>
        <v>28</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103</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101</v>
      </c>
      <c r="D42" s="282"/>
      <c r="E42" s="282"/>
      <c r="F42" s="283"/>
      <c r="G42" s="3220" t="s">
        <v>2407</v>
      </c>
    </row>
    <row r="43" spans="1:7" ht="13.5" customHeight="1">
      <c r="A43" s="953" t="s">
        <v>792</v>
      </c>
      <c r="B43" s="259" t="s">
        <v>2408</v>
      </c>
      <c r="C43" s="282">
        <f ca="1">ROUND(IF('数据-取费表'!B22&lt;=1,C39*F22*'数据-取费表'!B21/2,C39*(POWER((1+F22),'数据-取费表'!B21/2)-1)),0)</f>
        <v>2</v>
      </c>
      <c r="D43" s="282"/>
      <c r="E43" s="282"/>
      <c r="F43" s="283"/>
      <c r="G43" s="3221"/>
    </row>
    <row r="44" spans="1:7" ht="13.5" customHeight="1">
      <c r="A44" s="953" t="s">
        <v>793</v>
      </c>
      <c r="B44" s="259" t="s">
        <v>2409</v>
      </c>
      <c r="C44" s="282">
        <f ca="1">ROUND(IF('数据-取费表'!B22&lt;=1,C40*F22*'数据-取费表'!B21/2,C40*(POWER((1+F22),'数据-取费表'!B21/2)-1)),4)</f>
        <v>1.4E-3</v>
      </c>
      <c r="D44" s="282"/>
      <c r="E44" s="282"/>
      <c r="F44" s="283"/>
      <c r="G44" s="3222"/>
    </row>
    <row r="45" spans="1:7" s="258" customFormat="1" ht="13.5" customHeight="1">
      <c r="A45" s="299" t="s">
        <v>2410</v>
      </c>
      <c r="B45" s="288" t="s">
        <v>2376</v>
      </c>
      <c r="C45" s="289">
        <f ca="1">C46</f>
        <v>427</v>
      </c>
      <c r="D45" s="279">
        <f ca="1">C47</f>
        <v>6.0000000000000001E-3</v>
      </c>
      <c r="E45" s="280" t="s">
        <v>2402</v>
      </c>
      <c r="F45" s="290"/>
      <c r="G45" s="291" t="s">
        <v>2411</v>
      </c>
    </row>
    <row r="46" spans="1:7" s="258" customFormat="1" ht="13.5" customHeight="1">
      <c r="A46" s="953" t="s">
        <v>791</v>
      </c>
      <c r="B46" s="292" t="s">
        <v>2412</v>
      </c>
      <c r="C46" s="293">
        <f ca="1">ROUND((C33+C39)*F27,0)</f>
        <v>427</v>
      </c>
      <c r="D46" s="307"/>
      <c r="E46" s="280"/>
      <c r="F46" s="290"/>
      <c r="G46" s="291"/>
    </row>
    <row r="47" spans="1:7" s="258" customFormat="1" ht="13.5" customHeight="1">
      <c r="A47" s="953" t="s">
        <v>792</v>
      </c>
      <c r="B47" s="292" t="s">
        <v>2413</v>
      </c>
      <c r="C47" s="282">
        <f ca="1">ROUND(C40*F27,4)</f>
        <v>6.0000000000000001E-3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2126</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1701</v>
      </c>
      <c r="D51" s="276"/>
      <c r="E51" s="276"/>
      <c r="F51" s="308"/>
      <c r="G51" s="278" t="s">
        <v>2423</v>
      </c>
    </row>
    <row r="52" spans="1:7" s="252" customFormat="1" ht="16.5" thickBot="1">
      <c r="A52" s="309" t="s">
        <v>2424</v>
      </c>
      <c r="B52" s="310"/>
      <c r="C52" s="311">
        <f ca="1">C31+C51</f>
        <v>13879</v>
      </c>
      <c r="D52" s="310"/>
      <c r="E52" s="310"/>
      <c r="F52" s="310"/>
      <c r="G52" s="312"/>
    </row>
    <row r="55" spans="1:7" ht="15">
      <c r="B55" s="314" t="s">
        <v>2425</v>
      </c>
      <c r="C55" s="315"/>
    </row>
    <row r="56" spans="1:7">
      <c r="B56" s="317" t="s">
        <v>1509</v>
      </c>
      <c r="C56" s="319">
        <f ca="1">1-C57</f>
        <v>0.877</v>
      </c>
    </row>
    <row r="57" spans="1:7">
      <c r="B57" s="317" t="s">
        <v>1510</v>
      </c>
      <c r="C57" s="318">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 zoomScale="90" zoomScaleNormal="90" zoomScaleSheetLayoutView="96" workbookViewId="0">
      <selection activeCell="K37" sqref="K37"/>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4" customWidth="1"/>
    <col min="33" max="36" width="9.375" style="2792" customWidth="1"/>
    <col min="37" max="38" width="9.375" style="2716" customWidth="1"/>
    <col min="39" max="16384" width="12" style="2716"/>
  </cols>
  <sheetData>
    <row r="1" spans="1:36" ht="28.5">
      <c r="A1" s="240" t="s">
        <v>2802</v>
      </c>
      <c r="B1" s="241"/>
      <c r="C1" s="245" t="s">
        <v>2803</v>
      </c>
      <c r="D1" s="388">
        <f>SUM(D29:D30,D33:D39)</f>
        <v>2526.41</v>
      </c>
      <c r="E1" s="2713"/>
      <c r="F1" s="2713"/>
      <c r="G1" s="2713"/>
      <c r="H1" s="2713"/>
      <c r="I1" s="2713"/>
      <c r="J1" s="2713"/>
      <c r="K1" s="1372"/>
      <c r="L1" s="2714" t="s">
        <v>2804</v>
      </c>
      <c r="M1" s="1082">
        <f>SUMPRODUCT((区片价!B5:B9=I2)*(区片价!C3:F3=E2)*(区片价!C5:F9))</f>
        <v>0</v>
      </c>
      <c r="N1" s="1085">
        <f>SUMPRODUCT((因素修正幅度!B5:B9=I2)*(因素修正幅度!C3:F3=E2)*(因素修正幅度!C5:F9))</f>
        <v>0</v>
      </c>
      <c r="O1" s="2715"/>
      <c r="P1" s="2715"/>
      <c r="Q1" s="1372"/>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7307</v>
      </c>
      <c r="C2" s="2717" t="s">
        <v>2811</v>
      </c>
      <c r="D2" s="2718" t="s">
        <v>2812</v>
      </c>
      <c r="E2" s="2719" t="s">
        <v>1373</v>
      </c>
      <c r="F2" s="2718" t="s">
        <v>2813</v>
      </c>
      <c r="G2" s="2720" t="str">
        <f>IF(E2="商业",项目基本情况!B37,IF(E2="办公",项目基本情况!C37,IF(E2="住宅",项目基本情况!D37,项目基本情况!E37)))</f>
        <v>二级</v>
      </c>
      <c r="H2" s="2718" t="s">
        <v>2814</v>
      </c>
      <c r="I2" s="2720" t="str">
        <f>IF(E2="商业",项目基本情况!B38,IF(E2="办公",项目基本情况!C38,IF(E2="住宅",项目基本情况!D38,项目基本情况!E38)))</f>
        <v>Ⅱ—14</v>
      </c>
      <c r="J2" s="2721"/>
      <c r="K2" s="1372"/>
      <c r="L2" s="2722" t="s">
        <v>2815</v>
      </c>
      <c r="M2" s="1083">
        <f>SUMPRODUCT((区片价!B10:B28=I2)*(区片价!C3:F3=E2)*(区片价!C10:F28))</f>
        <v>24700</v>
      </c>
      <c r="N2" s="1085">
        <f>SUMPRODUCT((因素修正幅度!B10:B28=I2)*(因素修正幅度!C3:F3=E2)*(因素修正幅度!C10:F28))</f>
        <v>9.9000000000000005E-2</v>
      </c>
      <c r="O2" s="1372"/>
      <c r="P2" s="1372"/>
      <c r="Q2" s="1372"/>
      <c r="R2" s="1602">
        <v>1</v>
      </c>
      <c r="S2" s="1602">
        <f>ROUND(IF(G3&gt;1,IF(R2&lt;7,SUMPRODUCT((B93:B98=R2)*(C92:N92=G2)*(C93:N98)),SUMIF(C92:N92,G2,C100:N100)),IF(R2&lt;7,SUMPRODUCT((B102:B107=R2)*(C92:N92=G2)*(C102:N107)),SUMIF(C92:N92,G2,C109:N109))),4)</f>
        <v>1.9361999999999999</v>
      </c>
      <c r="T2" s="1602">
        <f ca="1">ROUND($C$5*$C$18*$C$19*$C$20*S2*$C$24,0)</f>
        <v>56183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28922</v>
      </c>
      <c r="C3" s="2717" t="s">
        <v>2817</v>
      </c>
      <c r="D3" s="2718" t="s">
        <v>2818</v>
      </c>
      <c r="E3" s="2723" t="s">
        <v>3294</v>
      </c>
      <c r="F3" s="2724" t="s">
        <v>2819</v>
      </c>
      <c r="G3" s="915">
        <f>IF(F3="宗地容积率",'数据-汇总表'!I4,IF(F3="估价对象容积率",'数据-汇总表'!I6,'数据-汇总表'!I7))</f>
        <v>3.55</v>
      </c>
      <c r="H3" s="198" t="s">
        <v>2820</v>
      </c>
      <c r="I3" s="946"/>
      <c r="J3" s="2721" t="s">
        <v>2821</v>
      </c>
      <c r="K3" s="1372"/>
      <c r="L3" s="2722" t="s">
        <v>2822</v>
      </c>
      <c r="M3" s="1083">
        <f>SUMPRODUCT((区片价!B29:B48=I2)*(区片价!C3:F3=E2)*(区片价!C29:F48))</f>
        <v>0</v>
      </c>
      <c r="N3" s="1085">
        <f>SUMPRODUCT((因素修正幅度!B29:B48=I2)*(因素修正幅度!C3:F3=E2)*(因素修正幅度!C29:F48))</f>
        <v>0</v>
      </c>
      <c r="O3" s="1372"/>
      <c r="P3" s="1372"/>
      <c r="Q3" s="1372"/>
      <c r="R3" s="1602">
        <v>2</v>
      </c>
      <c r="S3" s="1602">
        <f>ROUND(IF(G3&gt;1,IF(R3&lt;7,SUMPRODUCT((B93:B98=R3)*(C92:N92=G2)*(C93:N98)),SUMIF(C92:N92,G2,C100:N100)),IF(R3&lt;7,SUMPRODUCT((B102:B107=R3)*(C92:N92=G2)*(C102:N107)),SUMIF(C92:N92,G2,C109:N109))),4)</f>
        <v>1.4198</v>
      </c>
      <c r="T3" s="1602">
        <f t="shared" ref="T3:T16" ca="1" si="0">ROUND($C$5*$C$18*$C$19*$C$20*S3*$C$24,0)</f>
        <v>41199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36"/>
      <c r="B4" s="3337"/>
      <c r="C4" s="3337"/>
      <c r="D4" s="3338"/>
      <c r="E4" s="3338"/>
      <c r="F4" s="3338"/>
      <c r="G4" s="3338"/>
      <c r="H4" s="3338"/>
      <c r="I4" s="3338"/>
      <c r="J4" s="3339"/>
      <c r="K4" s="1372"/>
      <c r="L4" s="2722" t="s">
        <v>2823</v>
      </c>
      <c r="M4" s="1083">
        <f>SUMPRODUCT((区片价!B49:B75=I2)*(区片价!C3:F3=E2)*(区片价!C49:F75))</f>
        <v>0</v>
      </c>
      <c r="N4" s="1085">
        <f>SUMPRODUCT((因素修正幅度!B49:B75=I2)*(因素修正幅度!C3:F3=E2)*(因素修正幅度!C49:F75))</f>
        <v>0</v>
      </c>
      <c r="O4" s="1372"/>
      <c r="P4" s="1372"/>
      <c r="Q4" s="1372"/>
      <c r="R4" s="1602">
        <v>3</v>
      </c>
      <c r="S4" s="1602">
        <f>ROUND(IF(G3&gt;1,IF(R4&lt;7,SUMPRODUCT((B93:B98=R4)*(C92:N92=G2)*(C93:N98)),SUMIF(C92:N92,G2,C100:N100)),IF(R4&lt;7,SUMPRODUCT((B102:B107=R4)*(C92:N92=G2)*(C102:N107)),SUMIF(C92:N92,G2,C109:N109))),4)</f>
        <v>1.1594</v>
      </c>
      <c r="T4" s="1602">
        <f t="shared" ca="1" si="0"/>
        <v>33643</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2824</v>
      </c>
      <c r="C5" s="916">
        <f>ROUND(IF(E2="商业",IF(F16="增加",C6*C7+C16,C6*C7-C16),IF(E2="住宅",IF(F16="增加",C6*C12+C16,C6*C12-C16),IF(F16="增加",C6+C16,C6-C16))),0)</f>
        <v>24683</v>
      </c>
      <c r="D5" s="1782">
        <f>ROUND(IF(F16="增加",C6+C16,C6-C16),0)</f>
        <v>24683</v>
      </c>
      <c r="E5" s="1782"/>
      <c r="F5" s="2727"/>
      <c r="G5" s="2728"/>
      <c r="H5" s="2728"/>
      <c r="I5" s="2728"/>
      <c r="J5" s="2729"/>
      <c r="K5" s="2730"/>
      <c r="L5" s="2722" t="s">
        <v>2825</v>
      </c>
      <c r="M5" s="1083">
        <f>SUMPRODUCT((区片价!B76:B109=I2)*(区片价!C3:F3=E2)*(区片价!C76:F109))</f>
        <v>0</v>
      </c>
      <c r="N5" s="1085">
        <f>SUMPRODUCT((因素修正幅度!B76:B109=I2)*(因素修正幅度!C3:F3=E2)*(因素修正幅度!C76:F109))</f>
        <v>0</v>
      </c>
      <c r="O5" s="1372"/>
      <c r="P5" s="1372"/>
      <c r="Q5" s="1372"/>
      <c r="R5" s="1602">
        <v>4</v>
      </c>
      <c r="S5" s="1602">
        <f>ROUND(IF(G3&gt;1,IF(R5&lt;7,SUMPRODUCT((B93:B98=R5)*(C92:N92=G2)*(C93:N98)),SUMIF(C92:N92,G2,C100:N100)),IF(R5&lt;7,SUMPRODUCT((B102:B107=R5)*(C92:N92=G2)*(C102:N107)),SUMIF(C92:N92,G2,C109:N109))),4)</f>
        <v>0.96220000000000006</v>
      </c>
      <c r="T5" s="1602">
        <f t="shared" ca="1" si="0"/>
        <v>27920</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2826</v>
      </c>
      <c r="B6" s="2736" t="s">
        <v>2827</v>
      </c>
      <c r="C6" s="917">
        <f>SUMIF(L1:L12,G2,M1:M12)</f>
        <v>24700</v>
      </c>
      <c r="D6" s="2737" t="s">
        <v>2828</v>
      </c>
      <c r="E6" s="2738"/>
      <c r="F6" s="2738"/>
      <c r="G6" s="2739"/>
      <c r="H6" s="2739"/>
      <c r="I6" s="2739"/>
      <c r="J6" s="2740"/>
      <c r="K6" s="1836"/>
      <c r="L6" s="2722" t="s">
        <v>2829</v>
      </c>
      <c r="M6" s="1083">
        <f>SUMPRODUCT((区片价!B110:B157=I2)*(区片价!C3:F3=E2)*(区片价!C110:F157))</f>
        <v>0</v>
      </c>
      <c r="N6" s="1085">
        <f>SUMPRODUCT((因素修正幅度!B110:B157=I2)*(因素修正幅度!C3:F3=E2)*(因素修正幅度!C110:F157))</f>
        <v>0</v>
      </c>
      <c r="O6" s="1372"/>
      <c r="P6" s="1372"/>
      <c r="Q6" s="1372"/>
      <c r="R6" s="1602">
        <v>5</v>
      </c>
      <c r="S6" s="1602">
        <f>ROUND(IF(G3&gt;1,IF(R6&lt;7,SUMPRODUCT((B93:B98=R6)*(C92:N92=G2)*(C93:N98)),SUMIF(C92:N92,G2,C100:N100)),IF(R6&lt;7,SUMPRODUCT((B102:B107=R6)*(C92:N92=G2)*(C102:N107)),SUMIF(C92:N92,G2,C109:N109))),4)</f>
        <v>0.8417</v>
      </c>
      <c r="T6" s="1602">
        <f t="shared" ca="1" si="0"/>
        <v>24424</v>
      </c>
      <c r="U6" s="1603"/>
      <c r="V6" s="1602">
        <f t="shared" ca="1" si="1"/>
        <v>0</v>
      </c>
      <c r="W6" s="1606"/>
      <c r="X6" s="1606"/>
      <c r="Y6" s="1606"/>
      <c r="Z6" s="1606"/>
      <c r="AA6" s="1606"/>
      <c r="AB6" s="1606"/>
      <c r="AC6" s="2731"/>
      <c r="AD6" s="2732"/>
      <c r="AE6" s="2732"/>
      <c r="AF6" s="2732"/>
      <c r="AG6" s="2732"/>
      <c r="AH6" s="2732"/>
      <c r="AI6" s="2732"/>
      <c r="AJ6" s="2733"/>
    </row>
    <row r="7" spans="1:36" ht="24">
      <c r="A7" s="3322" t="str">
        <f>IF(E2="商业",IF(C8="不临58条商业街","",2),"")</f>
        <v/>
      </c>
      <c r="B7" s="2741" t="s">
        <v>2830</v>
      </c>
      <c r="C7" s="918">
        <f>IF(C8="不临58条商业街",1,ROUND(1+(1.6*E8+1.2*E9+0.8*E10+0.4*E11)*C9,4))</f>
        <v>1</v>
      </c>
      <c r="D7" s="2742" t="s">
        <v>2831</v>
      </c>
      <c r="E7" s="947"/>
      <c r="F7" s="2743"/>
      <c r="G7" s="2744"/>
      <c r="H7" s="2744"/>
      <c r="I7" s="2744"/>
      <c r="J7" s="2745"/>
      <c r="K7" s="1836"/>
      <c r="L7" s="2722" t="s">
        <v>2832</v>
      </c>
      <c r="M7" s="1083">
        <f>SUMPRODUCT((区片价!B158:B205=I2)*(区片价!C3:F3=E2)*(区片价!C158:F205))</f>
        <v>0</v>
      </c>
      <c r="N7" s="1085">
        <f>SUMPRODUCT((因素修正幅度!B158:B205=I2)*(因素修正幅度!C3:F3=E2)*(因素修正幅度!C158:F205))</f>
        <v>0</v>
      </c>
      <c r="O7" s="1372"/>
      <c r="P7" s="1372"/>
      <c r="Q7" s="1372"/>
      <c r="R7" s="1602">
        <v>6</v>
      </c>
      <c r="S7" s="1602">
        <f>ROUND(IF(G3&gt;1,IF(R7&lt;7,SUMPRODUCT((B93:B98=R7)*(C92:N92=G2)*(C93:N98)),SUMIF(C92:N92,G2,C100:N100)),IF(R7&lt;7,SUMPRODUCT((B102:B107=R7)*(C92:N92=G2)*(C102:N107)),SUMIF(C92:N92,G2,C109:N109))),4)</f>
        <v>0.76080000000000003</v>
      </c>
      <c r="T7" s="1602">
        <f t="shared" ca="1" si="0"/>
        <v>22076</v>
      </c>
      <c r="U7" s="1603"/>
      <c r="V7" s="1602">
        <f t="shared" ca="1" si="1"/>
        <v>0</v>
      </c>
      <c r="W7" s="1810" t="s">
        <v>2833</v>
      </c>
      <c r="X7" s="1604" t="str">
        <f>G2</f>
        <v>二级</v>
      </c>
      <c r="Y7" s="1604" t="s">
        <v>2834</v>
      </c>
      <c r="Z7" s="1605">
        <f>G3</f>
        <v>3.55</v>
      </c>
      <c r="AA7" s="1606"/>
      <c r="AB7" s="1606"/>
      <c r="AC7" s="1607"/>
      <c r="AD7" s="1608"/>
      <c r="AE7" s="1608"/>
      <c r="AF7" s="1608"/>
      <c r="AG7" s="1608"/>
      <c r="AH7" s="1608"/>
      <c r="AI7" s="1608"/>
      <c r="AJ7" s="1609"/>
    </row>
    <row r="8" spans="1:36" ht="25.5">
      <c r="A8" s="3323"/>
      <c r="B8" s="198" t="s">
        <v>2835</v>
      </c>
      <c r="C8" s="2746" t="s">
        <v>3295</v>
      </c>
      <c r="D8" s="919" t="s">
        <v>139</v>
      </c>
      <c r="E8" s="920" t="e">
        <f>ROUND(C11/E7,4)</f>
        <v>#DIV/0!</v>
      </c>
      <c r="F8" s="2747" t="s">
        <v>2836</v>
      </c>
      <c r="G8" s="2748"/>
      <c r="H8" s="2748"/>
      <c r="I8" s="2748"/>
      <c r="J8" s="2749"/>
      <c r="K8" s="1372"/>
      <c r="L8" s="2722" t="s">
        <v>2837</v>
      </c>
      <c r="M8" s="1083">
        <f>SUMPRODUCT((区片价!B206:B244=I2)*(区片价!C3:F3=E2)*(区片价!C206:F244))</f>
        <v>0</v>
      </c>
      <c r="N8" s="1085">
        <f>SUMPRODUCT((因素修正幅度!B206:B244=I2)*(因素修正幅度!C3:F3=E2)*(因素修正幅度!C206:F244))</f>
        <v>0</v>
      </c>
      <c r="O8" s="1372"/>
      <c r="P8" s="1372"/>
      <c r="Q8" s="1372"/>
      <c r="R8" s="1602">
        <v>7</v>
      </c>
      <c r="S8" s="1603"/>
      <c r="T8" s="1602">
        <f t="shared" ca="1" si="0"/>
        <v>0</v>
      </c>
      <c r="U8" s="1603"/>
      <c r="V8" s="1602">
        <f t="shared" ca="1" si="1"/>
        <v>0</v>
      </c>
      <c r="W8" s="3333" t="s">
        <v>2838</v>
      </c>
      <c r="X8" s="3334"/>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23"/>
      <c r="B9" s="198" t="s">
        <v>2851</v>
      </c>
      <c r="C9" s="921">
        <f>SUMIF(修正!C59:C119,C8,修正!E59:E119)</f>
        <v>0</v>
      </c>
      <c r="D9" s="200" t="s">
        <v>140</v>
      </c>
      <c r="E9" s="200" t="e">
        <f>ROUND(C11/E7,4)</f>
        <v>#DIV/0!</v>
      </c>
      <c r="F9" s="2747" t="s">
        <v>2852</v>
      </c>
      <c r="G9" s="2748"/>
      <c r="H9" s="2748"/>
      <c r="I9" s="2748"/>
      <c r="J9" s="2749"/>
      <c r="K9" s="1372"/>
      <c r="L9" s="2722" t="s">
        <v>2853</v>
      </c>
      <c r="M9" s="1083">
        <f>SUMPRODUCT((区片价!B245:B289=I2)*(区片价!C3:F3=E2)*(区片价!C245:F289))</f>
        <v>0</v>
      </c>
      <c r="N9" s="1085">
        <f>SUMPRODUCT((因素修正幅度!B245:B289=I2)*(因素修正幅度!C3:F3=E2)*(因素修正幅度!C245:F289))</f>
        <v>0</v>
      </c>
      <c r="O9" s="1372"/>
      <c r="P9" s="1372"/>
      <c r="Q9" s="1372"/>
      <c r="R9" s="1602">
        <v>8</v>
      </c>
      <c r="S9" s="1603"/>
      <c r="T9" s="1602">
        <f t="shared" ca="1" si="0"/>
        <v>0</v>
      </c>
      <c r="U9" s="1603"/>
      <c r="V9" s="1602">
        <f t="shared" ca="1" si="1"/>
        <v>0</v>
      </c>
      <c r="W9" s="3335"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3"/>
      <c r="B10" s="198" t="s">
        <v>2856</v>
      </c>
      <c r="C10" s="200">
        <f>SUMIF(修正!C59:C119,C8,修正!F59:F119)</f>
        <v>0</v>
      </c>
      <c r="D10" s="200" t="s">
        <v>141</v>
      </c>
      <c r="E10" s="200" t="e">
        <f>ROUND(C11/E7,4)</f>
        <v>#DIV/0!</v>
      </c>
      <c r="F10" s="2747" t="s">
        <v>2857</v>
      </c>
      <c r="G10" s="2748"/>
      <c r="H10" s="2748"/>
      <c r="I10" s="2748"/>
      <c r="J10" s="2749"/>
      <c r="K10" s="1372"/>
      <c r="L10" s="2722" t="s">
        <v>2858</v>
      </c>
      <c r="M10" s="1083">
        <f>SUMPRODUCT((区片价!B290:B316=I2)*(区片价!C3:F3=E2)*(区片价!C290:F316))</f>
        <v>0</v>
      </c>
      <c r="N10" s="1085">
        <f>SUMPRODUCT((因素修正幅度!B290:B316=I2)*(因素修正幅度!C3:F3=E2)*(因素修正幅度!C290:F316))</f>
        <v>0</v>
      </c>
      <c r="O10" s="1372"/>
      <c r="P10" s="1372"/>
      <c r="Q10" s="1372"/>
      <c r="R10" s="1602">
        <v>9</v>
      </c>
      <c r="S10" s="1603"/>
      <c r="T10" s="1602">
        <f t="shared" ca="1" si="0"/>
        <v>0</v>
      </c>
      <c r="U10" s="1603"/>
      <c r="V10" s="1602">
        <f t="shared" ca="1" si="1"/>
        <v>0</v>
      </c>
      <c r="W10" s="333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3"/>
      <c r="B11" s="2750" t="s">
        <v>2859</v>
      </c>
      <c r="C11" s="922">
        <f>C10/4</f>
        <v>0</v>
      </c>
      <c r="D11" s="922" t="s">
        <v>142</v>
      </c>
      <c r="E11" s="922" t="e">
        <f>ROUND(C11/E7,4)</f>
        <v>#DIV/0!</v>
      </c>
      <c r="F11" s="2751" t="s">
        <v>2860</v>
      </c>
      <c r="G11" s="2752"/>
      <c r="H11" s="2752"/>
      <c r="I11" s="2752"/>
      <c r="J11" s="2753"/>
      <c r="K11" s="1372"/>
      <c r="L11" s="2722" t="s">
        <v>2861</v>
      </c>
      <c r="M11" s="1083">
        <f>SUMPRODUCT((区片价!B317:B337=I2)*(区片价!C3:F3=E2)*(区片价!C317:F337))</f>
        <v>0</v>
      </c>
      <c r="N11" s="1085">
        <f>SUMPRODUCT((因素修正幅度!B317:B337=I2)*(因素修正幅度!C3:F3=E2)*(因素修正幅度!C317:F337))</f>
        <v>0</v>
      </c>
      <c r="O11" s="1372"/>
      <c r="P11" s="1372"/>
      <c r="Q11" s="1372"/>
      <c r="R11" s="1602">
        <v>10</v>
      </c>
      <c r="S11" s="1603"/>
      <c r="T11" s="1602">
        <f t="shared" ca="1" si="0"/>
        <v>0</v>
      </c>
      <c r="U11" s="1603"/>
      <c r="V11" s="1602">
        <f t="shared" ca="1" si="1"/>
        <v>0</v>
      </c>
      <c r="W11" s="3335" t="s">
        <v>2862</v>
      </c>
      <c r="X11" s="1614" t="s">
        <v>2863</v>
      </c>
      <c r="Y11" s="1615">
        <f>$G$3</f>
        <v>3.55</v>
      </c>
      <c r="Z11" s="1615">
        <f t="shared" ref="Z11:AJ11" si="3">$G$3</f>
        <v>3.55</v>
      </c>
      <c r="AA11" s="1615">
        <f t="shared" si="3"/>
        <v>3.55</v>
      </c>
      <c r="AB11" s="1615">
        <f t="shared" si="3"/>
        <v>3.55</v>
      </c>
      <c r="AC11" s="1615">
        <f t="shared" si="3"/>
        <v>3.55</v>
      </c>
      <c r="AD11" s="1615">
        <f t="shared" si="3"/>
        <v>3.55</v>
      </c>
      <c r="AE11" s="1615">
        <f t="shared" si="3"/>
        <v>3.55</v>
      </c>
      <c r="AF11" s="1615">
        <f t="shared" si="3"/>
        <v>3.55</v>
      </c>
      <c r="AG11" s="1615">
        <f t="shared" si="3"/>
        <v>3.55</v>
      </c>
      <c r="AH11" s="1615">
        <f t="shared" si="3"/>
        <v>3.55</v>
      </c>
      <c r="AI11" s="1615">
        <f t="shared" si="3"/>
        <v>3.55</v>
      </c>
      <c r="AJ11" s="1615">
        <f t="shared" si="3"/>
        <v>3.55</v>
      </c>
    </row>
    <row r="12" spans="1:36" ht="25.5" thickBot="1">
      <c r="A12" s="3322" t="s">
        <v>2864</v>
      </c>
      <c r="B12" s="2754" t="s">
        <v>2865</v>
      </c>
      <c r="C12" s="918">
        <f>ROUND(C15*D15*E15*F15*G15*H15*I15*J15,4)</f>
        <v>1</v>
      </c>
      <c r="D12" s="2755" t="s">
        <v>2866</v>
      </c>
      <c r="E12" s="2756"/>
      <c r="F12" s="2756"/>
      <c r="G12" s="2757"/>
      <c r="H12" s="2757"/>
      <c r="I12" s="2757"/>
      <c r="J12" s="2758"/>
      <c r="K12" s="1372"/>
      <c r="L12" s="2759" t="s">
        <v>2867</v>
      </c>
      <c r="M12" s="1084">
        <f>SUMPRODUCT((区片价!B338:B344=I2)*(区片价!C3:F3=E2)*(区片价!C338:F344))</f>
        <v>0</v>
      </c>
      <c r="N12" s="1085">
        <f>SUMPRODUCT((因素修正幅度!B338:B344=I2)*(因素修正幅度!C3:F3=E2)*(因素修正幅度!C338:F344))</f>
        <v>0</v>
      </c>
      <c r="O12" s="1372"/>
      <c r="P12" s="1372"/>
      <c r="Q12" s="1372"/>
      <c r="R12" s="1602">
        <v>11</v>
      </c>
      <c r="S12" s="1603"/>
      <c r="T12" s="1602">
        <f t="shared" ca="1" si="0"/>
        <v>0</v>
      </c>
      <c r="U12" s="1603"/>
      <c r="V12" s="1602">
        <f t="shared" ca="1" si="1"/>
        <v>0</v>
      </c>
      <c r="W12" s="3335"/>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0"/>
      <c r="B13" s="2760" t="s">
        <v>2869</v>
      </c>
      <c r="C13" s="2761" t="s">
        <v>2870</v>
      </c>
      <c r="D13" s="1802" t="s">
        <v>2871</v>
      </c>
      <c r="E13" s="1802" t="s">
        <v>2872</v>
      </c>
      <c r="F13" s="30" t="s">
        <v>2873</v>
      </c>
      <c r="G13" s="2762" t="s">
        <v>2874</v>
      </c>
      <c r="H13" s="2762" t="s">
        <v>2874</v>
      </c>
      <c r="I13" s="2762" t="s">
        <v>2874</v>
      </c>
      <c r="J13" s="2763" t="s">
        <v>2874</v>
      </c>
      <c r="K13" s="1372"/>
      <c r="L13" s="1372"/>
      <c r="M13" s="1372"/>
      <c r="N13" s="1372"/>
      <c r="O13" s="1372"/>
      <c r="P13" s="1372"/>
      <c r="Q13" s="1372"/>
      <c r="R13" s="1602">
        <v>12</v>
      </c>
      <c r="S13" s="1603"/>
      <c r="T13" s="1602">
        <f t="shared" ca="1" si="0"/>
        <v>0</v>
      </c>
      <c r="U13" s="1603"/>
      <c r="V13" s="1602">
        <f t="shared" ca="1" si="1"/>
        <v>0</v>
      </c>
      <c r="W13" s="3335"/>
      <c r="X13" s="1616"/>
      <c r="Y13" s="1613">
        <f>(-0.163*(Y12^2)-0.59*Y12+7617)*(10^(-4))/Y11</f>
        <v>0.21456338028169017</v>
      </c>
      <c r="Z13" s="1613">
        <f t="shared" ref="Z13:AJ13" si="5">(-0.163*(Z12^2)-0.59*Z12+7617)*(10^(-4))/Z11</f>
        <v>0.21456338028169017</v>
      </c>
      <c r="AA13" s="1613">
        <f t="shared" si="5"/>
        <v>0.21456338028169017</v>
      </c>
      <c r="AB13" s="1613">
        <f t="shared" si="5"/>
        <v>0.21456338028169017</v>
      </c>
      <c r="AC13" s="1613">
        <f t="shared" si="5"/>
        <v>0.21456338028169017</v>
      </c>
      <c r="AD13" s="1613">
        <f t="shared" si="5"/>
        <v>0.21456338028169017</v>
      </c>
      <c r="AE13" s="1613">
        <f t="shared" si="5"/>
        <v>0.21456338028169017</v>
      </c>
      <c r="AF13" s="1613">
        <f t="shared" si="5"/>
        <v>0.21456338028169017</v>
      </c>
      <c r="AG13" s="1613">
        <f t="shared" si="5"/>
        <v>0.21456338028169017</v>
      </c>
      <c r="AH13" s="1613">
        <f t="shared" si="5"/>
        <v>0.21456338028169017</v>
      </c>
      <c r="AI13" s="1613">
        <f t="shared" si="5"/>
        <v>0.21456338028169017</v>
      </c>
      <c r="AJ13" s="1613">
        <f t="shared" si="5"/>
        <v>0.21456338028169017</v>
      </c>
    </row>
    <row r="14" spans="1:36" ht="15">
      <c r="A14" s="3340"/>
      <c r="B14" s="2764"/>
      <c r="C14" s="2765"/>
      <c r="D14" s="2766"/>
      <c r="E14" s="2766"/>
      <c r="F14" s="2767"/>
      <c r="G14" s="2768" t="s">
        <v>2875</v>
      </c>
      <c r="H14" s="2769"/>
      <c r="I14" s="2770"/>
      <c r="J14" s="2771"/>
      <c r="K14" s="1372"/>
      <c r="L14" s="1372"/>
      <c r="M14" s="1372"/>
      <c r="N14" s="1372"/>
      <c r="O14" s="1372"/>
      <c r="P14" s="1372"/>
      <c r="Q14" s="1372"/>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41"/>
      <c r="B15" s="2772" t="s">
        <v>2876</v>
      </c>
      <c r="C15" s="229">
        <f>IF(C14="有",1.1,1)</f>
        <v>1</v>
      </c>
      <c r="D15" s="229">
        <f>IF(D14="有",1.1,1)</f>
        <v>1</v>
      </c>
      <c r="E15" s="229">
        <f>IF(E14="有",1.1,1)</f>
        <v>1</v>
      </c>
      <c r="F15" s="229">
        <f>IF(F14="500米范围内",1.2,IF(F14="500-1000米",1.1,1))</f>
        <v>1</v>
      </c>
      <c r="G15" s="948">
        <v>1</v>
      </c>
      <c r="H15" s="948">
        <v>1</v>
      </c>
      <c r="I15" s="948">
        <v>1</v>
      </c>
      <c r="J15" s="949">
        <v>1</v>
      </c>
      <c r="K15" s="1372"/>
      <c r="L15" s="2773" t="s">
        <v>2812</v>
      </c>
      <c r="M15" s="919" t="s">
        <v>2877</v>
      </c>
      <c r="N15" s="919" t="s">
        <v>2878</v>
      </c>
      <c r="O15" s="919" t="s">
        <v>2879</v>
      </c>
      <c r="P15" s="2774" t="s">
        <v>2880</v>
      </c>
      <c r="Q15" s="1372"/>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22" t="s">
        <v>2881</v>
      </c>
      <c r="B16" s="2741" t="s">
        <v>2882</v>
      </c>
      <c r="C16" s="1795">
        <f>ROUND(SUM(G17:J17)/C17,0)</f>
        <v>17</v>
      </c>
      <c r="D16" s="2775" t="s">
        <v>2883</v>
      </c>
      <c r="E16" s="2776" t="s">
        <v>3296</v>
      </c>
      <c r="F16" s="2777" t="s">
        <v>3297</v>
      </c>
      <c r="G16" s="2778" t="s">
        <v>3298</v>
      </c>
      <c r="H16" s="2778"/>
      <c r="I16" s="2778"/>
      <c r="J16" s="2779"/>
      <c r="K16" s="1372"/>
      <c r="L16" s="2780" t="s">
        <v>2884</v>
      </c>
      <c r="M16" s="921">
        <v>0.25</v>
      </c>
      <c r="N16" s="921">
        <v>0.2</v>
      </c>
      <c r="O16" s="921">
        <v>0.15</v>
      </c>
      <c r="P16" s="1371">
        <v>0.1</v>
      </c>
      <c r="Q16" s="1372"/>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23"/>
      <c r="B17" s="2781" t="s">
        <v>2885</v>
      </c>
      <c r="C17" s="923">
        <f>SUMPRODUCT((修正!A2:A5=E2)*(修正!B1:M1=G2)*(修正!B2:M5))</f>
        <v>3.5</v>
      </c>
      <c r="D17" s="2782" t="s">
        <v>2886</v>
      </c>
      <c r="E17" s="922" t="str">
        <f>IF(OR(G2="八级",G2="九级",G2="十级",G2="十一级",G2="十二级"),"五通一平","七通一平")</f>
        <v>七通一平</v>
      </c>
      <c r="F17" s="923" t="s">
        <v>2887</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83"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4"/>
      <c r="AF17" s="2784"/>
      <c r="AG17" s="2716"/>
      <c r="AH17" s="2716"/>
      <c r="AI17" s="2716"/>
      <c r="AJ17" s="2716"/>
    </row>
    <row r="18" spans="1:37" s="2734" customFormat="1" ht="15.75" thickBot="1">
      <c r="A18" s="2785" t="s">
        <v>808</v>
      </c>
      <c r="B18" s="2786" t="s">
        <v>2889</v>
      </c>
      <c r="C18" s="925">
        <f>SUMIF(修正!C18:C39,E3,修正!E18:E39)</f>
        <v>1</v>
      </c>
      <c r="D18" s="2787"/>
      <c r="E18" s="2788"/>
      <c r="F18" s="2789"/>
      <c r="G18" s="2790"/>
      <c r="H18" s="2790"/>
      <c r="I18" s="2790"/>
      <c r="J18" s="2791"/>
      <c r="K18" s="1379"/>
      <c r="O18" s="1377"/>
      <c r="P18" s="1377"/>
      <c r="Q18" s="1378"/>
      <c r="R18" s="1378"/>
      <c r="S18" s="1378"/>
      <c r="T18" s="1373"/>
      <c r="U18" s="1373"/>
      <c r="V18" s="1373"/>
      <c r="W18" s="1372"/>
      <c r="X18" s="1372"/>
      <c r="Y18" s="1372"/>
      <c r="Z18" s="1379"/>
      <c r="AA18" s="1380"/>
      <c r="AB18" s="1380"/>
      <c r="AC18" s="1380"/>
      <c r="AD18" s="1380"/>
      <c r="AE18" s="1374"/>
      <c r="AF18" s="1374"/>
      <c r="AG18" s="2792"/>
      <c r="AH18" s="2792"/>
      <c r="AI18" s="2792"/>
    </row>
    <row r="19" spans="1:37" s="2734" customFormat="1" ht="27.75" thickBot="1">
      <c r="A19" s="2785" t="s">
        <v>809</v>
      </c>
      <c r="B19" s="2786" t="s">
        <v>2890</v>
      </c>
      <c r="C19" s="926">
        <f>ROUND(IF(H19="按公示增长率计算",SUMPRODUCT((地价!A3:A30=YEAR(G19)&amp;"-"&amp;ROUNDUP(MONTH(G19)/3,0))*(地价!X2:AB2=E2)*(地价!X3:AB30)),IF(H19="地价指数",M20/M19,(1+I19)^O19)),4)</f>
        <v>1.3566</v>
      </c>
      <c r="D19" s="2793" t="s">
        <v>2891</v>
      </c>
      <c r="E19" s="927">
        <v>41640</v>
      </c>
      <c r="F19" s="2793" t="s">
        <v>2892</v>
      </c>
      <c r="G19" s="928">
        <f>'数据-取费表'!B2</f>
        <v>43957</v>
      </c>
      <c r="H19" s="2794" t="s">
        <v>2893</v>
      </c>
      <c r="I19" s="929" t="str">
        <f>IF(H19="季度增幅（自定义）",SUMIF(N21:N24,E2,O21:O24),"")</f>
        <v/>
      </c>
      <c r="J19" s="2791"/>
      <c r="K19" s="1379"/>
      <c r="L19" s="2795" t="s">
        <v>2894</v>
      </c>
      <c r="M19" s="1729">
        <f>ROUND(SUMIF(地价!B2:F2,E2,地价!B30:F30),0)</f>
        <v>258</v>
      </c>
      <c r="N19" s="2796" t="s">
        <v>2895</v>
      </c>
      <c r="O19" s="930">
        <f>ROUNDDOWN(DATEDIF(E19,G19,"M")/3,0)</f>
        <v>25</v>
      </c>
      <c r="P19" s="1376"/>
      <c r="Q19" s="1378"/>
      <c r="R19" s="1378"/>
      <c r="S19" s="1378"/>
      <c r="T19" s="1373"/>
      <c r="U19" s="1373"/>
      <c r="V19" s="1373"/>
      <c r="W19" s="1372"/>
      <c r="X19" s="1372"/>
      <c r="Y19" s="1372"/>
      <c r="Z19" s="1379"/>
      <c r="AA19" s="1380"/>
      <c r="AB19" s="1380"/>
      <c r="AC19" s="1380"/>
      <c r="AD19" s="1380"/>
      <c r="AE19" s="1380"/>
      <c r="AF19" s="2797"/>
      <c r="AG19" s="2798"/>
      <c r="AH19" s="2792"/>
      <c r="AI19" s="2799"/>
      <c r="AJ19" s="2799"/>
      <c r="AK19" s="2799"/>
    </row>
    <row r="20" spans="1:37" s="2734" customFormat="1" ht="27.75" thickBot="1">
      <c r="A20" s="2800" t="s">
        <v>810</v>
      </c>
      <c r="B20" s="2801" t="s">
        <v>2896</v>
      </c>
      <c r="C20" s="931">
        <f ca="1">ROUND(POWER(1+G20,J20-I20)*(POWER(1+G20,I20)-1)/(POWER(1+G20,J20)-1),4)</f>
        <v>0.81930000000000003</v>
      </c>
      <c r="D20" s="2802" t="s">
        <v>2897</v>
      </c>
      <c r="E20" s="1763">
        <f ca="1">存贷款利率!D4/100</f>
        <v>4.3499999999999997E-2</v>
      </c>
      <c r="F20" s="2802" t="s">
        <v>2888</v>
      </c>
      <c r="G20" s="936">
        <f ca="1">SUMIF(M15:P15,E2,M17:P17)</f>
        <v>5.3999999999999999E-2</v>
      </c>
      <c r="H20" s="2802" t="s">
        <v>2898</v>
      </c>
      <c r="I20" s="937">
        <f>SUMIF('数据-取费表'!C6:C15,E2,'数据-取费表'!F6:F15)/COUNTIF('数据-取费表'!C6:C15,E2)</f>
        <v>24.16</v>
      </c>
      <c r="J20" s="938">
        <f>IF(E2="住宅",70,IF(E2="商业",40,50))</f>
        <v>40</v>
      </c>
      <c r="K20" s="1379"/>
      <c r="L20" s="2803" t="s">
        <v>2899</v>
      </c>
      <c r="M20" s="1730">
        <f>ROUND(SUMPRODUCT((地价!A4:A30=YEAR(G19)&amp;"-"&amp;ROUNDUP(MONTH(G19)/3,0))*(地价!B2:F2=E2)*(地价!B4:F30)),0)</f>
        <v>350</v>
      </c>
      <c r="N20" s="2804" t="s">
        <v>2900</v>
      </c>
      <c r="O20" s="2805" t="s">
        <v>2901</v>
      </c>
      <c r="P20" s="2806" t="s">
        <v>2902</v>
      </c>
      <c r="R20" s="1378"/>
      <c r="S20" s="1378"/>
      <c r="T20" s="1373"/>
      <c r="U20" s="1373"/>
      <c r="V20" s="1373"/>
      <c r="W20" s="1372"/>
      <c r="X20" s="1372"/>
      <c r="Y20" s="1372"/>
      <c r="Z20" s="1379"/>
      <c r="AA20" s="1380"/>
      <c r="AB20" s="1380"/>
      <c r="AC20" s="1380"/>
      <c r="AD20" s="1380"/>
      <c r="AE20" s="1380"/>
      <c r="AF20" s="1380"/>
    </row>
    <row r="21" spans="1:37" s="2734" customFormat="1" ht="15">
      <c r="A21" s="2807" t="s">
        <v>811</v>
      </c>
      <c r="B21" s="2808" t="s">
        <v>3299</v>
      </c>
      <c r="C21" s="939">
        <f>IF(B21="容积率修正",IF(G3&lt;=10,D22,J22),C23)</f>
        <v>0.99670000000000003</v>
      </c>
      <c r="D21" s="2809"/>
      <c r="E21" s="2809"/>
      <c r="F21" s="2809"/>
      <c r="G21" s="2809"/>
      <c r="H21" s="2809"/>
      <c r="I21" s="2809"/>
      <c r="J21" s="2810"/>
      <c r="K21" s="1379"/>
      <c r="N21" s="2811" t="s">
        <v>2903</v>
      </c>
      <c r="O21" s="1561"/>
      <c r="P21" s="1562">
        <f>SUMPRODUCT((地价!A3:A30=YEAR(G19)&amp;"-"&amp;ROUNDUP(MONTH(G19)/3,0))*(地价!AD2:AH2=N21)*(地价!AD3:AH30))</f>
        <v>1.23E-2</v>
      </c>
      <c r="R21" s="1378"/>
      <c r="S21" s="1378"/>
      <c r="T21" s="1373"/>
      <c r="U21" s="1373"/>
      <c r="V21" s="1373"/>
      <c r="W21" s="1372"/>
      <c r="X21" s="1372"/>
      <c r="Y21" s="1372"/>
      <c r="Z21" s="1379"/>
      <c r="AA21" s="1380"/>
      <c r="AB21" s="1380"/>
      <c r="AC21" s="1380"/>
      <c r="AD21" s="1380"/>
      <c r="AE21" s="1380"/>
      <c r="AF21" s="1380"/>
    </row>
    <row r="22" spans="1:37" s="2734" customFormat="1" ht="14.25">
      <c r="A22" s="2660" t="s">
        <v>2904</v>
      </c>
      <c r="B22" s="2812" t="s">
        <v>2905</v>
      </c>
      <c r="C22" s="1804" t="s">
        <v>2906</v>
      </c>
      <c r="D22" s="1804">
        <f>IF(E22=G22,F22,IF(G3&lt;=10,ROUND(F22+(H22-F22)*(G3-E22)/(G22-E22),4),"——"))</f>
        <v>0.99670000000000003</v>
      </c>
      <c r="E22" s="915">
        <f>ROUNDDOWN(G3,1)</f>
        <v>3.5</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3.6</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0.99329999999999996</v>
      </c>
      <c r="I22" s="1804" t="s">
        <v>155</v>
      </c>
      <c r="J22" s="940" t="str">
        <f>IF(G3&gt;10,D113,"——")</f>
        <v>——</v>
      </c>
      <c r="K22" s="1379"/>
      <c r="N22" s="2811" t="s">
        <v>2907</v>
      </c>
      <c r="O22" s="1561"/>
      <c r="P22" s="1562">
        <f>SUMPRODUCT((地价!A3:A30=YEAR(G19)&amp;"-"&amp;ROUNDUP(MONTH(G19)/3,0))*(地价!AD2:AH2=N22)*(地价!AD3:AH30))</f>
        <v>1.23E-2</v>
      </c>
      <c r="R22" s="1378"/>
      <c r="S22" s="1378"/>
      <c r="T22" s="1373"/>
      <c r="U22" s="1373"/>
      <c r="V22" s="1373"/>
      <c r="W22" s="1372"/>
      <c r="X22" s="1372"/>
      <c r="Y22" s="1372"/>
      <c r="Z22" s="1379"/>
      <c r="AA22" s="1380"/>
      <c r="AB22" s="1380"/>
      <c r="AC22" s="1380"/>
      <c r="AD22" s="1380"/>
      <c r="AE22" s="1380"/>
      <c r="AF22" s="1380"/>
    </row>
    <row r="23" spans="1:37" ht="27.75" thickBot="1">
      <c r="A23" s="2660" t="s">
        <v>2908</v>
      </c>
      <c r="B23" s="2813" t="s">
        <v>2909</v>
      </c>
      <c r="C23" s="1015">
        <f>ROUND(IF(G3&gt;1,IF(I3&lt;7,SUMPRODUCT((B93:B98=I3)*(C92:N92=G2)*(C93:N98)),SUMIF(C92:N92,G2,C100:N100)),IF(I3&lt;7,SUMPRODUCT((B102:B107=I3)*(C92:N92=G2)*(C102:N107)),SUMIF(C92:N92,G2,C109:N109))),4)</f>
        <v>0</v>
      </c>
      <c r="D23" s="2769"/>
      <c r="E23" s="2769"/>
      <c r="F23" s="2814"/>
      <c r="G23" s="2815"/>
      <c r="H23" s="2816"/>
      <c r="I23" s="2817"/>
      <c r="J23" s="2818"/>
      <c r="K23" s="1372"/>
      <c r="N23" s="2811" t="s">
        <v>2910</v>
      </c>
      <c r="O23" s="1561"/>
      <c r="P23" s="1562">
        <f>SUMPRODUCT((地价!A3:A30=YEAR(G19)&amp;"-"&amp;ROUNDUP(MONTH(G19)/3,0))*(地价!AD2:AH2=N23)*(地价!AD3:AH30))</f>
        <v>1.9699999999999999E-2</v>
      </c>
      <c r="R23" s="1378"/>
      <c r="S23" s="1378"/>
      <c r="T23" s="1373"/>
      <c r="U23" s="1373"/>
      <c r="V23" s="1373"/>
      <c r="W23" s="1372"/>
      <c r="X23" s="1372"/>
      <c r="Y23" s="1372"/>
      <c r="Z23" s="1379"/>
      <c r="AA23" s="1380"/>
      <c r="AB23" s="1380"/>
      <c r="AC23" s="1380"/>
      <c r="AD23" s="1380"/>
      <c r="AK23" s="2792"/>
    </row>
    <row r="24" spans="1:37" s="2734" customFormat="1" ht="15.75" thickBot="1">
      <c r="A24" s="2800" t="s">
        <v>812</v>
      </c>
      <c r="B24" s="2786" t="s">
        <v>2911</v>
      </c>
      <c r="C24" s="926">
        <f>SUMIF(A45:A88,E2,B45:B88)</f>
        <v>1.0577000000000001</v>
      </c>
      <c r="D24" s="2789"/>
      <c r="E24" s="2819"/>
      <c r="F24" s="2819"/>
      <c r="G24" s="2819"/>
      <c r="H24" s="2819"/>
      <c r="I24" s="2819"/>
      <c r="J24" s="2820"/>
      <c r="K24" s="1379"/>
      <c r="N24" s="2821" t="s">
        <v>2912</v>
      </c>
      <c r="O24" s="1563"/>
      <c r="P24" s="1564">
        <f>SUMPRODUCT((地价!A3:A30=YEAR(G19)&amp;"-"&amp;ROUNDUP(MONTH(G19)/3,0))*(地价!AD2:AH2=N24)*(地价!AD3:AH30))</f>
        <v>1.2999999999999999E-2</v>
      </c>
      <c r="R24" s="1378"/>
      <c r="S24" s="1378"/>
      <c r="T24" s="1373"/>
      <c r="U24" s="1373"/>
      <c r="V24" s="1373"/>
      <c r="W24" s="1372"/>
      <c r="X24" s="1372"/>
      <c r="Y24" s="1372"/>
      <c r="Z24" s="1379"/>
      <c r="AA24" s="1380"/>
      <c r="AB24" s="1380"/>
      <c r="AC24" s="1380"/>
      <c r="AD24" s="1380"/>
      <c r="AE24" s="1380"/>
      <c r="AF24" s="1380"/>
    </row>
    <row r="25" spans="1:37" ht="15.75" thickBot="1">
      <c r="A25" s="2800" t="s">
        <v>813</v>
      </c>
      <c r="B25" s="2822" t="s">
        <v>2913</v>
      </c>
      <c r="C25" s="932"/>
      <c r="D25" s="2744"/>
      <c r="E25" s="2744"/>
      <c r="F25" s="2823"/>
      <c r="G25" s="2744"/>
      <c r="H25" s="2744"/>
      <c r="I25" s="2744"/>
      <c r="J25" s="2745"/>
      <c r="K25" s="1372"/>
      <c r="N25" s="2824" t="s">
        <v>2914</v>
      </c>
      <c r="O25" s="1565"/>
      <c r="P25" s="1564">
        <f>SUMPRODUCT((地价!A3:A30=YEAR(G19)&amp;"-"&amp;ROUNDUP(MONTH(G19)/3,0))*(地价!AD2:AH2=N25)*(地价!AD3:AH30))</f>
        <v>1.8100000000000002E-2</v>
      </c>
      <c r="R25" s="1378"/>
      <c r="S25" s="1378"/>
      <c r="T25" s="1373"/>
      <c r="U25" s="1373"/>
      <c r="V25" s="1373"/>
      <c r="W25" s="1372"/>
      <c r="X25" s="1372"/>
      <c r="Y25" s="1372"/>
      <c r="Z25" s="1379"/>
      <c r="AA25" s="1380"/>
      <c r="AB25" s="1380"/>
      <c r="AC25" s="1380"/>
      <c r="AD25" s="1380"/>
    </row>
    <row r="26" spans="1:37" ht="15">
      <c r="A26" s="2825"/>
      <c r="B26" s="2812" t="s">
        <v>2915</v>
      </c>
      <c r="C26" s="206">
        <f ca="1">E29+SUM(E33:E39)</f>
        <v>7307</v>
      </c>
      <c r="D26" s="2826"/>
      <c r="E26" s="2769"/>
      <c r="F26" s="2827"/>
      <c r="G26" s="2769"/>
      <c r="H26" s="2769"/>
      <c r="I26" s="2769"/>
      <c r="J26" s="2828"/>
      <c r="K26" s="1372"/>
      <c r="R26" s="1378"/>
      <c r="S26" s="1378"/>
      <c r="T26" s="1373"/>
      <c r="U26" s="1373"/>
      <c r="V26" s="1373"/>
      <c r="W26" s="1372"/>
      <c r="X26" s="1372"/>
      <c r="Y26" s="1372"/>
      <c r="Z26" s="1379"/>
      <c r="AA26" s="1380"/>
      <c r="AB26" s="1380"/>
      <c r="AC26" s="1380"/>
      <c r="AD26" s="1380"/>
    </row>
    <row r="27" spans="1:37" ht="15.75" thickBot="1">
      <c r="A27" s="2825"/>
      <c r="B27" s="2829" t="s">
        <v>2916</v>
      </c>
      <c r="C27" s="933">
        <f ca="1">E30+SUM(I33:I39)</f>
        <v>0</v>
      </c>
      <c r="D27" s="2830"/>
      <c r="E27" s="2831"/>
      <c r="F27" s="2832"/>
      <c r="G27" s="2831"/>
      <c r="H27" s="2831"/>
      <c r="I27" s="2831"/>
      <c r="J27" s="283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4"/>
      <c r="B28" s="2835" t="s">
        <v>2917</v>
      </c>
      <c r="C28" s="2836" t="s">
        <v>2918</v>
      </c>
      <c r="D28" s="2836" t="s">
        <v>2919</v>
      </c>
      <c r="E28" s="2837" t="s">
        <v>2920</v>
      </c>
      <c r="F28" s="2838"/>
      <c r="G28" s="2757"/>
      <c r="H28" s="2757"/>
      <c r="I28" s="2757"/>
      <c r="J28" s="275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9"/>
      <c r="B29" s="2840" t="s">
        <v>2921</v>
      </c>
      <c r="C29" s="206">
        <f ca="1">ROUND(C5*C18*C19*C20*C21*C24,0)</f>
        <v>28921</v>
      </c>
      <c r="D29" s="2841">
        <f>'数据-基础表'!I5</f>
        <v>2526.41</v>
      </c>
      <c r="E29" s="944">
        <f ca="1">ROUND(C29*D29/10000,0)</f>
        <v>7307</v>
      </c>
      <c r="F29" s="2842" t="s">
        <v>2922</v>
      </c>
      <c r="G29" s="2843"/>
      <c r="H29" s="2843"/>
      <c r="I29" s="2843"/>
      <c r="J29" s="2844"/>
      <c r="K29" s="1372"/>
      <c r="L29" s="1372"/>
      <c r="M29" s="1372"/>
      <c r="N29" s="1372"/>
      <c r="O29" s="1377"/>
      <c r="P29" s="1377"/>
      <c r="Q29" s="1378"/>
      <c r="R29" s="1378"/>
      <c r="S29" s="1378"/>
      <c r="T29" s="1373"/>
      <c r="U29" s="1373"/>
      <c r="V29" s="1373"/>
      <c r="W29" s="1372"/>
      <c r="X29" s="1372"/>
      <c r="Y29" s="1372"/>
      <c r="Z29" s="1379"/>
      <c r="AA29" s="1380"/>
      <c r="AB29" s="1380"/>
      <c r="AC29" s="1380"/>
      <c r="AD29" s="1380"/>
      <c r="AE29" s="2784"/>
      <c r="AF29" s="2784"/>
      <c r="AG29" s="2716"/>
      <c r="AH29" s="2716"/>
      <c r="AI29" s="2716"/>
      <c r="AJ29" s="2716"/>
    </row>
    <row r="30" spans="1:37" ht="25.5" thickBot="1">
      <c r="A30" s="2845"/>
      <c r="B30" s="2846" t="s">
        <v>2923</v>
      </c>
      <c r="C30" s="229">
        <f ca="1">ROUND(IF(E2="工业",C29*M39,C29*M38),0)</f>
        <v>7230</v>
      </c>
      <c r="D30" s="2847"/>
      <c r="E30" s="944">
        <f ca="1">ROUND(C30*D30/10000,0)</f>
        <v>0</v>
      </c>
      <c r="F30" s="2848" t="s">
        <v>2924</v>
      </c>
      <c r="G30" s="2849"/>
      <c r="H30" s="2849"/>
      <c r="I30" s="2849"/>
      <c r="J30" s="2850"/>
      <c r="K30" s="1372"/>
      <c r="L30" s="1372"/>
      <c r="M30" s="1372"/>
      <c r="N30" s="1372"/>
      <c r="O30" s="1377"/>
      <c r="P30" s="1377"/>
      <c r="Q30" s="1378"/>
      <c r="R30" s="1378"/>
      <c r="S30" s="1378"/>
      <c r="T30" s="1373"/>
      <c r="U30" s="1373"/>
      <c r="V30" s="1373"/>
      <c r="W30" s="1372"/>
      <c r="X30" s="1372"/>
      <c r="Y30" s="1372"/>
      <c r="Z30" s="1379"/>
      <c r="AA30" s="1380"/>
      <c r="AB30" s="1380"/>
      <c r="AC30" s="1380"/>
      <c r="AD30" s="1380"/>
      <c r="AE30" s="2784"/>
      <c r="AF30" s="2784"/>
      <c r="AG30" s="2716"/>
      <c r="AH30" s="2716"/>
      <c r="AI30" s="2716"/>
      <c r="AJ30" s="2716"/>
    </row>
    <row r="31" spans="1:37" ht="14.25">
      <c r="A31" s="2851"/>
      <c r="B31" s="2852" t="s">
        <v>2925</v>
      </c>
      <c r="C31" s="2853" t="s">
        <v>2926</v>
      </c>
      <c r="D31" s="2757"/>
      <c r="E31" s="2853"/>
      <c r="F31" s="2853"/>
      <c r="G31" s="2755" t="s">
        <v>2927</v>
      </c>
      <c r="H31" s="2757"/>
      <c r="I31" s="2854"/>
      <c r="J31" s="2758"/>
      <c r="K31" s="1372"/>
      <c r="L31" s="1372"/>
      <c r="M31" s="1372"/>
      <c r="N31" s="1372"/>
      <c r="O31" s="1377"/>
      <c r="P31" s="1377"/>
      <c r="Q31" s="1378"/>
      <c r="R31" s="1378"/>
      <c r="S31" s="1378"/>
      <c r="T31" s="1373"/>
      <c r="U31" s="1373"/>
      <c r="V31" s="1373"/>
      <c r="W31" s="1372"/>
      <c r="X31" s="1372"/>
      <c r="Y31" s="1372"/>
      <c r="Z31" s="1379"/>
      <c r="AA31" s="1380"/>
      <c r="AB31" s="1380"/>
      <c r="AC31" s="1380"/>
      <c r="AD31" s="1380"/>
      <c r="AE31" s="2784"/>
      <c r="AF31" s="2784"/>
      <c r="AG31" s="2716"/>
      <c r="AH31" s="2716"/>
      <c r="AI31" s="2716"/>
      <c r="AJ31" s="2716"/>
    </row>
    <row r="32" spans="1:37" ht="24">
      <c r="A32" s="2839"/>
      <c r="B32" s="2855"/>
      <c r="C32" s="501" t="s">
        <v>2918</v>
      </c>
      <c r="D32" s="498" t="s">
        <v>2919</v>
      </c>
      <c r="E32" s="498" t="s">
        <v>2920</v>
      </c>
      <c r="F32" s="388" t="s">
        <v>2928</v>
      </c>
      <c r="G32" s="2856" t="s">
        <v>2918</v>
      </c>
      <c r="H32" s="2856" t="s">
        <v>2919</v>
      </c>
      <c r="I32" s="2856"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4"/>
      <c r="AF32" s="2784"/>
      <c r="AG32" s="2716"/>
      <c r="AH32" s="2716"/>
      <c r="AI32" s="2716"/>
      <c r="AJ32" s="2716"/>
    </row>
    <row r="33" spans="1:37" ht="36" customHeight="1">
      <c r="A33" s="3330" t="s">
        <v>2929</v>
      </c>
      <c r="B33" s="2857" t="s">
        <v>2930</v>
      </c>
      <c r="C33" s="206">
        <f ca="1">ROUND(D5*C19*C20*C24*F33,0)</f>
        <v>23214</v>
      </c>
      <c r="D33" s="2841"/>
      <c r="E33" s="200">
        <f ca="1">ROUND(C33*D33/10000,0)</f>
        <v>0</v>
      </c>
      <c r="F33" s="200">
        <f>SUMIF(修正!A45:A56,G2,修正!B45:B56)</f>
        <v>0.8</v>
      </c>
      <c r="G33" s="200">
        <f t="shared" ref="G33" ca="1" si="6">ROUND(IF(E2="工业",C33*$M$39,C33*$M$38),0)</f>
        <v>5804</v>
      </c>
      <c r="H33" s="200">
        <f>D33</f>
        <v>0</v>
      </c>
      <c r="I33" s="200">
        <f ca="1">ROUND(G33*H33/10000,0)</f>
        <v>0</v>
      </c>
      <c r="J33" s="285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1"/>
      <c r="B34" s="2761" t="s">
        <v>2931</v>
      </c>
      <c r="C34" s="206">
        <f ca="1">ROUND(D5*C19*C20*C24*F34,0)</f>
        <v>14509</v>
      </c>
      <c r="D34" s="2841"/>
      <c r="E34" s="200">
        <f t="shared" ref="E34:E39" ca="1" si="7">ROUND(C34*D34/10000,0)</f>
        <v>0</v>
      </c>
      <c r="F34" s="200">
        <f>SUMIF(修正!A45:A56,G2,修正!C45:C56)</f>
        <v>0.5</v>
      </c>
      <c r="G34" s="200">
        <f ca="1">ROUND(IF(E2="工业",C34*$M$39,C34*$M$38),0)</f>
        <v>3627</v>
      </c>
      <c r="H34" s="200">
        <f t="shared" ref="H34:H39" si="8">D34</f>
        <v>0</v>
      </c>
      <c r="I34" s="200">
        <f t="shared" ref="I34:I39" ca="1" si="9">ROUND(G34*H34/10000,0)</f>
        <v>0</v>
      </c>
      <c r="J34" s="285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1"/>
      <c r="B35" s="2761" t="s">
        <v>2932</v>
      </c>
      <c r="C35" s="206">
        <f ca="1">ROUND(D5*C19*C20*C24*F35,0)</f>
        <v>10446</v>
      </c>
      <c r="D35" s="2841"/>
      <c r="E35" s="200">
        <f t="shared" ca="1" si="7"/>
        <v>0</v>
      </c>
      <c r="F35" s="200">
        <f>SUMIF(修正!A45:A56,G2,修正!D45:D56)</f>
        <v>0.36</v>
      </c>
      <c r="G35" s="200">
        <f ca="1">ROUND(IF(E2="工业",C35*$M$39,C35*$M$38),0)</f>
        <v>2612</v>
      </c>
      <c r="H35" s="200">
        <f t="shared" si="8"/>
        <v>0</v>
      </c>
      <c r="I35" s="200">
        <f t="shared" ca="1" si="9"/>
        <v>0</v>
      </c>
      <c r="J35" s="2858"/>
      <c r="K35" s="1372"/>
      <c r="L35" s="1372"/>
      <c r="M35" s="1372"/>
      <c r="N35" s="1372"/>
      <c r="O35" s="1372"/>
      <c r="P35" s="1372"/>
      <c r="Q35" s="1372"/>
      <c r="R35" s="1372"/>
      <c r="S35" s="1372"/>
      <c r="T35" s="1372"/>
      <c r="U35" s="1372"/>
      <c r="V35" s="1372"/>
      <c r="W35" s="1372"/>
      <c r="X35" s="1372"/>
      <c r="Y35" s="1372"/>
      <c r="Z35" s="1373"/>
    </row>
    <row r="36" spans="1:37" ht="13.5" thickBot="1">
      <c r="A36" s="3332"/>
      <c r="B36" s="2761" t="s">
        <v>2933</v>
      </c>
      <c r="C36" s="206">
        <f ca="1">ROUND(D5*C19*C20*C24*F36,0)</f>
        <v>8705</v>
      </c>
      <c r="D36" s="2841"/>
      <c r="E36" s="200">
        <f t="shared" ca="1" si="7"/>
        <v>0</v>
      </c>
      <c r="F36" s="200">
        <f>SUMIF(修正!A45:A56,G2,修正!E45:E56)</f>
        <v>0.3</v>
      </c>
      <c r="G36" s="200">
        <f ca="1">ROUND(IF(E2="工业",C36*$M$39,C36*$M$38),0)</f>
        <v>2176</v>
      </c>
      <c r="H36" s="200">
        <f t="shared" si="8"/>
        <v>0</v>
      </c>
      <c r="I36" s="200">
        <f t="shared" ca="1" si="9"/>
        <v>0</v>
      </c>
      <c r="J36" s="2858"/>
      <c r="K36" s="1372"/>
      <c r="L36" s="2715"/>
      <c r="M36" s="2715"/>
      <c r="N36" s="1372"/>
      <c r="O36" s="1372"/>
      <c r="P36" s="1372"/>
      <c r="Q36" s="1372"/>
      <c r="R36" s="1372"/>
      <c r="S36" s="1372"/>
      <c r="T36" s="1372"/>
      <c r="U36" s="1372"/>
      <c r="V36" s="1372"/>
      <c r="W36" s="1372"/>
      <c r="X36" s="1372"/>
      <c r="Y36" s="1372"/>
      <c r="Z36" s="1373"/>
    </row>
    <row r="37" spans="1:37">
      <c r="A37" s="2859"/>
      <c r="B37" s="2761" t="s">
        <v>2934</v>
      </c>
      <c r="C37" s="200">
        <f ca="1">ROUND(D5*C19*C20*C24*F37,0)</f>
        <v>8705</v>
      </c>
      <c r="D37" s="2841"/>
      <c r="E37" s="200">
        <f t="shared" ca="1" si="7"/>
        <v>0</v>
      </c>
      <c r="F37" s="206">
        <f>SUMIF(修正!A45:A56,G2,修正!F45:F56)</f>
        <v>0.3</v>
      </c>
      <c r="G37" s="200">
        <f ca="1">ROUND(IF(E2="工业",C37*$M$39,C37*$M$38),0)</f>
        <v>2176</v>
      </c>
      <c r="H37" s="200">
        <f t="shared" si="8"/>
        <v>0</v>
      </c>
      <c r="I37" s="200">
        <f t="shared" ca="1" si="9"/>
        <v>0</v>
      </c>
      <c r="J37" s="2858"/>
      <c r="K37" s="1372"/>
      <c r="L37" s="2860" t="s">
        <v>2935</v>
      </c>
      <c r="M37" s="2861"/>
      <c r="N37" s="1372"/>
      <c r="O37" s="1372"/>
      <c r="P37" s="1372"/>
      <c r="Q37" s="1372"/>
      <c r="R37" s="1372"/>
      <c r="S37" s="1372"/>
      <c r="T37" s="1372"/>
      <c r="U37" s="1372"/>
      <c r="V37" s="1372"/>
      <c r="W37" s="1372"/>
      <c r="X37" s="1372"/>
      <c r="Y37" s="1372"/>
      <c r="Z37" s="1373"/>
    </row>
    <row r="38" spans="1:37">
      <c r="A38" s="2859"/>
      <c r="B38" s="2761" t="s">
        <v>2936</v>
      </c>
      <c r="C38" s="200">
        <f ca="1">ROUND(D5*C19*C41*C24*F38,0)</f>
        <v>0</v>
      </c>
      <c r="D38" s="2841"/>
      <c r="E38" s="200">
        <f t="shared" ca="1" si="7"/>
        <v>0</v>
      </c>
      <c r="F38" s="206">
        <f>SUMIF(修正!A45:A56,G2,修正!G45:G56)</f>
        <v>0.3</v>
      </c>
      <c r="G38" s="200">
        <f ca="1">ROUND(IF(E2="工业",C38*$M$39,C38*$M$38),0)</f>
        <v>0</v>
      </c>
      <c r="H38" s="200">
        <f t="shared" si="8"/>
        <v>0</v>
      </c>
      <c r="I38" s="200">
        <f t="shared" ca="1" si="9"/>
        <v>0</v>
      </c>
      <c r="J38" s="2858"/>
      <c r="K38" s="1372"/>
      <c r="L38" s="1881" t="s">
        <v>2937</v>
      </c>
      <c r="M38" s="2862">
        <v>0.25</v>
      </c>
      <c r="N38" s="1372"/>
      <c r="O38" s="1372"/>
      <c r="P38" s="1372"/>
      <c r="Q38" s="1372"/>
      <c r="R38" s="1372"/>
      <c r="S38" s="1372"/>
      <c r="T38" s="1372"/>
      <c r="U38" s="1372"/>
      <c r="V38" s="1372"/>
      <c r="W38" s="1372"/>
      <c r="X38" s="1372"/>
      <c r="Y38" s="1372"/>
      <c r="Z38" s="1373"/>
    </row>
    <row r="39" spans="1:37" ht="13.5" thickBot="1">
      <c r="A39" s="2845"/>
      <c r="B39" s="2863" t="s">
        <v>2938</v>
      </c>
      <c r="C39" s="229">
        <f ca="1">ROUND(D5*C19*C41*C24*F39,0)</f>
        <v>0</v>
      </c>
      <c r="D39" s="2847"/>
      <c r="E39" s="229">
        <f t="shared" ca="1" si="7"/>
        <v>0</v>
      </c>
      <c r="F39" s="934">
        <f>SUMIF(修正!A45:A56,G2,修正!H45:H56)</f>
        <v>0.25</v>
      </c>
      <c r="G39" s="229">
        <f ca="1">ROUND(IF(E2="工业",C39*$M$39,C39*$M$38),0)</f>
        <v>0</v>
      </c>
      <c r="H39" s="229">
        <f t="shared" si="8"/>
        <v>0</v>
      </c>
      <c r="I39" s="229">
        <f t="shared" ca="1" si="9"/>
        <v>0</v>
      </c>
      <c r="J39" s="2864"/>
      <c r="K39" s="1372"/>
      <c r="L39" s="2865" t="s">
        <v>2880</v>
      </c>
      <c r="M39" s="286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2" t="s">
        <v>3047</v>
      </c>
      <c r="C41" s="388">
        <f ca="1">ROUND(POWER(1+E41,H41-G41)*(POWER(1+E41,G41)-1)/(POWER(1+E41,H41)-1),4)</f>
        <v>0</v>
      </c>
      <c r="D41" s="200" t="s">
        <v>2888</v>
      </c>
      <c r="E41" s="2931">
        <f ca="1">G20</f>
        <v>5.3999999999999999E-2</v>
      </c>
      <c r="F41" s="200" t="s">
        <v>2898</v>
      </c>
      <c r="G41" s="218"/>
      <c r="H41" s="200">
        <v>50</v>
      </c>
      <c r="Z41" s="1373"/>
      <c r="AA41" s="1373"/>
      <c r="AB41" s="1373"/>
      <c r="AC41" s="1373"/>
      <c r="AD41" s="1373"/>
      <c r="AE41" s="1373"/>
      <c r="AF41" s="1373"/>
      <c r="AG41" s="1373"/>
      <c r="AH41" s="1373"/>
      <c r="AI41" s="1373"/>
      <c r="AJ41" s="1373"/>
    </row>
    <row r="42" spans="1:37" s="1372" customFormat="1">
      <c r="A42" s="1373"/>
      <c r="B42" s="2867"/>
      <c r="Z42" s="1373"/>
      <c r="AA42" s="1373"/>
      <c r="AB42" s="1373"/>
      <c r="AC42" s="1373"/>
      <c r="AD42" s="1373"/>
      <c r="AE42" s="1373"/>
      <c r="AF42" s="1373"/>
      <c r="AG42" s="1373"/>
      <c r="AH42" s="1373"/>
      <c r="AI42" s="1373"/>
      <c r="AJ42" s="1373"/>
    </row>
    <row r="43" spans="1:37" s="1372" customFormat="1">
      <c r="A43" s="1373"/>
      <c r="B43" s="2867"/>
      <c r="Z43" s="1373"/>
      <c r="AA43" s="1373"/>
      <c r="AB43" s="1373"/>
      <c r="AC43" s="1373"/>
      <c r="AD43" s="1373"/>
      <c r="AE43" s="1373"/>
      <c r="AF43" s="1373"/>
      <c r="AG43" s="1373"/>
      <c r="AH43" s="1373"/>
      <c r="AI43" s="1373"/>
      <c r="AJ43" s="1373"/>
    </row>
    <row r="44" spans="1:37" s="1372" customFormat="1">
      <c r="A44" s="1373"/>
      <c r="B44" s="2867"/>
      <c r="Z44" s="1373"/>
      <c r="AA44" s="1373"/>
      <c r="AB44" s="1373"/>
      <c r="AC44" s="1373"/>
      <c r="AD44" s="1373"/>
      <c r="AE44" s="1373"/>
      <c r="AF44" s="1373"/>
      <c r="AG44" s="1373"/>
      <c r="AH44" s="1373"/>
      <c r="AI44" s="1373"/>
      <c r="AJ44" s="1373"/>
    </row>
    <row r="45" spans="1:37" s="1372" customFormat="1" ht="15.75" thickBot="1">
      <c r="A45" s="2868" t="s">
        <v>2939</v>
      </c>
      <c r="B45" s="2869"/>
      <c r="C45" s="7"/>
      <c r="D45" s="7"/>
      <c r="E45" s="7"/>
      <c r="F45" s="6"/>
      <c r="G45" s="6"/>
      <c r="H45" s="6"/>
      <c r="I45" s="7"/>
      <c r="J45" s="7"/>
      <c r="K45" s="7"/>
      <c r="L45" s="7"/>
      <c r="M45" s="7"/>
      <c r="N45" s="2784"/>
      <c r="Z45" s="1373"/>
      <c r="AA45" s="1373"/>
      <c r="AB45" s="1373"/>
      <c r="AC45" s="1373"/>
      <c r="AD45" s="1373"/>
      <c r="AE45" s="1373"/>
      <c r="AF45" s="1373"/>
      <c r="AG45" s="1373"/>
      <c r="AH45" s="1373"/>
      <c r="AI45" s="1373"/>
      <c r="AJ45" s="1373"/>
    </row>
    <row r="46" spans="1:37" s="1372" customFormat="1" ht="15">
      <c r="A46" s="2870" t="s">
        <v>2940</v>
      </c>
      <c r="B46" s="2871">
        <f>1+E48</f>
        <v>1.0577000000000001</v>
      </c>
      <c r="C46" s="2872"/>
      <c r="D46" s="813"/>
      <c r="E46" s="814"/>
      <c r="F46" s="2873"/>
      <c r="G46" s="6"/>
      <c r="H46" s="7"/>
      <c r="I46" s="7"/>
      <c r="J46" s="7"/>
      <c r="K46" s="7"/>
      <c r="L46" s="7"/>
      <c r="M46" s="7"/>
      <c r="N46" s="2784"/>
      <c r="Z46" s="1373"/>
      <c r="AA46" s="1373"/>
      <c r="AB46" s="1373"/>
      <c r="AC46" s="1373"/>
      <c r="AD46" s="1373"/>
      <c r="AE46" s="1373"/>
      <c r="AF46" s="1373"/>
      <c r="AG46" s="1373"/>
      <c r="AH46" s="1373"/>
      <c r="AI46" s="1373"/>
      <c r="AJ46" s="1373"/>
    </row>
    <row r="47" spans="1:37" s="1372" customFormat="1" ht="24.75">
      <c r="A47" s="2874" t="s">
        <v>2941</v>
      </c>
      <c r="B47" s="1803" t="s">
        <v>2942</v>
      </c>
      <c r="C47" s="1803" t="s">
        <v>2943</v>
      </c>
      <c r="D47" s="1803" t="s">
        <v>2944</v>
      </c>
      <c r="E47" s="818" t="s">
        <v>2945</v>
      </c>
      <c r="F47" s="2875" t="s">
        <v>2946</v>
      </c>
      <c r="G47" s="1803" t="s">
        <v>754</v>
      </c>
      <c r="H47" s="2876" t="s">
        <v>2947</v>
      </c>
      <c r="I47" s="1803"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4" t="s">
        <v>2949</v>
      </c>
      <c r="B48" s="2877" t="str">
        <f>估价对象房地状况!C4</f>
        <v>估价对象位于东直门商圈，周边商业氛围成熟，人流量大，商业繁华度好</v>
      </c>
      <c r="C48" s="2766" t="s">
        <v>3326</v>
      </c>
      <c r="D48" s="1288">
        <f t="shared" ref="D48:D56" si="10">SUMIF($J$47:$N$47,C48,J48:N48)</f>
        <v>1.6299999999999999E-2</v>
      </c>
      <c r="E48" s="820">
        <f>ROUND(SUM(D48:D56),4)</f>
        <v>5.7700000000000001E-2</v>
      </c>
      <c r="F48" s="2497">
        <f>IF(E2="商业",SUMIF(L1:L12,G2,N1:N12),"——")</f>
        <v>9.9000000000000005E-2</v>
      </c>
      <c r="G48" s="3001">
        <v>1.6299999999999999E-2</v>
      </c>
      <c r="H48" s="1290">
        <f t="shared" ref="H48:H56" si="11">IFERROR(ROUNDDOWN($F$48*I48/2,4),"——")</f>
        <v>1.6299999999999999E-2</v>
      </c>
      <c r="I48" s="819">
        <v>0.33</v>
      </c>
      <c r="J48" s="1287">
        <f t="shared" ref="J48:J56" si="12">K48+$G48</f>
        <v>3.2599999999999997E-2</v>
      </c>
      <c r="K48" s="1287">
        <f t="shared" ref="K48:K56" si="13">$L48+$G48</f>
        <v>1.6299999999999999E-2</v>
      </c>
      <c r="L48" s="1287">
        <v>0</v>
      </c>
      <c r="M48" s="1287">
        <f t="shared" ref="M48:N56" si="14">L48-$G48</f>
        <v>-1.6299999999999999E-2</v>
      </c>
      <c r="N48" s="1287">
        <f t="shared" si="14"/>
        <v>-3.2599999999999997E-2</v>
      </c>
      <c r="AA48" s="1373"/>
      <c r="AB48" s="1373"/>
      <c r="AC48" s="1373"/>
      <c r="AD48" s="1373"/>
      <c r="AE48" s="1373"/>
      <c r="AF48" s="1373"/>
      <c r="AG48" s="1373"/>
      <c r="AH48" s="1373"/>
      <c r="AI48" s="1373"/>
      <c r="AJ48" s="1373"/>
      <c r="AK48" s="1373"/>
    </row>
    <row r="49" spans="1:37" s="1372" customFormat="1" ht="102">
      <c r="A49" s="2874" t="s">
        <v>2950</v>
      </c>
      <c r="B49" s="2878" t="str">
        <f>估价对象房地状况!C18</f>
        <v>估价对象周边2公里范围内有18路、123路、413路、635路、916路等公交线路，南距地铁二号线东直门站及东直门交通枢纽约1公里，公交便捷度较好、停车便捷程度较好，综合评价交通便捷度较好</v>
      </c>
      <c r="C49" s="2766" t="s">
        <v>3326</v>
      </c>
      <c r="D49" s="1288">
        <f t="shared" si="10"/>
        <v>1.23E-2</v>
      </c>
      <c r="E49" s="821"/>
      <c r="F49" s="2497"/>
      <c r="G49" s="3001">
        <v>1.23E-2</v>
      </c>
      <c r="H49" s="1290">
        <f t="shared" si="11"/>
        <v>1.23E-2</v>
      </c>
      <c r="I49" s="819">
        <v>0.25</v>
      </c>
      <c r="J49" s="1287">
        <f t="shared" si="12"/>
        <v>2.46E-2</v>
      </c>
      <c r="K49" s="1287">
        <f t="shared" si="13"/>
        <v>1.23E-2</v>
      </c>
      <c r="L49" s="1287">
        <v>0</v>
      </c>
      <c r="M49" s="1287">
        <f t="shared" si="14"/>
        <v>-1.23E-2</v>
      </c>
      <c r="N49" s="1287">
        <f t="shared" si="14"/>
        <v>-2.46E-2</v>
      </c>
      <c r="AA49" s="1373"/>
      <c r="AB49" s="1373"/>
      <c r="AC49" s="1373"/>
      <c r="AD49" s="1373"/>
      <c r="AE49" s="1373"/>
      <c r="AF49" s="1373"/>
      <c r="AG49" s="1373"/>
      <c r="AH49" s="1373"/>
      <c r="AI49" s="1373"/>
      <c r="AJ49" s="1373"/>
      <c r="AK49" s="1373"/>
    </row>
    <row r="50" spans="1:37" s="1372" customFormat="1" ht="24">
      <c r="A50" s="2874" t="s">
        <v>2951</v>
      </c>
      <c r="B50" s="2878">
        <f>估价对象房地状况!C19</f>
        <v>0</v>
      </c>
      <c r="C50" s="2766" t="s">
        <v>3326</v>
      </c>
      <c r="D50" s="1288">
        <f t="shared" si="10"/>
        <v>2.3999999999999998E-3</v>
      </c>
      <c r="E50" s="821"/>
      <c r="F50" s="2497"/>
      <c r="G50" s="3001">
        <v>2.3999999999999998E-3</v>
      </c>
      <c r="H50" s="1290">
        <f t="shared" si="11"/>
        <v>2.3999999999999998E-3</v>
      </c>
      <c r="I50" s="819">
        <v>0.05</v>
      </c>
      <c r="J50" s="1287">
        <f t="shared" si="12"/>
        <v>4.7999999999999996E-3</v>
      </c>
      <c r="K50" s="1287">
        <f t="shared" si="13"/>
        <v>2.3999999999999998E-3</v>
      </c>
      <c r="L50" s="1287">
        <v>0</v>
      </c>
      <c r="M50" s="1287">
        <f t="shared" si="14"/>
        <v>-2.3999999999999998E-3</v>
      </c>
      <c r="N50" s="1287">
        <f t="shared" si="14"/>
        <v>-4.7999999999999996E-3</v>
      </c>
      <c r="AA50" s="1373"/>
      <c r="AB50" s="1373"/>
      <c r="AC50" s="1373"/>
      <c r="AD50" s="1373"/>
      <c r="AE50" s="1373"/>
      <c r="AF50" s="1373"/>
      <c r="AG50" s="1373"/>
      <c r="AH50" s="1373"/>
      <c r="AI50" s="1373"/>
      <c r="AJ50" s="1373"/>
      <c r="AK50" s="1373"/>
    </row>
    <row r="51" spans="1:37" s="1372" customFormat="1" ht="36.75">
      <c r="A51" s="2874" t="s">
        <v>2952</v>
      </c>
      <c r="B51" s="2879" t="s">
        <v>2953</v>
      </c>
      <c r="C51" s="2766" t="s">
        <v>3326</v>
      </c>
      <c r="D51" s="1288">
        <f t="shared" si="10"/>
        <v>2.3999999999999998E-3</v>
      </c>
      <c r="E51" s="821"/>
      <c r="F51" s="2497"/>
      <c r="G51" s="3001">
        <v>2.3999999999999998E-3</v>
      </c>
      <c r="H51" s="1290">
        <f t="shared" si="11"/>
        <v>2.3999999999999998E-3</v>
      </c>
      <c r="I51" s="819">
        <v>0.05</v>
      </c>
      <c r="J51" s="1287">
        <f t="shared" si="12"/>
        <v>4.7999999999999996E-3</v>
      </c>
      <c r="K51" s="1287">
        <f t="shared" si="13"/>
        <v>2.3999999999999998E-3</v>
      </c>
      <c r="L51" s="1287">
        <v>0</v>
      </c>
      <c r="M51" s="1287">
        <f t="shared" si="14"/>
        <v>-2.3999999999999998E-3</v>
      </c>
      <c r="N51" s="1287">
        <f t="shared" si="14"/>
        <v>-4.7999999999999996E-3</v>
      </c>
      <c r="AA51" s="1373"/>
      <c r="AB51" s="1373"/>
      <c r="AC51" s="1373"/>
      <c r="AD51" s="1373"/>
      <c r="AE51" s="1373"/>
      <c r="AF51" s="1373"/>
      <c r="AG51" s="1373"/>
      <c r="AH51" s="1373"/>
      <c r="AI51" s="1373"/>
      <c r="AJ51" s="1373"/>
      <c r="AK51" s="1373"/>
    </row>
    <row r="52" spans="1:37" s="1372" customFormat="1" ht="24">
      <c r="A52" s="2874" t="s">
        <v>2954</v>
      </c>
      <c r="B52" s="2878" t="str">
        <f>估价对象房地状况!C24</f>
        <v>高速路-机场高速</v>
      </c>
      <c r="C52" s="2766" t="s">
        <v>3327</v>
      </c>
      <c r="D52" s="1288">
        <f t="shared" si="10"/>
        <v>7.7999999999999996E-3</v>
      </c>
      <c r="E52" s="821"/>
      <c r="F52" s="2497"/>
      <c r="G52" s="3001">
        <v>3.8999999999999998E-3</v>
      </c>
      <c r="H52" s="1290">
        <f t="shared" si="11"/>
        <v>3.8999999999999998E-3</v>
      </c>
      <c r="I52" s="819">
        <v>0.08</v>
      </c>
      <c r="J52" s="1287">
        <f t="shared" si="12"/>
        <v>7.7999999999999996E-3</v>
      </c>
      <c r="K52" s="1287">
        <f t="shared" si="13"/>
        <v>3.8999999999999998E-3</v>
      </c>
      <c r="L52" s="1287">
        <v>0</v>
      </c>
      <c r="M52" s="1287">
        <f t="shared" si="14"/>
        <v>-3.8999999999999998E-3</v>
      </c>
      <c r="N52" s="1287">
        <f t="shared" si="14"/>
        <v>-7.7999999999999996E-3</v>
      </c>
      <c r="AA52" s="1373"/>
      <c r="AB52" s="1373"/>
      <c r="AC52" s="1373"/>
      <c r="AD52" s="1373"/>
      <c r="AE52" s="1373"/>
      <c r="AF52" s="1373"/>
      <c r="AG52" s="1373"/>
      <c r="AH52" s="1373"/>
      <c r="AI52" s="1373"/>
      <c r="AJ52" s="1373"/>
      <c r="AK52" s="1373"/>
    </row>
    <row r="53" spans="1:37" s="1372" customFormat="1" ht="24">
      <c r="A53" s="2874" t="s">
        <v>2955</v>
      </c>
      <c r="B53" s="2880" t="s">
        <v>2956</v>
      </c>
      <c r="C53" s="2766" t="s">
        <v>3326</v>
      </c>
      <c r="D53" s="1288">
        <f t="shared" si="10"/>
        <v>1.4E-3</v>
      </c>
      <c r="E53" s="821"/>
      <c r="F53" s="2497"/>
      <c r="G53" s="3001">
        <v>1.4E-3</v>
      </c>
      <c r="H53" s="1290">
        <f t="shared" si="11"/>
        <v>1.4E-3</v>
      </c>
      <c r="I53" s="819">
        <v>0.03</v>
      </c>
      <c r="J53" s="1287">
        <f t="shared" si="12"/>
        <v>2.8E-3</v>
      </c>
      <c r="K53" s="1287">
        <f t="shared" si="13"/>
        <v>1.4E-3</v>
      </c>
      <c r="L53" s="1287">
        <v>0</v>
      </c>
      <c r="M53" s="1287">
        <f t="shared" si="14"/>
        <v>-1.4E-3</v>
      </c>
      <c r="N53" s="1287">
        <f t="shared" si="14"/>
        <v>-2.8E-3</v>
      </c>
      <c r="AA53" s="1373"/>
      <c r="AB53" s="1373"/>
      <c r="AC53" s="1373"/>
      <c r="AD53" s="1373"/>
      <c r="AE53" s="1373"/>
      <c r="AF53" s="1373"/>
      <c r="AG53" s="1373"/>
      <c r="AH53" s="1373"/>
      <c r="AI53" s="1373"/>
      <c r="AJ53" s="1373"/>
      <c r="AK53" s="1373"/>
    </row>
    <row r="54" spans="1:37" s="1372" customFormat="1" ht="127.5">
      <c r="A54" s="2881" t="s">
        <v>2957</v>
      </c>
      <c r="B54" s="1725"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C54" s="2766" t="s">
        <v>3326</v>
      </c>
      <c r="D54" s="1288">
        <f t="shared" si="10"/>
        <v>2.3999999999999998E-3</v>
      </c>
      <c r="E54" s="821"/>
      <c r="F54" s="2497"/>
      <c r="G54" s="3001">
        <v>2.3999999999999998E-3</v>
      </c>
      <c r="H54" s="1290">
        <f t="shared" si="11"/>
        <v>2.3999999999999998E-3</v>
      </c>
      <c r="I54" s="819">
        <v>0.05</v>
      </c>
      <c r="J54" s="1287">
        <f t="shared" si="12"/>
        <v>4.7999999999999996E-3</v>
      </c>
      <c r="K54" s="1287">
        <f t="shared" si="13"/>
        <v>2.3999999999999998E-3</v>
      </c>
      <c r="L54" s="1287">
        <v>0</v>
      </c>
      <c r="M54" s="1287">
        <f t="shared" si="14"/>
        <v>-2.3999999999999998E-3</v>
      </c>
      <c r="N54" s="1287">
        <f t="shared" si="14"/>
        <v>-4.7999999999999996E-3</v>
      </c>
      <c r="AA54" s="1373"/>
      <c r="AB54" s="1373"/>
      <c r="AC54" s="1373"/>
      <c r="AD54" s="1373"/>
      <c r="AE54" s="1373"/>
      <c r="AF54" s="1373"/>
      <c r="AG54" s="1373"/>
      <c r="AH54" s="1373"/>
      <c r="AI54" s="1373"/>
      <c r="AJ54" s="1373"/>
      <c r="AK54" s="1373"/>
    </row>
    <row r="55" spans="1:37" s="1372" customFormat="1" ht="25.5">
      <c r="A55" s="2881" t="s">
        <v>2958</v>
      </c>
      <c r="B55" s="2878" t="str">
        <f>估价对象房地状况!C22</f>
        <v>估价对象所在区域基础设施水平好（七通）</v>
      </c>
      <c r="C55" s="2766" t="s">
        <v>3327</v>
      </c>
      <c r="D55" s="1288">
        <f t="shared" si="10"/>
        <v>9.7999999999999997E-3</v>
      </c>
      <c r="E55" s="821"/>
      <c r="F55" s="2497"/>
      <c r="G55" s="3001">
        <v>4.8999999999999998E-3</v>
      </c>
      <c r="H55" s="1290">
        <f t="shared" si="11"/>
        <v>4.8999999999999998E-3</v>
      </c>
      <c r="I55" s="819">
        <v>0.1</v>
      </c>
      <c r="J55" s="1287">
        <f t="shared" si="12"/>
        <v>9.7999999999999997E-3</v>
      </c>
      <c r="K55" s="1287">
        <f t="shared" si="13"/>
        <v>4.8999999999999998E-3</v>
      </c>
      <c r="L55" s="1287">
        <v>0</v>
      </c>
      <c r="M55" s="1287">
        <f t="shared" si="14"/>
        <v>-4.8999999999999998E-3</v>
      </c>
      <c r="N55" s="1287">
        <f t="shared" si="14"/>
        <v>-9.7999999999999997E-3</v>
      </c>
      <c r="AA55" s="1373"/>
      <c r="AB55" s="1373"/>
      <c r="AC55" s="1373"/>
      <c r="AD55" s="1373"/>
      <c r="AE55" s="1373"/>
      <c r="AF55" s="1373"/>
      <c r="AG55" s="1373"/>
      <c r="AH55" s="1373"/>
      <c r="AI55" s="1373"/>
      <c r="AJ55" s="1373"/>
      <c r="AK55" s="1373"/>
    </row>
    <row r="56" spans="1:37" s="1372" customFormat="1" ht="64.5" thickBot="1">
      <c r="A56" s="2882" t="s">
        <v>2959</v>
      </c>
      <c r="B56" s="2883" t="str">
        <f>估价对象房地状况!C20</f>
        <v>区域自然环境：芳沁园、南馆公园；人文环境：北京电大朝阳分校等教育机构；综合评价环境状况较好</v>
      </c>
      <c r="C56" s="2766" t="s">
        <v>3326</v>
      </c>
      <c r="D56" s="1288">
        <f t="shared" si="10"/>
        <v>2.8999999999999998E-3</v>
      </c>
      <c r="E56" s="824"/>
      <c r="F56" s="2497"/>
      <c r="G56" s="3001">
        <v>2.8999999999999998E-3</v>
      </c>
      <c r="H56" s="1290">
        <f t="shared" si="11"/>
        <v>2.8999999999999998E-3</v>
      </c>
      <c r="I56" s="823">
        <v>0.06</v>
      </c>
      <c r="J56" s="1287">
        <f t="shared" si="12"/>
        <v>5.7999999999999996E-3</v>
      </c>
      <c r="K56" s="1287">
        <f t="shared" si="13"/>
        <v>2.8999999999999998E-3</v>
      </c>
      <c r="L56" s="1287">
        <v>0</v>
      </c>
      <c r="M56" s="1287">
        <f t="shared" si="14"/>
        <v>-2.8999999999999998E-3</v>
      </c>
      <c r="N56" s="1287">
        <f t="shared" si="14"/>
        <v>-5.7999999999999996E-3</v>
      </c>
      <c r="AA56" s="1373"/>
      <c r="AB56" s="1373"/>
      <c r="AC56" s="1373"/>
      <c r="AD56" s="1373"/>
      <c r="AE56" s="1373"/>
      <c r="AF56" s="1373"/>
      <c r="AG56" s="1373"/>
      <c r="AH56" s="1373"/>
      <c r="AI56" s="1373"/>
      <c r="AJ56" s="1373"/>
      <c r="AK56" s="1373"/>
    </row>
    <row r="57" spans="1:37" s="1372" customFormat="1" ht="15">
      <c r="A57" s="2870" t="s">
        <v>2960</v>
      </c>
      <c r="B57" s="2871">
        <f>1+E59</f>
        <v>1</v>
      </c>
      <c r="C57" s="813"/>
      <c r="D57" s="813"/>
      <c r="E57" s="814"/>
      <c r="F57" s="287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4" t="s">
        <v>2941</v>
      </c>
      <c r="B58" s="1803"/>
      <c r="C58" s="1803" t="s">
        <v>2943</v>
      </c>
      <c r="D58" s="1803" t="s">
        <v>2944</v>
      </c>
      <c r="E58" s="818" t="s">
        <v>2945</v>
      </c>
      <c r="F58" s="2875" t="s">
        <v>2961</v>
      </c>
      <c r="G58" s="1803" t="s">
        <v>754</v>
      </c>
      <c r="H58" s="2876" t="s">
        <v>2947</v>
      </c>
      <c r="I58" s="1803"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4" t="s">
        <v>2962</v>
      </c>
      <c r="B59" s="2877" t="str">
        <f>估价对象房地状况!C17</f>
        <v>估价对象位于XX商圈，周边办公楼项目较多，入驻率高，办公集聚程度较好</v>
      </c>
      <c r="C59" s="2766"/>
      <c r="D59" s="1288">
        <f t="shared" ref="D59:D67" si="15">SUMIF($J$58:$N$58,C59,J59:N59)</f>
        <v>0</v>
      </c>
      <c r="E59" s="820">
        <f>ROUND(SUM(D59:D67),4)</f>
        <v>0</v>
      </c>
      <c r="F59" s="249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02">
      <c r="A60" s="2874" t="s">
        <v>2950</v>
      </c>
      <c r="B60" s="2878" t="str">
        <f>估价对象房地状况!C18</f>
        <v>估价对象周边2公里范围内有18路、123路、413路、635路、916路等公交线路，南距地铁二号线东直门站及东直门交通枢纽约1公里，公交便捷度较好、停车便捷程度较好，综合评价交通便捷度较好</v>
      </c>
      <c r="C60" s="2766"/>
      <c r="D60" s="1288">
        <f t="shared" si="15"/>
        <v>0</v>
      </c>
      <c r="E60" s="821"/>
      <c r="F60" s="249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4" t="s">
        <v>2951</v>
      </c>
      <c r="B61" s="2878">
        <f>估价对象房地状况!C19</f>
        <v>0</v>
      </c>
      <c r="C61" s="2766"/>
      <c r="D61" s="1288">
        <f t="shared" si="15"/>
        <v>0</v>
      </c>
      <c r="E61" s="821"/>
      <c r="F61" s="249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4" t="s">
        <v>2952</v>
      </c>
      <c r="B62" s="2879" t="s">
        <v>2953</v>
      </c>
      <c r="C62" s="2766"/>
      <c r="D62" s="1288">
        <f t="shared" si="15"/>
        <v>0</v>
      </c>
      <c r="E62" s="821"/>
      <c r="F62" s="249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4" t="s">
        <v>2954</v>
      </c>
      <c r="B63" s="2878" t="str">
        <f>估价对象房地状况!C24</f>
        <v>高速路-机场高速</v>
      </c>
      <c r="C63" s="2766"/>
      <c r="D63" s="1288">
        <f t="shared" si="15"/>
        <v>0</v>
      </c>
      <c r="E63" s="821"/>
      <c r="F63" s="249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4" t="s">
        <v>2955</v>
      </c>
      <c r="B64" s="2880" t="s">
        <v>2956</v>
      </c>
      <c r="C64" s="2766"/>
      <c r="D64" s="1288">
        <f t="shared" si="15"/>
        <v>0</v>
      </c>
      <c r="E64" s="821"/>
      <c r="F64" s="249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127.5">
      <c r="A65" s="2874" t="s">
        <v>2957</v>
      </c>
      <c r="B65" s="1725"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C65" s="2766"/>
      <c r="D65" s="1288">
        <f t="shared" si="15"/>
        <v>0</v>
      </c>
      <c r="E65" s="821"/>
      <c r="F65" s="249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4" t="s">
        <v>2958</v>
      </c>
      <c r="B66" s="1725" t="str">
        <f>估价对象房地状况!C22</f>
        <v>估价对象所在区域基础设施水平好（七通）</v>
      </c>
      <c r="C66" s="2766"/>
      <c r="D66" s="1288">
        <f t="shared" si="15"/>
        <v>0</v>
      </c>
      <c r="E66" s="821"/>
      <c r="F66" s="249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2" t="s">
        <v>2959</v>
      </c>
      <c r="B67" s="2884" t="str">
        <f>估价对象房地状况!C20</f>
        <v>区域自然环境：芳沁园、南馆公园；人文环境：北京电大朝阳分校等教育机构；综合评价环境状况较好</v>
      </c>
      <c r="C67" s="2766"/>
      <c r="D67" s="1288">
        <f t="shared" si="15"/>
        <v>0</v>
      </c>
      <c r="E67" s="824"/>
      <c r="F67" s="249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0" t="s">
        <v>2963</v>
      </c>
      <c r="B68" s="2871">
        <f>1+E70</f>
        <v>1</v>
      </c>
      <c r="C68" s="813"/>
      <c r="D68" s="813"/>
      <c r="E68" s="814"/>
      <c r="F68" s="287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4" t="s">
        <v>2941</v>
      </c>
      <c r="B69" s="1803"/>
      <c r="C69" s="1803" t="s">
        <v>2943</v>
      </c>
      <c r="D69" s="1803" t="s">
        <v>2944</v>
      </c>
      <c r="E69" s="818" t="s">
        <v>2945</v>
      </c>
      <c r="F69" s="2875" t="s">
        <v>2961</v>
      </c>
      <c r="G69" s="1803" t="s">
        <v>754</v>
      </c>
      <c r="H69" s="2876" t="s">
        <v>2947</v>
      </c>
      <c r="I69" s="1803"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4" t="s">
        <v>2964</v>
      </c>
      <c r="B70" s="2877" t="str">
        <f>估价对象房地状况!C15</f>
        <v>估价对象周边居住用地比例、居住小区规模和社区发展完善程度，综合评价居住社区成熟度一般</v>
      </c>
      <c r="C70" s="2766"/>
      <c r="D70" s="1288">
        <f t="shared" ref="D70:D78" si="20">SUMIF($J$69:$N$69,C70,J70:N70)</f>
        <v>0</v>
      </c>
      <c r="E70" s="820">
        <f>ROUND(SUM(D70:D78),4)</f>
        <v>0</v>
      </c>
      <c r="F70" s="249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02">
      <c r="A71" s="2874" t="s">
        <v>2950</v>
      </c>
      <c r="B71" s="2878" t="str">
        <f>估价对象房地状况!C18</f>
        <v>估价对象周边2公里范围内有18路、123路、413路、635路、916路等公交线路，南距地铁二号线东直门站及东直门交通枢纽约1公里，公交便捷度较好、停车便捷程度较好，综合评价交通便捷度较好</v>
      </c>
      <c r="C71" s="2766"/>
      <c r="D71" s="1288">
        <f t="shared" si="20"/>
        <v>0</v>
      </c>
      <c r="E71" s="825"/>
      <c r="F71" s="249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4" t="s">
        <v>2951</v>
      </c>
      <c r="B72" s="2878">
        <f>估价对象房地状况!C19</f>
        <v>0</v>
      </c>
      <c r="C72" s="2766"/>
      <c r="D72" s="1288">
        <f t="shared" si="20"/>
        <v>0</v>
      </c>
      <c r="E72" s="825"/>
      <c r="F72" s="249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4" t="s">
        <v>2965</v>
      </c>
      <c r="B73" s="2878" t="str">
        <f>估价对象房地状况!C24</f>
        <v>高速路-机场高速</v>
      </c>
      <c r="C73" s="2766"/>
      <c r="D73" s="1288">
        <f t="shared" si="20"/>
        <v>0</v>
      </c>
      <c r="E73" s="825"/>
      <c r="F73" s="249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127.5">
      <c r="A74" s="2874" t="s">
        <v>2957</v>
      </c>
      <c r="B74" s="1725" t="str">
        <f>估价对象房地状况!C21</f>
        <v>估价对象所在区域公共配套设施齐备情况较齐全（购物场所（华润万家便利超市等）、医院（左家庄医院、北京中医药大学东直门医院等）、银行（中国工商银行、中国建设银行、中国银行等）、学校（北京市东直门中学等））</v>
      </c>
      <c r="C74" s="2766"/>
      <c r="D74" s="1288">
        <f t="shared" si="20"/>
        <v>0</v>
      </c>
      <c r="E74" s="825"/>
      <c r="F74" s="249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4" t="s">
        <v>2958</v>
      </c>
      <c r="B75" s="1725" t="str">
        <f>估价对象房地状况!C22</f>
        <v>估价对象所在区域基础设施水平好（七通）</v>
      </c>
      <c r="C75" s="2766"/>
      <c r="D75" s="1288">
        <f t="shared" si="20"/>
        <v>0</v>
      </c>
      <c r="E75" s="825"/>
      <c r="F75" s="249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5" customFormat="1" ht="24">
      <c r="A76" s="2874" t="s">
        <v>2955</v>
      </c>
      <c r="B76" s="2880" t="s">
        <v>2956</v>
      </c>
      <c r="C76" s="2766"/>
      <c r="D76" s="1288">
        <f t="shared" si="20"/>
        <v>0</v>
      </c>
      <c r="E76" s="825"/>
      <c r="F76" s="2497"/>
      <c r="G76" s="1286"/>
      <c r="H76" s="1290" t="str">
        <f t="shared" si="21"/>
        <v>——</v>
      </c>
      <c r="I76" s="819">
        <v>0.05</v>
      </c>
      <c r="J76" s="1287">
        <f t="shared" si="22"/>
        <v>0</v>
      </c>
      <c r="K76" s="1287">
        <f t="shared" si="23"/>
        <v>0</v>
      </c>
      <c r="L76" s="1287">
        <v>0</v>
      </c>
      <c r="M76" s="1287">
        <f t="shared" si="24"/>
        <v>0</v>
      </c>
      <c r="N76" s="1287">
        <f t="shared" si="24"/>
        <v>0</v>
      </c>
      <c r="AA76" s="2885"/>
      <c r="AB76" s="1373"/>
      <c r="AC76" s="1373"/>
      <c r="AD76" s="1373"/>
      <c r="AE76" s="1373"/>
      <c r="AF76" s="1373"/>
      <c r="AG76" s="1373"/>
      <c r="AH76" s="2885"/>
      <c r="AI76" s="2885"/>
      <c r="AJ76" s="2885"/>
      <c r="AK76" s="2885"/>
    </row>
    <row r="77" spans="1:37" ht="63.75">
      <c r="A77" s="2874" t="s">
        <v>2959</v>
      </c>
      <c r="B77" s="2877" t="str">
        <f>估价对象房地状况!C20</f>
        <v>区域自然环境：芳沁园、南馆公园；人文环境：北京电大朝阳分校等教育机构；综合评价环境状况较好</v>
      </c>
      <c r="C77" s="2766"/>
      <c r="D77" s="1288">
        <f t="shared" si="20"/>
        <v>0</v>
      </c>
      <c r="E77" s="825"/>
      <c r="F77" s="2497"/>
      <c r="G77" s="1286"/>
      <c r="H77" s="1290" t="str">
        <f t="shared" si="21"/>
        <v>——</v>
      </c>
      <c r="I77" s="819">
        <v>0.15</v>
      </c>
      <c r="J77" s="1287">
        <f t="shared" si="22"/>
        <v>0</v>
      </c>
      <c r="K77" s="1287">
        <f t="shared" si="23"/>
        <v>0</v>
      </c>
      <c r="L77" s="1287">
        <v>0</v>
      </c>
      <c r="M77" s="1287">
        <f t="shared" si="24"/>
        <v>0</v>
      </c>
      <c r="N77" s="1287">
        <f t="shared" si="24"/>
        <v>0</v>
      </c>
      <c r="Z77" s="2716"/>
      <c r="AA77" s="2792"/>
      <c r="AG77" s="1374"/>
      <c r="AK77" s="2792"/>
    </row>
    <row r="78" spans="1:37" ht="24.75" thickBot="1">
      <c r="A78" s="2882" t="s">
        <v>2966</v>
      </c>
      <c r="B78" s="2886"/>
      <c r="C78" s="2766"/>
      <c r="D78" s="1288">
        <f t="shared" si="20"/>
        <v>0</v>
      </c>
      <c r="E78" s="826"/>
      <c r="F78" s="2497"/>
      <c r="G78" s="1286"/>
      <c r="H78" s="1290" t="str">
        <f t="shared" si="21"/>
        <v>——</v>
      </c>
      <c r="I78" s="823">
        <v>0.04</v>
      </c>
      <c r="J78" s="1287">
        <f t="shared" si="22"/>
        <v>0</v>
      </c>
      <c r="K78" s="1287">
        <f t="shared" si="23"/>
        <v>0</v>
      </c>
      <c r="L78" s="1287">
        <v>0</v>
      </c>
      <c r="M78" s="1287">
        <f t="shared" si="24"/>
        <v>0</v>
      </c>
      <c r="N78" s="1287">
        <f t="shared" si="24"/>
        <v>0</v>
      </c>
      <c r="Z78" s="2716"/>
      <c r="AA78" s="2792"/>
      <c r="AG78" s="1374"/>
      <c r="AK78" s="2792"/>
    </row>
    <row r="79" spans="1:37" ht="15">
      <c r="A79" s="2870" t="s">
        <v>2967</v>
      </c>
      <c r="B79" s="2871">
        <f>1+E81</f>
        <v>1</v>
      </c>
      <c r="C79" s="813"/>
      <c r="D79" s="813"/>
      <c r="E79" s="814"/>
      <c r="F79" s="2873"/>
      <c r="G79" s="6"/>
      <c r="H79" s="6"/>
      <c r="I79" s="6"/>
      <c r="J79" s="7"/>
      <c r="K79" s="7"/>
      <c r="L79" s="7"/>
      <c r="M79" s="7"/>
      <c r="N79" s="7"/>
      <c r="Z79" s="2716"/>
      <c r="AA79" s="2792"/>
      <c r="AG79" s="1374"/>
      <c r="AK79" s="2792"/>
    </row>
    <row r="80" spans="1:37" ht="24.75">
      <c r="A80" s="2874" t="s">
        <v>2941</v>
      </c>
      <c r="B80" s="1803"/>
      <c r="C80" s="1803" t="s">
        <v>2943</v>
      </c>
      <c r="D80" s="1803" t="s">
        <v>2944</v>
      </c>
      <c r="E80" s="818" t="s">
        <v>2945</v>
      </c>
      <c r="F80" s="2875" t="s">
        <v>2961</v>
      </c>
      <c r="G80" s="1803" t="s">
        <v>754</v>
      </c>
      <c r="H80" s="2876" t="s">
        <v>2947</v>
      </c>
      <c r="I80" s="1803" t="s">
        <v>2948</v>
      </c>
      <c r="J80" s="603" t="s">
        <v>2595</v>
      </c>
      <c r="K80" s="603" t="s">
        <v>2596</v>
      </c>
      <c r="L80" s="603" t="s">
        <v>2597</v>
      </c>
      <c r="M80" s="603" t="s">
        <v>2598</v>
      </c>
      <c r="N80" s="603" t="s">
        <v>2599</v>
      </c>
      <c r="Z80" s="2716"/>
      <c r="AA80" s="2792"/>
      <c r="AG80" s="1374"/>
      <c r="AK80" s="2792"/>
    </row>
    <row r="81" spans="1:37" ht="38.25">
      <c r="A81" s="2874" t="s">
        <v>2968</v>
      </c>
      <c r="B81" s="2878" t="str">
        <f>估价对象房地状况!G15</f>
        <v>估价对象位于XX开发区，园区建设成熟度XX，产业集聚程度XX</v>
      </c>
      <c r="C81" s="2766"/>
      <c r="D81" s="1288">
        <f t="shared" ref="D81:D88" si="25">SUMIF($J$80:$N$80,C81,J81:N81)</f>
        <v>0</v>
      </c>
      <c r="E81" s="820">
        <f>ROUND(SUM(D81:D88),4)</f>
        <v>0</v>
      </c>
      <c r="F81" s="249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6"/>
      <c r="AA81" s="2792"/>
      <c r="AG81" s="1374"/>
      <c r="AK81" s="2792"/>
    </row>
    <row r="82" spans="1:37" ht="51">
      <c r="A82" s="2874" t="s">
        <v>2950</v>
      </c>
      <c r="B82" s="2878" t="str">
        <f>估价对象房地状况!G16</f>
        <v>估价对象周边道路状况、公共交通通达情况、停车便捷程度，综合评价交通便捷度较好</v>
      </c>
      <c r="C82" s="2766"/>
      <c r="D82" s="1288">
        <f t="shared" si="25"/>
        <v>0</v>
      </c>
      <c r="E82" s="825"/>
      <c r="F82" s="2497"/>
      <c r="G82" s="1286"/>
      <c r="H82" s="1290" t="str">
        <f t="shared" si="26"/>
        <v>——</v>
      </c>
      <c r="I82" s="819">
        <v>0.33</v>
      </c>
      <c r="J82" s="1287">
        <f t="shared" si="27"/>
        <v>0</v>
      </c>
      <c r="K82" s="1287">
        <f t="shared" si="28"/>
        <v>0</v>
      </c>
      <c r="L82" s="1287">
        <v>0</v>
      </c>
      <c r="M82" s="1287">
        <f t="shared" si="29"/>
        <v>0</v>
      </c>
      <c r="N82" s="1287">
        <f t="shared" si="29"/>
        <v>0</v>
      </c>
      <c r="Z82" s="2716"/>
      <c r="AA82" s="2792"/>
      <c r="AG82" s="1374"/>
      <c r="AK82" s="2792"/>
    </row>
    <row r="83" spans="1:37" ht="24">
      <c r="A83" s="2874" t="s">
        <v>2951</v>
      </c>
      <c r="B83" s="2878">
        <f>估价对象房地状况!G17</f>
        <v>0</v>
      </c>
      <c r="C83" s="2766"/>
      <c r="D83" s="1288">
        <f t="shared" si="25"/>
        <v>0</v>
      </c>
      <c r="E83" s="825"/>
      <c r="F83" s="2497"/>
      <c r="G83" s="1286"/>
      <c r="H83" s="1290" t="str">
        <f t="shared" si="26"/>
        <v>——</v>
      </c>
      <c r="I83" s="819">
        <v>0.05</v>
      </c>
      <c r="J83" s="1287">
        <f t="shared" si="27"/>
        <v>0</v>
      </c>
      <c r="K83" s="1287">
        <f t="shared" si="28"/>
        <v>0</v>
      </c>
      <c r="L83" s="1287">
        <v>0</v>
      </c>
      <c r="M83" s="1287">
        <f t="shared" si="29"/>
        <v>0</v>
      </c>
      <c r="N83" s="1287">
        <f t="shared" si="29"/>
        <v>0</v>
      </c>
      <c r="Z83" s="2716"/>
      <c r="AA83" s="2792"/>
      <c r="AG83" s="1374"/>
      <c r="AK83" s="2792"/>
    </row>
    <row r="84" spans="1:37" ht="14.25">
      <c r="A84" s="2874" t="s">
        <v>2965</v>
      </c>
      <c r="B84" s="2878">
        <f>估价对象房地状况!G22</f>
        <v>0</v>
      </c>
      <c r="C84" s="2766"/>
      <c r="D84" s="1288">
        <f t="shared" si="25"/>
        <v>0</v>
      </c>
      <c r="E84" s="825"/>
      <c r="F84" s="2497"/>
      <c r="G84" s="1286"/>
      <c r="H84" s="1290" t="str">
        <f t="shared" si="26"/>
        <v>——</v>
      </c>
      <c r="I84" s="819">
        <v>0.04</v>
      </c>
      <c r="J84" s="1287">
        <f t="shared" si="27"/>
        <v>0</v>
      </c>
      <c r="K84" s="1287">
        <f t="shared" si="28"/>
        <v>0</v>
      </c>
      <c r="L84" s="1287">
        <v>0</v>
      </c>
      <c r="M84" s="1287">
        <f t="shared" si="29"/>
        <v>0</v>
      </c>
      <c r="N84" s="1287">
        <f t="shared" si="29"/>
        <v>0</v>
      </c>
      <c r="Z84" s="2716"/>
      <c r="AA84" s="2792"/>
      <c r="AG84" s="1374"/>
      <c r="AK84" s="2792"/>
    </row>
    <row r="85" spans="1:37" ht="25.5">
      <c r="A85" s="2874" t="s">
        <v>2957</v>
      </c>
      <c r="B85" s="1725" t="str">
        <f>估价对象房地状况!G19</f>
        <v>估价对象所在区域公共配套设施齐备情况</v>
      </c>
      <c r="C85" s="2766"/>
      <c r="D85" s="1288">
        <f t="shared" si="25"/>
        <v>0</v>
      </c>
      <c r="E85" s="825"/>
      <c r="F85" s="2497"/>
      <c r="G85" s="1286"/>
      <c r="H85" s="1290" t="str">
        <f t="shared" si="26"/>
        <v>——</v>
      </c>
      <c r="I85" s="819">
        <v>0.06</v>
      </c>
      <c r="J85" s="1287">
        <f t="shared" si="27"/>
        <v>0</v>
      </c>
      <c r="K85" s="1287">
        <f t="shared" si="28"/>
        <v>0</v>
      </c>
      <c r="L85" s="1287">
        <v>0</v>
      </c>
      <c r="M85" s="1287">
        <f t="shared" si="29"/>
        <v>0</v>
      </c>
      <c r="N85" s="1287">
        <f t="shared" si="29"/>
        <v>0</v>
      </c>
      <c r="Z85" s="2716"/>
      <c r="AA85" s="2792"/>
      <c r="AG85" s="1374"/>
      <c r="AK85" s="2792"/>
    </row>
    <row r="86" spans="1:37" ht="25.5">
      <c r="A86" s="2874" t="s">
        <v>2958</v>
      </c>
      <c r="B86" s="1725" t="str">
        <f>估价对象房地状况!G20</f>
        <v>估价对象所在区域基础设施水平</v>
      </c>
      <c r="C86" s="2766"/>
      <c r="D86" s="1288">
        <f t="shared" si="25"/>
        <v>0</v>
      </c>
      <c r="E86" s="825"/>
      <c r="F86" s="2497"/>
      <c r="G86" s="1286"/>
      <c r="H86" s="1290" t="str">
        <f t="shared" si="26"/>
        <v>——</v>
      </c>
      <c r="I86" s="819">
        <v>0.15</v>
      </c>
      <c r="J86" s="1287">
        <f t="shared" si="27"/>
        <v>0</v>
      </c>
      <c r="K86" s="1287">
        <f t="shared" si="28"/>
        <v>0</v>
      </c>
      <c r="L86" s="1287">
        <v>0</v>
      </c>
      <c r="M86" s="1287">
        <f t="shared" si="29"/>
        <v>0</v>
      </c>
      <c r="N86" s="1287">
        <f t="shared" si="29"/>
        <v>0</v>
      </c>
      <c r="Z86" s="2716"/>
      <c r="AA86" s="2792"/>
      <c r="AG86" s="1374"/>
      <c r="AK86" s="2792"/>
    </row>
    <row r="87" spans="1:37" ht="24">
      <c r="A87" s="2874" t="s">
        <v>2955</v>
      </c>
      <c r="B87" s="2880" t="s">
        <v>2969</v>
      </c>
      <c r="C87" s="2766"/>
      <c r="D87" s="1288">
        <f t="shared" si="25"/>
        <v>0</v>
      </c>
      <c r="E87" s="825"/>
      <c r="F87" s="2497"/>
      <c r="G87" s="1286"/>
      <c r="H87" s="1290" t="str">
        <f t="shared" si="26"/>
        <v>——</v>
      </c>
      <c r="I87" s="819">
        <v>0.05</v>
      </c>
      <c r="J87" s="1287">
        <f t="shared" si="27"/>
        <v>0</v>
      </c>
      <c r="K87" s="1287">
        <f t="shared" si="28"/>
        <v>0</v>
      </c>
      <c r="L87" s="1287">
        <v>0</v>
      </c>
      <c r="M87" s="1287">
        <f t="shared" si="29"/>
        <v>0</v>
      </c>
      <c r="N87" s="1287">
        <f t="shared" si="29"/>
        <v>0</v>
      </c>
      <c r="Z87" s="2716"/>
      <c r="AA87" s="2792"/>
      <c r="AG87" s="1374"/>
      <c r="AK87" s="2792"/>
    </row>
    <row r="88" spans="1:37" ht="39" thickBot="1">
      <c r="A88" s="2882" t="s">
        <v>2970</v>
      </c>
      <c r="B88" s="2887" t="str">
        <f>估价对象房地状况!G18</f>
        <v>该园区内是否有污染型企业，绿化情况，卫生条件，整体环境状况判断</v>
      </c>
      <c r="C88" s="2766"/>
      <c r="D88" s="1288">
        <f t="shared" si="25"/>
        <v>0</v>
      </c>
      <c r="E88" s="826"/>
      <c r="F88" s="2497"/>
      <c r="G88" s="1286"/>
      <c r="H88" s="1290" t="str">
        <f t="shared" si="26"/>
        <v>——</v>
      </c>
      <c r="I88" s="823">
        <v>0.06</v>
      </c>
      <c r="J88" s="1287">
        <f t="shared" si="27"/>
        <v>0</v>
      </c>
      <c r="K88" s="1287">
        <f t="shared" si="28"/>
        <v>0</v>
      </c>
      <c r="L88" s="1287">
        <v>0</v>
      </c>
      <c r="M88" s="1287">
        <f t="shared" si="29"/>
        <v>0</v>
      </c>
      <c r="N88" s="1287">
        <f t="shared" si="29"/>
        <v>0</v>
      </c>
      <c r="Z88" s="2716"/>
      <c r="AA88" s="2792"/>
      <c r="AG88" s="1374"/>
      <c r="AK88" s="2792"/>
    </row>
    <row r="90" spans="1:37">
      <c r="A90" s="3324" t="s">
        <v>2971</v>
      </c>
      <c r="B90" s="3324"/>
      <c r="C90" s="3324"/>
      <c r="D90" s="3324"/>
      <c r="E90" s="3324"/>
      <c r="F90" s="3324"/>
      <c r="G90" s="3324"/>
      <c r="H90" s="3324"/>
      <c r="I90" s="3324"/>
      <c r="J90" s="3324"/>
      <c r="K90" s="2888"/>
      <c r="L90" s="2888"/>
      <c r="M90" s="2888"/>
      <c r="N90" s="2888"/>
    </row>
    <row r="91" spans="1:37">
      <c r="A91" s="3326" t="s">
        <v>2972</v>
      </c>
      <c r="B91" s="3326" t="s">
        <v>2973</v>
      </c>
      <c r="C91" s="2842" t="s">
        <v>2974</v>
      </c>
      <c r="D91" s="2843"/>
      <c r="E91" s="2843"/>
      <c r="F91" s="2843"/>
      <c r="G91" s="2843"/>
      <c r="H91" s="2843"/>
      <c r="I91" s="2843"/>
      <c r="J91" s="2889"/>
      <c r="K91" s="2890"/>
      <c r="L91" s="2890"/>
      <c r="M91" s="2890"/>
      <c r="N91" s="2890"/>
    </row>
    <row r="92" spans="1:37">
      <c r="A92" s="3326"/>
      <c r="B92" s="3326"/>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27"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8"/>
      <c r="B99" s="2891" t="s">
        <v>2855</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2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27" t="s">
        <v>2976</v>
      </c>
      <c r="B101" s="2895" t="s">
        <v>2977</v>
      </c>
      <c r="C101" s="2896">
        <f>$G$3</f>
        <v>3.55</v>
      </c>
      <c r="D101" s="2896">
        <f t="shared" ref="D101:N101" si="31">$G$3</f>
        <v>3.55</v>
      </c>
      <c r="E101" s="2896">
        <f t="shared" si="31"/>
        <v>3.55</v>
      </c>
      <c r="F101" s="2896">
        <f t="shared" si="31"/>
        <v>3.55</v>
      </c>
      <c r="G101" s="2896">
        <f t="shared" si="31"/>
        <v>3.55</v>
      </c>
      <c r="H101" s="2896">
        <f t="shared" si="31"/>
        <v>3.55</v>
      </c>
      <c r="I101" s="2896">
        <f t="shared" si="31"/>
        <v>3.55</v>
      </c>
      <c r="J101" s="2896">
        <f t="shared" si="31"/>
        <v>3.55</v>
      </c>
      <c r="K101" s="2896">
        <f t="shared" si="31"/>
        <v>3.55</v>
      </c>
      <c r="L101" s="2896">
        <f t="shared" si="31"/>
        <v>3.55</v>
      </c>
      <c r="M101" s="2896">
        <f t="shared" si="31"/>
        <v>3.55</v>
      </c>
      <c r="N101" s="2896">
        <f t="shared" si="31"/>
        <v>3.55</v>
      </c>
    </row>
    <row r="102" spans="1:14">
      <c r="A102" s="3328"/>
      <c r="B102" s="2891">
        <v>1</v>
      </c>
      <c r="C102" s="2892">
        <f>1.9362/C101</f>
        <v>0.54540845070422539</v>
      </c>
      <c r="D102" s="2892">
        <f>1.9362/D101</f>
        <v>0.54540845070422539</v>
      </c>
      <c r="E102" s="2892">
        <f>1.8629/E101</f>
        <v>0.52476056338028176</v>
      </c>
      <c r="F102" s="2892">
        <f>1.8629/F101</f>
        <v>0.52476056338028176</v>
      </c>
      <c r="G102" s="2892">
        <f>1.8629/G101</f>
        <v>0.52476056338028176</v>
      </c>
      <c r="H102" s="2892">
        <f>1.8629/H101</f>
        <v>0.52476056338028176</v>
      </c>
      <c r="I102" s="2892">
        <f>1.8629/I101</f>
        <v>0.52476056338028176</v>
      </c>
      <c r="J102" s="2892">
        <f>1.942/J101</f>
        <v>0.54704225352112679</v>
      </c>
      <c r="K102" s="2892">
        <f>1.942/K101</f>
        <v>0.54704225352112679</v>
      </c>
      <c r="L102" s="2892">
        <f>1.942/L101</f>
        <v>0.54704225352112679</v>
      </c>
      <c r="M102" s="2892">
        <f>1.942/M101</f>
        <v>0.54704225352112679</v>
      </c>
      <c r="N102" s="2892">
        <f>1.942/N101</f>
        <v>0.54704225352112679</v>
      </c>
    </row>
    <row r="103" spans="1:14">
      <c r="A103" s="3328"/>
      <c r="B103" s="2891">
        <v>2</v>
      </c>
      <c r="C103" s="2892">
        <f>1.4198/C101</f>
        <v>0.39994366197183101</v>
      </c>
      <c r="D103" s="2892">
        <f>1.4198/D101</f>
        <v>0.39994366197183101</v>
      </c>
      <c r="E103" s="2892">
        <f>1.3372/E101</f>
        <v>0.3766760563380282</v>
      </c>
      <c r="F103" s="2892">
        <f>1.3372/F101</f>
        <v>0.3766760563380282</v>
      </c>
      <c r="G103" s="2892">
        <f>1.3372/G101</f>
        <v>0.3766760563380282</v>
      </c>
      <c r="H103" s="2892">
        <f>1.3372/H101</f>
        <v>0.3766760563380282</v>
      </c>
      <c r="I103" s="2892">
        <f>1.3372/I101</f>
        <v>0.3766760563380282</v>
      </c>
      <c r="J103" s="2892">
        <f>1.2799/J101</f>
        <v>0.36053521126760568</v>
      </c>
      <c r="K103" s="2892">
        <f>1.2799/K101</f>
        <v>0.36053521126760568</v>
      </c>
      <c r="L103" s="2892">
        <f>1.2799/L101</f>
        <v>0.36053521126760568</v>
      </c>
      <c r="M103" s="2892">
        <f>1.2799/M101</f>
        <v>0.36053521126760568</v>
      </c>
      <c r="N103" s="2892">
        <f>1.2799/N101</f>
        <v>0.36053521126760568</v>
      </c>
    </row>
    <row r="104" spans="1:14">
      <c r="A104" s="3328"/>
      <c r="B104" s="2891">
        <v>3</v>
      </c>
      <c r="C104" s="2892">
        <f>1.1594/C101</f>
        <v>0.32659154929577466</v>
      </c>
      <c r="D104" s="2892">
        <f>1.1594/D101</f>
        <v>0.32659154929577466</v>
      </c>
      <c r="E104" s="2892">
        <f>1.0788/E101</f>
        <v>0.30388732394366197</v>
      </c>
      <c r="F104" s="2892">
        <f>1.0788/F101</f>
        <v>0.30388732394366197</v>
      </c>
      <c r="G104" s="2892">
        <f>1.0788/G101</f>
        <v>0.30388732394366197</v>
      </c>
      <c r="H104" s="2892">
        <f>1.0788/H101</f>
        <v>0.30388732394366197</v>
      </c>
      <c r="I104" s="2892">
        <f>1.0788/I101</f>
        <v>0.30388732394366197</v>
      </c>
      <c r="J104" s="2892">
        <f>1.0072/J101</f>
        <v>0.28371830985915497</v>
      </c>
      <c r="K104" s="2892">
        <f>1.0072/K101</f>
        <v>0.28371830985915497</v>
      </c>
      <c r="L104" s="2892">
        <f>1.0072/L101</f>
        <v>0.28371830985915497</v>
      </c>
      <c r="M104" s="2892">
        <f>1.0072/M101</f>
        <v>0.28371830985915497</v>
      </c>
      <c r="N104" s="2892">
        <f>1.0072/N101</f>
        <v>0.28371830985915497</v>
      </c>
    </row>
    <row r="105" spans="1:14">
      <c r="A105" s="3328"/>
      <c r="B105" s="2891">
        <v>4</v>
      </c>
      <c r="C105" s="2892">
        <f>0.9622/C101</f>
        <v>0.27104225352112676</v>
      </c>
      <c r="D105" s="2892">
        <f>0.9622/D101</f>
        <v>0.27104225352112676</v>
      </c>
      <c r="E105" s="2892">
        <f>0.8656/E101</f>
        <v>0.24383098591549299</v>
      </c>
      <c r="F105" s="2892">
        <f>0.8656/F101</f>
        <v>0.24383098591549299</v>
      </c>
      <c r="G105" s="2892">
        <f>0.8656/G101</f>
        <v>0.24383098591549299</v>
      </c>
      <c r="H105" s="2892">
        <f>0.8656/H101</f>
        <v>0.24383098591549299</v>
      </c>
      <c r="I105" s="2892">
        <f>0.8656/I101</f>
        <v>0.24383098591549299</v>
      </c>
      <c r="J105" s="2892">
        <f>0.7525/J101</f>
        <v>0.21197183098591549</v>
      </c>
      <c r="K105" s="2892">
        <f>0.7525/K101</f>
        <v>0.21197183098591549</v>
      </c>
      <c r="L105" s="2892">
        <f>0.7525/L101</f>
        <v>0.21197183098591549</v>
      </c>
      <c r="M105" s="2892">
        <f>0.7525/M101</f>
        <v>0.21197183098591549</v>
      </c>
      <c r="N105" s="2892">
        <f>0.7525/N101</f>
        <v>0.21197183098591549</v>
      </c>
    </row>
    <row r="106" spans="1:14">
      <c r="A106" s="3328"/>
      <c r="B106" s="2891">
        <v>5</v>
      </c>
      <c r="C106" s="2892">
        <f>0.8417/C101</f>
        <v>0.2370985915492958</v>
      </c>
      <c r="D106" s="2892">
        <f>0.8417/D101</f>
        <v>0.2370985915492958</v>
      </c>
      <c r="E106" s="2892">
        <f>0.7371/E101</f>
        <v>0.20763380281690141</v>
      </c>
      <c r="F106" s="2892">
        <f>0.7371/F101</f>
        <v>0.20763380281690141</v>
      </c>
      <c r="G106" s="2892">
        <f>0.7371/G101</f>
        <v>0.20763380281690141</v>
      </c>
      <c r="H106" s="2892">
        <f>0.7371/H101</f>
        <v>0.20763380281690141</v>
      </c>
      <c r="I106" s="2892">
        <f>0.7371/I101</f>
        <v>0.20763380281690141</v>
      </c>
      <c r="J106" s="2892">
        <f>0.5659/J101</f>
        <v>0.15940845070422535</v>
      </c>
      <c r="K106" s="2892">
        <f>0.5659/K101</f>
        <v>0.15940845070422535</v>
      </c>
      <c r="L106" s="2892">
        <f>0.5659/L101</f>
        <v>0.15940845070422535</v>
      </c>
      <c r="M106" s="2892">
        <f>0.5659/M101</f>
        <v>0.15940845070422535</v>
      </c>
      <c r="N106" s="2892">
        <f>0.5659/N101</f>
        <v>0.15940845070422535</v>
      </c>
    </row>
    <row r="107" spans="1:14">
      <c r="A107" s="3328"/>
      <c r="B107" s="2891">
        <v>6</v>
      </c>
      <c r="C107" s="2892">
        <f>0.7608/C101</f>
        <v>0.21430985915492959</v>
      </c>
      <c r="D107" s="2892">
        <f>0.7608/D101</f>
        <v>0.21430985915492959</v>
      </c>
      <c r="E107" s="2892">
        <f>0.6482/E101</f>
        <v>0.18259154929577465</v>
      </c>
      <c r="F107" s="2892">
        <f>0.6482/F101</f>
        <v>0.18259154929577465</v>
      </c>
      <c r="G107" s="2892">
        <f>0.6482/G101</f>
        <v>0.18259154929577465</v>
      </c>
      <c r="H107" s="2892">
        <f>0.6482/H101</f>
        <v>0.18259154929577465</v>
      </c>
      <c r="I107" s="2892">
        <f>0.6482/I101</f>
        <v>0.18259154929577465</v>
      </c>
      <c r="J107" s="2892">
        <f>0.4525/J101</f>
        <v>0.12746478873239436</v>
      </c>
      <c r="K107" s="2892">
        <f>0.4525/K101</f>
        <v>0.12746478873239436</v>
      </c>
      <c r="L107" s="2892">
        <f>0.4525/L101</f>
        <v>0.12746478873239436</v>
      </c>
      <c r="M107" s="2892">
        <f>0.4525/M101</f>
        <v>0.12746478873239436</v>
      </c>
      <c r="N107" s="2892">
        <f>0.4525/N101</f>
        <v>0.12746478873239436</v>
      </c>
    </row>
    <row r="108" spans="1:14">
      <c r="A108" s="3328"/>
      <c r="B108" s="3154"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29"/>
      <c r="B109" s="3155"/>
      <c r="C109" s="2894">
        <f>(-0.163*(C108^2)-0.59*C108+7617)*(10^(-4))/C101</f>
        <v>0.21456338028169017</v>
      </c>
      <c r="D109" s="2894">
        <f>(-0.163*(D108^2)-0.59*D108+7617)*(10^(-4))/D101</f>
        <v>0.21456338028169017</v>
      </c>
      <c r="E109" s="2894">
        <f>(-0.161*(E108^2)-7.509*E108+6533)*(10^(-4))/E101</f>
        <v>0.1840281690140845</v>
      </c>
      <c r="F109" s="2894">
        <f>(-0.161*(F108^2)-7.509*F108+6533)*(10^(-4))/F101</f>
        <v>0.1840281690140845</v>
      </c>
      <c r="G109" s="2894">
        <f>(-0.161*(G108^2)-7.509*G108+6533)*(10^(-4))/G101</f>
        <v>0.1840281690140845</v>
      </c>
      <c r="H109" s="2894">
        <f>(-0.161*(H108^2)-7.509*H108+6533)*(10^(-4))/H101</f>
        <v>0.1840281690140845</v>
      </c>
      <c r="I109" s="2894">
        <f>(-0.161*(I108^2)-7.509*I108+6533)*(10^(-4))/I101</f>
        <v>0.1840281690140845</v>
      </c>
      <c r="J109" s="2894">
        <f>(-0.214*(J108^2)-21.991*J108+4665)*(10^(-4))/J101</f>
        <v>0.13140845070422535</v>
      </c>
      <c r="K109" s="2894">
        <f>(-0.214*(K108^2)-21.991*K108+4665)*(10^(-4))/K101</f>
        <v>0.13140845070422535</v>
      </c>
      <c r="L109" s="2894">
        <f>(-0.214*(L108^2)-21.991*L108+4665)*(10^(-4))/L101</f>
        <v>0.13140845070422535</v>
      </c>
      <c r="M109" s="2894">
        <f>(-0.214*(M108^2)-21.991*M108+4665)*(10^(-4))/M101</f>
        <v>0.13140845070422535</v>
      </c>
      <c r="N109" s="2894">
        <f>(-0.214*(N108^2)-21.991*N108+4665)*(10^(-4))/N101</f>
        <v>0.13140845070422535</v>
      </c>
    </row>
    <row r="110" spans="1:14">
      <c r="A110" s="3325" t="s">
        <v>2979</v>
      </c>
      <c r="B110" s="3325"/>
      <c r="C110" s="3325"/>
      <c r="D110" s="3325"/>
      <c r="E110" s="3325"/>
      <c r="F110" s="3325"/>
      <c r="G110" s="3325"/>
      <c r="H110" s="3325"/>
      <c r="I110" s="3325"/>
      <c r="J110" s="3325"/>
      <c r="K110" s="2897"/>
      <c r="L110" s="2897"/>
      <c r="M110" s="2897"/>
      <c r="N110" s="2897"/>
    </row>
    <row r="112" spans="1:14" ht="13.5" thickBot="1"/>
    <row r="113" spans="1:13" ht="25.5" thickBot="1">
      <c r="A113" s="902" t="s">
        <v>2980</v>
      </c>
      <c r="B113" s="1289">
        <f>G3</f>
        <v>3.55</v>
      </c>
      <c r="C113" s="903" t="s">
        <v>2981</v>
      </c>
      <c r="D113" s="904">
        <f>SUMPRODUCT((A115:A118=F113)*(B114:M114=H113)*B115:M118)</f>
        <v>0.90010000000000001</v>
      </c>
      <c r="E113" s="2720" t="s">
        <v>2812</v>
      </c>
      <c r="F113" s="2899" t="str">
        <f>E2</f>
        <v>商业</v>
      </c>
      <c r="G113" s="2720" t="s">
        <v>2813</v>
      </c>
      <c r="H113" s="2899" t="str">
        <f>G2</f>
        <v>二级</v>
      </c>
      <c r="I113" s="2720"/>
      <c r="J113" s="2900"/>
      <c r="K113" s="2900"/>
      <c r="L113" s="2900"/>
      <c r="M113" s="2900"/>
    </row>
    <row r="114" spans="1:13">
      <c r="A114" s="907"/>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8" t="s">
        <v>2877</v>
      </c>
      <c r="B115" s="909">
        <f>ROUND(0.9335-0.0094*B113,4)</f>
        <v>0.90010000000000001</v>
      </c>
      <c r="C115" s="909">
        <f>B115</f>
        <v>0.90010000000000001</v>
      </c>
      <c r="D115" s="909">
        <f>ROUND(0.8331-0.0109*B113,4)</f>
        <v>0.7944</v>
      </c>
      <c r="E115" s="909">
        <f>D115</f>
        <v>0.7944</v>
      </c>
      <c r="F115" s="909">
        <f>E115</f>
        <v>0.7944</v>
      </c>
      <c r="G115" s="909">
        <f>F115</f>
        <v>0.7944</v>
      </c>
      <c r="H115" s="909">
        <f>G115</f>
        <v>0.7944</v>
      </c>
      <c r="I115" s="909">
        <f>ROUND(0.689-0.0155*B113,4)</f>
        <v>0.63400000000000001</v>
      </c>
      <c r="J115" s="909">
        <f t="shared" ref="J115:M118" si="33">I115</f>
        <v>0.63400000000000001</v>
      </c>
      <c r="K115" s="909">
        <f t="shared" si="33"/>
        <v>0.63400000000000001</v>
      </c>
      <c r="L115" s="909">
        <f t="shared" si="33"/>
        <v>0.63400000000000001</v>
      </c>
      <c r="M115" s="910">
        <f t="shared" si="33"/>
        <v>0.63400000000000001</v>
      </c>
    </row>
    <row r="116" spans="1:13">
      <c r="A116" s="908" t="s">
        <v>2878</v>
      </c>
      <c r="B116" s="909">
        <f>ROUND(0.949-0.012*B113,4)</f>
        <v>0.90639999999999998</v>
      </c>
      <c r="C116" s="909">
        <f>B116</f>
        <v>0.90639999999999998</v>
      </c>
      <c r="D116" s="909">
        <f>ROUND(0.8567-0.013*B113,4)</f>
        <v>0.81059999999999999</v>
      </c>
      <c r="E116" s="909">
        <f t="shared" ref="E116:H117" si="34">D116</f>
        <v>0.81059999999999999</v>
      </c>
      <c r="F116" s="909">
        <f t="shared" si="34"/>
        <v>0.81059999999999999</v>
      </c>
      <c r="G116" s="909">
        <f t="shared" si="34"/>
        <v>0.81059999999999999</v>
      </c>
      <c r="H116" s="909">
        <f t="shared" si="34"/>
        <v>0.81059999999999999</v>
      </c>
      <c r="I116" s="909">
        <f>ROUND(0.7694-0.014*B113,4)</f>
        <v>0.71970000000000001</v>
      </c>
      <c r="J116" s="909">
        <f t="shared" si="33"/>
        <v>0.71970000000000001</v>
      </c>
      <c r="K116" s="909">
        <f t="shared" si="33"/>
        <v>0.71970000000000001</v>
      </c>
      <c r="L116" s="909">
        <f t="shared" si="33"/>
        <v>0.71970000000000001</v>
      </c>
      <c r="M116" s="910">
        <f t="shared" si="33"/>
        <v>0.71970000000000001</v>
      </c>
    </row>
    <row r="117" spans="1:13">
      <c r="A117" s="908" t="s">
        <v>2879</v>
      </c>
      <c r="B117" s="909">
        <f>ROUND(0.8808-0.006*B113,4)</f>
        <v>0.85950000000000004</v>
      </c>
      <c r="C117" s="909">
        <f>B117</f>
        <v>0.85950000000000004</v>
      </c>
      <c r="D117" s="909">
        <f>ROUND(0.8748-0.008*B113,4)</f>
        <v>0.84640000000000004</v>
      </c>
      <c r="E117" s="909">
        <f t="shared" si="34"/>
        <v>0.84640000000000004</v>
      </c>
      <c r="F117" s="909">
        <f t="shared" si="34"/>
        <v>0.84640000000000004</v>
      </c>
      <c r="G117" s="909">
        <f t="shared" si="34"/>
        <v>0.84640000000000004</v>
      </c>
      <c r="H117" s="909">
        <f t="shared" si="34"/>
        <v>0.84640000000000004</v>
      </c>
      <c r="I117" s="909">
        <f>ROUND(0.7412-0.0095*B113,4)</f>
        <v>0.70750000000000002</v>
      </c>
      <c r="J117" s="909">
        <f t="shared" si="33"/>
        <v>0.70750000000000002</v>
      </c>
      <c r="K117" s="909">
        <f t="shared" si="33"/>
        <v>0.70750000000000002</v>
      </c>
      <c r="L117" s="909">
        <f t="shared" si="33"/>
        <v>0.70750000000000002</v>
      </c>
      <c r="M117" s="910">
        <f t="shared" si="33"/>
        <v>0.70750000000000002</v>
      </c>
    </row>
    <row r="118" spans="1:13" ht="13.5" thickBot="1">
      <c r="A118" s="713" t="s">
        <v>2880</v>
      </c>
      <c r="B118" s="911">
        <f>ROUND(0.7275-0.01*B113,4)</f>
        <v>0.69199999999999995</v>
      </c>
      <c r="C118" s="911">
        <f>B118</f>
        <v>0.69199999999999995</v>
      </c>
      <c r="D118" s="911">
        <f>ROUND(0.7043-0.012*B113,4)</f>
        <v>0.66169999999999995</v>
      </c>
      <c r="E118" s="911">
        <f>D118</f>
        <v>0.66169999999999995</v>
      </c>
      <c r="F118" s="911">
        <f>E118</f>
        <v>0.66169999999999995</v>
      </c>
      <c r="G118" s="911">
        <f>ROUND(0.6299-0.0122*B113,4)</f>
        <v>0.58660000000000001</v>
      </c>
      <c r="H118" s="911">
        <f>G118</f>
        <v>0.58660000000000001</v>
      </c>
      <c r="I118" s="911">
        <f>ROUND(0.5667-0.0136*B113,4)</f>
        <v>0.51839999999999997</v>
      </c>
      <c r="J118" s="911">
        <f t="shared" si="33"/>
        <v>0.51839999999999997</v>
      </c>
      <c r="K118" s="911">
        <f t="shared" si="33"/>
        <v>0.51839999999999997</v>
      </c>
      <c r="L118" s="911">
        <f t="shared" si="33"/>
        <v>0.51839999999999997</v>
      </c>
      <c r="M118" s="912">
        <f t="shared" si="33"/>
        <v>0.51839999999999997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48:G56">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2" t="s">
        <v>183</v>
      </c>
      <c r="B18" s="881" t="s">
        <v>560</v>
      </c>
      <c r="C18" s="882" t="s">
        <v>561</v>
      </c>
      <c r="D18" s="883"/>
      <c r="E18" s="881">
        <v>1</v>
      </c>
      <c r="F18" s="884" t="s">
        <v>562</v>
      </c>
      <c r="G18" s="885"/>
      <c r="H18" s="877"/>
      <c r="I18" s="877"/>
    </row>
    <row r="19" spans="1:9" s="886" customFormat="1" ht="19.5" customHeight="1">
      <c r="A19" s="3342"/>
      <c r="B19" s="3342" t="s">
        <v>563</v>
      </c>
      <c r="C19" s="882" t="s">
        <v>564</v>
      </c>
      <c r="D19" s="883"/>
      <c r="E19" s="881">
        <v>0.9</v>
      </c>
      <c r="F19" s="884" t="s">
        <v>565</v>
      </c>
      <c r="G19" s="885"/>
      <c r="H19" s="877"/>
      <c r="I19" s="877"/>
    </row>
    <row r="20" spans="1:9" s="886" customFormat="1" ht="19.5" customHeight="1">
      <c r="A20" s="3342"/>
      <c r="B20" s="3342"/>
      <c r="C20" s="882" t="s">
        <v>566</v>
      </c>
      <c r="D20" s="883"/>
      <c r="E20" s="881">
        <v>1.1000000000000001</v>
      </c>
      <c r="F20" s="884" t="s">
        <v>567</v>
      </c>
      <c r="G20" s="885"/>
      <c r="H20" s="877"/>
      <c r="I20" s="877"/>
    </row>
    <row r="21" spans="1:9" s="886" customFormat="1" ht="19.5" customHeight="1">
      <c r="A21" s="3342"/>
      <c r="B21" s="3342"/>
      <c r="C21" s="882" t="s">
        <v>568</v>
      </c>
      <c r="D21" s="883"/>
      <c r="E21" s="881">
        <v>0.8</v>
      </c>
      <c r="F21" s="884" t="s">
        <v>569</v>
      </c>
      <c r="G21" s="885"/>
      <c r="H21" s="877"/>
      <c r="I21" s="877"/>
    </row>
    <row r="22" spans="1:9" s="886" customFormat="1" ht="19.5" customHeight="1">
      <c r="A22" s="3342"/>
      <c r="B22" s="3342"/>
      <c r="C22" s="882" t="s">
        <v>570</v>
      </c>
      <c r="D22" s="883"/>
      <c r="E22" s="881">
        <v>0.5</v>
      </c>
      <c r="F22" s="884"/>
      <c r="G22" s="885"/>
      <c r="H22" s="877"/>
      <c r="I22" s="877"/>
    </row>
    <row r="23" spans="1:9" s="886" customFormat="1" ht="19.5" customHeight="1">
      <c r="A23" s="3342" t="s">
        <v>184</v>
      </c>
      <c r="B23" s="881" t="s">
        <v>560</v>
      </c>
      <c r="C23" s="882" t="s">
        <v>571</v>
      </c>
      <c r="D23" s="883"/>
      <c r="E23" s="881">
        <v>1</v>
      </c>
      <c r="F23" s="884" t="s">
        <v>572</v>
      </c>
      <c r="G23" s="885"/>
      <c r="H23" s="877"/>
      <c r="I23" s="877"/>
    </row>
    <row r="24" spans="1:9" s="886" customFormat="1" ht="19.5" customHeight="1">
      <c r="A24" s="3342"/>
      <c r="B24" s="3342" t="s">
        <v>563</v>
      </c>
      <c r="C24" s="882" t="s">
        <v>573</v>
      </c>
      <c r="D24" s="883"/>
      <c r="E24" s="881">
        <v>0.5</v>
      </c>
      <c r="F24" s="884"/>
      <c r="G24" s="885"/>
      <c r="H24" s="877"/>
      <c r="I24" s="877"/>
    </row>
    <row r="25" spans="1:9" s="886" customFormat="1" ht="19.5" customHeight="1">
      <c r="A25" s="3342"/>
      <c r="B25" s="3342"/>
      <c r="C25" s="882" t="s">
        <v>574</v>
      </c>
      <c r="D25" s="883"/>
      <c r="E25" s="881">
        <v>1.1000000000000001</v>
      </c>
      <c r="F25" s="884"/>
      <c r="G25" s="885"/>
      <c r="H25" s="877"/>
      <c r="I25" s="877"/>
    </row>
    <row r="26" spans="1:9" s="886" customFormat="1" ht="19.5" customHeight="1">
      <c r="A26" s="3342"/>
      <c r="B26" s="3342"/>
      <c r="C26" s="882" t="s">
        <v>575</v>
      </c>
      <c r="D26" s="883"/>
      <c r="E26" s="881">
        <v>1.1000000000000001</v>
      </c>
      <c r="F26" s="884"/>
      <c r="G26" s="885"/>
      <c r="H26" s="877"/>
      <c r="I26" s="877"/>
    </row>
    <row r="27" spans="1:9" s="886" customFormat="1" ht="19.5" customHeight="1">
      <c r="A27" s="3342"/>
      <c r="B27" s="3342"/>
      <c r="C27" s="882" t="s">
        <v>576</v>
      </c>
      <c r="D27" s="883"/>
      <c r="E27" s="881">
        <v>0.9</v>
      </c>
      <c r="F27" s="884" t="s">
        <v>577</v>
      </c>
      <c r="G27" s="885"/>
      <c r="H27" s="877"/>
      <c r="I27" s="877"/>
    </row>
    <row r="28" spans="1:9" s="886" customFormat="1" ht="19.5" customHeight="1">
      <c r="A28" s="3342"/>
      <c r="B28" s="3342"/>
      <c r="C28" s="882" t="s">
        <v>578</v>
      </c>
      <c r="D28" s="883"/>
      <c r="E28" s="881">
        <v>0.9</v>
      </c>
      <c r="F28" s="884" t="s">
        <v>579</v>
      </c>
      <c r="G28" s="885"/>
      <c r="H28" s="877"/>
      <c r="I28" s="877"/>
    </row>
    <row r="29" spans="1:9" s="886" customFormat="1" ht="19.5" customHeight="1">
      <c r="A29" s="3342"/>
      <c r="B29" s="3342"/>
      <c r="C29" s="882" t="s">
        <v>580</v>
      </c>
      <c r="D29" s="883"/>
      <c r="E29" s="881">
        <v>0.9</v>
      </c>
      <c r="F29" s="884" t="s">
        <v>581</v>
      </c>
      <c r="G29" s="885"/>
      <c r="H29" s="877"/>
      <c r="I29" s="877"/>
    </row>
    <row r="30" spans="1:9" s="886" customFormat="1" ht="19.5" customHeight="1">
      <c r="A30" s="3342"/>
      <c r="B30" s="3342"/>
      <c r="C30" s="882" t="s">
        <v>582</v>
      </c>
      <c r="D30" s="883"/>
      <c r="E30" s="881">
        <v>0.9</v>
      </c>
      <c r="F30" s="884" t="s">
        <v>583</v>
      </c>
      <c r="G30" s="885"/>
      <c r="H30" s="877"/>
      <c r="I30" s="877"/>
    </row>
    <row r="31" spans="1:9" s="886" customFormat="1" ht="19.5" customHeight="1">
      <c r="A31" s="3342"/>
      <c r="B31" s="3342"/>
      <c r="C31" s="882" t="s">
        <v>584</v>
      </c>
      <c r="D31" s="883"/>
      <c r="E31" s="881">
        <v>0.8</v>
      </c>
      <c r="F31" s="884" t="s">
        <v>585</v>
      </c>
      <c r="G31" s="885"/>
      <c r="H31" s="877"/>
      <c r="I31" s="877"/>
    </row>
    <row r="32" spans="1:9" s="886" customFormat="1" ht="19.5" customHeight="1">
      <c r="A32" s="3342"/>
      <c r="B32" s="3342"/>
      <c r="C32" s="882" t="s">
        <v>586</v>
      </c>
      <c r="D32" s="883"/>
      <c r="E32" s="881">
        <v>0.8</v>
      </c>
      <c r="F32" s="884" t="s">
        <v>587</v>
      </c>
      <c r="G32" s="885"/>
      <c r="H32" s="877"/>
      <c r="I32" s="877"/>
    </row>
    <row r="33" spans="1:9" s="886" customFormat="1" ht="19.5" customHeight="1">
      <c r="A33" s="3342" t="s">
        <v>185</v>
      </c>
      <c r="B33" s="881" t="s">
        <v>560</v>
      </c>
      <c r="C33" s="882" t="s">
        <v>588</v>
      </c>
      <c r="D33" s="883"/>
      <c r="E33" s="881">
        <v>1</v>
      </c>
      <c r="F33" s="884" t="s">
        <v>589</v>
      </c>
      <c r="G33" s="885"/>
      <c r="H33" s="877"/>
      <c r="I33" s="877"/>
    </row>
    <row r="34" spans="1:9" s="886" customFormat="1" ht="19.5" customHeight="1">
      <c r="A34" s="3342"/>
      <c r="B34" s="881" t="s">
        <v>563</v>
      </c>
      <c r="C34" s="882" t="s">
        <v>590</v>
      </c>
      <c r="D34" s="883"/>
      <c r="E34" s="881">
        <v>1.5</v>
      </c>
      <c r="F34" s="884" t="s">
        <v>591</v>
      </c>
      <c r="G34" s="885"/>
      <c r="H34" s="877"/>
      <c r="I34" s="877"/>
    </row>
    <row r="35" spans="1:9" s="886" customFormat="1" ht="19.5" customHeight="1">
      <c r="A35" s="3342" t="s">
        <v>186</v>
      </c>
      <c r="B35" s="881" t="s">
        <v>560</v>
      </c>
      <c r="C35" s="882" t="s">
        <v>592</v>
      </c>
      <c r="D35" s="883"/>
      <c r="E35" s="881">
        <v>1</v>
      </c>
      <c r="F35" s="884" t="s">
        <v>593</v>
      </c>
      <c r="G35" s="885"/>
      <c r="H35" s="877"/>
      <c r="I35" s="877"/>
    </row>
    <row r="36" spans="1:9" s="886" customFormat="1" ht="19.5" customHeight="1">
      <c r="A36" s="3342"/>
      <c r="B36" s="3342" t="s">
        <v>563</v>
      </c>
      <c r="C36" s="882" t="s">
        <v>594</v>
      </c>
      <c r="D36" s="883"/>
      <c r="E36" s="881">
        <v>1</v>
      </c>
      <c r="F36" s="884" t="s">
        <v>595</v>
      </c>
      <c r="G36" s="885"/>
      <c r="H36" s="877"/>
      <c r="I36" s="877"/>
    </row>
    <row r="37" spans="1:9" s="886" customFormat="1" ht="19.5" customHeight="1">
      <c r="A37" s="3342"/>
      <c r="B37" s="3342"/>
      <c r="C37" s="882" t="s">
        <v>596</v>
      </c>
      <c r="D37" s="883"/>
      <c r="E37" s="881">
        <v>1.5</v>
      </c>
      <c r="F37" s="884" t="s">
        <v>597</v>
      </c>
      <c r="G37" s="885"/>
      <c r="H37" s="877"/>
      <c r="I37" s="877"/>
    </row>
    <row r="38" spans="1:9" s="886" customFormat="1" ht="19.5" customHeight="1">
      <c r="A38" s="3342"/>
      <c r="B38" s="3342"/>
      <c r="C38" s="882" t="s">
        <v>598</v>
      </c>
      <c r="D38" s="883"/>
      <c r="E38" s="881">
        <v>1</v>
      </c>
      <c r="F38" s="884" t="s">
        <v>599</v>
      </c>
      <c r="G38" s="885"/>
      <c r="H38" s="877"/>
      <c r="I38" s="877"/>
    </row>
    <row r="39" spans="1:9" s="886" customFormat="1" ht="19.5" customHeight="1">
      <c r="A39" s="3342"/>
      <c r="B39" s="334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2" t="s">
        <v>614</v>
      </c>
      <c r="C61" s="817" t="s">
        <v>615</v>
      </c>
      <c r="D61" s="817" t="s">
        <v>616</v>
      </c>
      <c r="E61" s="894">
        <v>0.5</v>
      </c>
      <c r="F61" s="881">
        <v>80</v>
      </c>
    </row>
    <row r="62" spans="1:8" s="877" customFormat="1" ht="24">
      <c r="A62" s="881">
        <v>2</v>
      </c>
      <c r="B62" s="3342"/>
      <c r="C62" s="817" t="s">
        <v>617</v>
      </c>
      <c r="D62" s="817" t="s">
        <v>618</v>
      </c>
      <c r="E62" s="894">
        <v>0.5</v>
      </c>
      <c r="F62" s="881">
        <v>80</v>
      </c>
    </row>
    <row r="63" spans="1:8" s="877" customFormat="1" ht="36">
      <c r="A63" s="881">
        <v>3</v>
      </c>
      <c r="B63" s="3342"/>
      <c r="C63" s="817" t="s">
        <v>619</v>
      </c>
      <c r="D63" s="817" t="s">
        <v>620</v>
      </c>
      <c r="E63" s="894">
        <v>0.5</v>
      </c>
      <c r="F63" s="881">
        <v>80</v>
      </c>
    </row>
    <row r="64" spans="1:8" s="877" customFormat="1" ht="36">
      <c r="A64" s="881">
        <v>4</v>
      </c>
      <c r="B64" s="3342"/>
      <c r="C64" s="817" t="s">
        <v>621</v>
      </c>
      <c r="D64" s="817" t="s">
        <v>622</v>
      </c>
      <c r="E64" s="894">
        <v>0.4</v>
      </c>
      <c r="F64" s="881">
        <v>60</v>
      </c>
    </row>
    <row r="65" spans="1:6" s="877" customFormat="1" ht="36">
      <c r="A65" s="881">
        <v>5</v>
      </c>
      <c r="B65" s="3342"/>
      <c r="C65" s="817" t="s">
        <v>623</v>
      </c>
      <c r="D65" s="817" t="s">
        <v>624</v>
      </c>
      <c r="E65" s="894">
        <v>0.2</v>
      </c>
      <c r="F65" s="881">
        <v>30</v>
      </c>
    </row>
    <row r="66" spans="1:6" s="877" customFormat="1" ht="36">
      <c r="A66" s="881">
        <v>6</v>
      </c>
      <c r="B66" s="3342"/>
      <c r="C66" s="817" t="s">
        <v>625</v>
      </c>
      <c r="D66" s="817" t="s">
        <v>626</v>
      </c>
      <c r="E66" s="894">
        <v>0.3</v>
      </c>
      <c r="F66" s="881">
        <v>50</v>
      </c>
    </row>
    <row r="67" spans="1:6" s="877" customFormat="1" ht="36">
      <c r="A67" s="881">
        <v>7</v>
      </c>
      <c r="B67" s="3342"/>
      <c r="C67" s="817" t="s">
        <v>627</v>
      </c>
      <c r="D67" s="817" t="s">
        <v>628</v>
      </c>
      <c r="E67" s="894">
        <v>0.2</v>
      </c>
      <c r="F67" s="881">
        <v>30</v>
      </c>
    </row>
    <row r="68" spans="1:6" s="877" customFormat="1" ht="36">
      <c r="A68" s="881">
        <v>8</v>
      </c>
      <c r="B68" s="3342"/>
      <c r="C68" s="817" t="s">
        <v>629</v>
      </c>
      <c r="D68" s="817" t="s">
        <v>630</v>
      </c>
      <c r="E68" s="894">
        <v>0.2</v>
      </c>
      <c r="F68" s="881">
        <v>30</v>
      </c>
    </row>
    <row r="69" spans="1:6" s="877" customFormat="1" ht="36">
      <c r="A69" s="881">
        <v>9</v>
      </c>
      <c r="B69" s="3342"/>
      <c r="C69" s="817" t="s">
        <v>631</v>
      </c>
      <c r="D69" s="817" t="s">
        <v>632</v>
      </c>
      <c r="E69" s="894">
        <v>0.2</v>
      </c>
      <c r="F69" s="881">
        <v>30</v>
      </c>
    </row>
    <row r="70" spans="1:6" s="877" customFormat="1" ht="48">
      <c r="A70" s="881">
        <v>10</v>
      </c>
      <c r="B70" s="3342"/>
      <c r="C70" s="817" t="s">
        <v>633</v>
      </c>
      <c r="D70" s="817" t="s">
        <v>634</v>
      </c>
      <c r="E70" s="894">
        <v>0.2</v>
      </c>
      <c r="F70" s="881">
        <v>30</v>
      </c>
    </row>
    <row r="71" spans="1:6" s="877" customFormat="1" ht="48">
      <c r="A71" s="881">
        <v>11</v>
      </c>
      <c r="B71" s="3342"/>
      <c r="C71" s="817" t="s">
        <v>635</v>
      </c>
      <c r="D71" s="817" t="s">
        <v>636</v>
      </c>
      <c r="E71" s="894">
        <v>0.2</v>
      </c>
      <c r="F71" s="881">
        <v>30</v>
      </c>
    </row>
    <row r="72" spans="1:6" s="877" customFormat="1" ht="36">
      <c r="A72" s="881">
        <v>12</v>
      </c>
      <c r="B72" s="3342"/>
      <c r="C72" s="817" t="s">
        <v>637</v>
      </c>
      <c r="D72" s="817" t="s">
        <v>638</v>
      </c>
      <c r="E72" s="894">
        <v>0.5</v>
      </c>
      <c r="F72" s="881">
        <v>80</v>
      </c>
    </row>
    <row r="73" spans="1:6" s="877" customFormat="1" ht="24">
      <c r="A73" s="881">
        <v>13</v>
      </c>
      <c r="B73" s="3342"/>
      <c r="C73" s="817" t="s">
        <v>639</v>
      </c>
      <c r="D73" s="817" t="s">
        <v>640</v>
      </c>
      <c r="E73" s="894">
        <v>0.4</v>
      </c>
      <c r="F73" s="881">
        <v>60</v>
      </c>
    </row>
    <row r="74" spans="1:6" s="877" customFormat="1" ht="24">
      <c r="A74" s="881">
        <v>14</v>
      </c>
      <c r="B74" s="3342"/>
      <c r="C74" s="817" t="s">
        <v>641</v>
      </c>
      <c r="D74" s="817" t="s">
        <v>642</v>
      </c>
      <c r="E74" s="894">
        <v>0.2</v>
      </c>
      <c r="F74" s="881">
        <v>30</v>
      </c>
    </row>
    <row r="75" spans="1:6" s="877" customFormat="1" ht="24">
      <c r="A75" s="881">
        <v>15</v>
      </c>
      <c r="B75" s="3342"/>
      <c r="C75" s="817" t="s">
        <v>643</v>
      </c>
      <c r="D75" s="817" t="s">
        <v>644</v>
      </c>
      <c r="E75" s="894">
        <v>0.2</v>
      </c>
      <c r="F75" s="881">
        <v>30</v>
      </c>
    </row>
    <row r="76" spans="1:6" s="877" customFormat="1" ht="24">
      <c r="A76" s="881">
        <v>16</v>
      </c>
      <c r="B76" s="3342" t="s">
        <v>645</v>
      </c>
      <c r="C76" s="817" t="s">
        <v>646</v>
      </c>
      <c r="D76" s="817" t="s">
        <v>647</v>
      </c>
      <c r="E76" s="894">
        <v>0.5</v>
      </c>
      <c r="F76" s="881">
        <v>80</v>
      </c>
    </row>
    <row r="77" spans="1:6" s="877" customFormat="1" ht="24">
      <c r="A77" s="881">
        <v>17</v>
      </c>
      <c r="B77" s="3342"/>
      <c r="C77" s="817" t="s">
        <v>648</v>
      </c>
      <c r="D77" s="817" t="s">
        <v>649</v>
      </c>
      <c r="E77" s="894">
        <v>0.5</v>
      </c>
      <c r="F77" s="881">
        <v>80</v>
      </c>
    </row>
    <row r="78" spans="1:6" s="877" customFormat="1" ht="24">
      <c r="A78" s="881">
        <v>18</v>
      </c>
      <c r="B78" s="3342"/>
      <c r="C78" s="817" t="s">
        <v>650</v>
      </c>
      <c r="D78" s="817" t="s">
        <v>651</v>
      </c>
      <c r="E78" s="894">
        <v>0.2</v>
      </c>
      <c r="F78" s="881">
        <v>30</v>
      </c>
    </row>
    <row r="79" spans="1:6" s="877" customFormat="1" ht="24">
      <c r="A79" s="881">
        <v>19</v>
      </c>
      <c r="B79" s="3342"/>
      <c r="C79" s="817" t="s">
        <v>652</v>
      </c>
      <c r="D79" s="817" t="s">
        <v>653</v>
      </c>
      <c r="E79" s="894">
        <v>0.5</v>
      </c>
      <c r="F79" s="881">
        <v>80</v>
      </c>
    </row>
    <row r="80" spans="1:6" s="877" customFormat="1" ht="36">
      <c r="A80" s="881">
        <v>20</v>
      </c>
      <c r="B80" s="3342"/>
      <c r="C80" s="817" t="s">
        <v>654</v>
      </c>
      <c r="D80" s="817" t="s">
        <v>655</v>
      </c>
      <c r="E80" s="894">
        <v>0.2</v>
      </c>
      <c r="F80" s="881">
        <v>30</v>
      </c>
    </row>
    <row r="81" spans="1:6" s="877" customFormat="1" ht="36">
      <c r="A81" s="881">
        <v>21</v>
      </c>
      <c r="B81" s="3342"/>
      <c r="C81" s="817" t="s">
        <v>656</v>
      </c>
      <c r="D81" s="817" t="s">
        <v>657</v>
      </c>
      <c r="E81" s="894">
        <v>0.2</v>
      </c>
      <c r="F81" s="881">
        <v>30</v>
      </c>
    </row>
    <row r="82" spans="1:6" s="877" customFormat="1" ht="48">
      <c r="A82" s="881">
        <v>22</v>
      </c>
      <c r="B82" s="3342"/>
      <c r="C82" s="817" t="s">
        <v>658</v>
      </c>
      <c r="D82" s="817" t="s">
        <v>659</v>
      </c>
      <c r="E82" s="894">
        <v>0.2</v>
      </c>
      <c r="F82" s="881">
        <v>30</v>
      </c>
    </row>
    <row r="83" spans="1:6" s="877" customFormat="1" ht="48">
      <c r="A83" s="881">
        <v>23</v>
      </c>
      <c r="B83" s="3342"/>
      <c r="C83" s="817" t="s">
        <v>660</v>
      </c>
      <c r="D83" s="817" t="s">
        <v>661</v>
      </c>
      <c r="E83" s="894">
        <v>0.2</v>
      </c>
      <c r="F83" s="881">
        <v>30</v>
      </c>
    </row>
    <row r="84" spans="1:6" s="877" customFormat="1" ht="36">
      <c r="A84" s="881">
        <v>24</v>
      </c>
      <c r="B84" s="3342"/>
      <c r="C84" s="817" t="s">
        <v>662</v>
      </c>
      <c r="D84" s="817" t="s">
        <v>663</v>
      </c>
      <c r="E84" s="894">
        <v>0.2</v>
      </c>
      <c r="F84" s="881">
        <v>30</v>
      </c>
    </row>
    <row r="85" spans="1:6" s="877" customFormat="1" ht="36">
      <c r="A85" s="881">
        <v>25</v>
      </c>
      <c r="B85" s="3342"/>
      <c r="C85" s="817" t="s">
        <v>664</v>
      </c>
      <c r="D85" s="817" t="s">
        <v>665</v>
      </c>
      <c r="E85" s="894">
        <v>0.5</v>
      </c>
      <c r="F85" s="881">
        <v>80</v>
      </c>
    </row>
    <row r="86" spans="1:6" s="877" customFormat="1" ht="36">
      <c r="A86" s="881">
        <v>26</v>
      </c>
      <c r="B86" s="3342"/>
      <c r="C86" s="817" t="s">
        <v>666</v>
      </c>
      <c r="D86" s="817" t="s">
        <v>667</v>
      </c>
      <c r="E86" s="894">
        <v>0.2</v>
      </c>
      <c r="F86" s="881">
        <v>30</v>
      </c>
    </row>
    <row r="87" spans="1:6" s="877" customFormat="1" ht="36">
      <c r="A87" s="881">
        <v>27</v>
      </c>
      <c r="B87" s="3342"/>
      <c r="C87" s="817" t="s">
        <v>668</v>
      </c>
      <c r="D87" s="817" t="s">
        <v>669</v>
      </c>
      <c r="E87" s="894">
        <v>0.2</v>
      </c>
      <c r="F87" s="881">
        <v>30</v>
      </c>
    </row>
    <row r="88" spans="1:6" s="877" customFormat="1" ht="36">
      <c r="A88" s="881">
        <v>28</v>
      </c>
      <c r="B88" s="3342"/>
      <c r="C88" s="817" t="s">
        <v>670</v>
      </c>
      <c r="D88" s="817" t="s">
        <v>671</v>
      </c>
      <c r="E88" s="894">
        <v>0.2</v>
      </c>
      <c r="F88" s="881">
        <v>30</v>
      </c>
    </row>
    <row r="89" spans="1:6" s="877" customFormat="1" ht="24">
      <c r="A89" s="881">
        <v>29</v>
      </c>
      <c r="B89" s="3342"/>
      <c r="C89" s="817" t="s">
        <v>672</v>
      </c>
      <c r="D89" s="817" t="s">
        <v>673</v>
      </c>
      <c r="E89" s="894">
        <v>0.2</v>
      </c>
      <c r="F89" s="881">
        <v>30</v>
      </c>
    </row>
    <row r="90" spans="1:6" s="877" customFormat="1" ht="24">
      <c r="A90" s="881">
        <v>30</v>
      </c>
      <c r="B90" s="3342"/>
      <c r="C90" s="817" t="s">
        <v>674</v>
      </c>
      <c r="D90" s="817" t="s">
        <v>675</v>
      </c>
      <c r="E90" s="894">
        <v>0.2</v>
      </c>
      <c r="F90" s="881">
        <v>30</v>
      </c>
    </row>
    <row r="91" spans="1:6" s="877" customFormat="1" ht="36">
      <c r="A91" s="881">
        <v>31</v>
      </c>
      <c r="B91" s="3342"/>
      <c r="C91" s="817" t="s">
        <v>676</v>
      </c>
      <c r="D91" s="817" t="s">
        <v>677</v>
      </c>
      <c r="E91" s="894">
        <v>0.2</v>
      </c>
      <c r="F91" s="881">
        <v>30</v>
      </c>
    </row>
    <row r="92" spans="1:6" s="877" customFormat="1" ht="24">
      <c r="A92" s="881">
        <v>32</v>
      </c>
      <c r="B92" s="3342" t="s">
        <v>678</v>
      </c>
      <c r="C92" s="881" t="s">
        <v>679</v>
      </c>
      <c r="D92" s="817" t="s">
        <v>680</v>
      </c>
      <c r="E92" s="894">
        <v>0.2</v>
      </c>
      <c r="F92" s="881">
        <v>30</v>
      </c>
    </row>
    <row r="93" spans="1:6" s="877" customFormat="1" ht="36">
      <c r="A93" s="881">
        <v>33</v>
      </c>
      <c r="B93" s="3342"/>
      <c r="C93" s="881" t="s">
        <v>681</v>
      </c>
      <c r="D93" s="817" t="s">
        <v>682</v>
      </c>
      <c r="E93" s="894">
        <v>0.2</v>
      </c>
      <c r="F93" s="881">
        <v>30</v>
      </c>
    </row>
    <row r="94" spans="1:6" s="877" customFormat="1" ht="48">
      <c r="A94" s="881">
        <v>34</v>
      </c>
      <c r="B94" s="3342"/>
      <c r="C94" s="881" t="s">
        <v>683</v>
      </c>
      <c r="D94" s="817" t="s">
        <v>684</v>
      </c>
      <c r="E94" s="894">
        <v>0.2</v>
      </c>
      <c r="F94" s="881">
        <v>30</v>
      </c>
    </row>
    <row r="95" spans="1:6" s="877" customFormat="1" ht="36">
      <c r="A95" s="881">
        <v>35</v>
      </c>
      <c r="B95" s="3342"/>
      <c r="C95" s="881" t="s">
        <v>685</v>
      </c>
      <c r="D95" s="817" t="s">
        <v>686</v>
      </c>
      <c r="E95" s="894">
        <v>0.2</v>
      </c>
      <c r="F95" s="881">
        <v>30</v>
      </c>
    </row>
    <row r="96" spans="1:6" s="877" customFormat="1" ht="48">
      <c r="A96" s="881">
        <v>36</v>
      </c>
      <c r="B96" s="3342"/>
      <c r="C96" s="817" t="s">
        <v>687</v>
      </c>
      <c r="D96" s="817" t="s">
        <v>688</v>
      </c>
      <c r="E96" s="894">
        <v>0.2</v>
      </c>
      <c r="F96" s="881">
        <v>30</v>
      </c>
    </row>
    <row r="97" spans="1:6" s="877" customFormat="1" ht="36">
      <c r="A97" s="881">
        <v>37</v>
      </c>
      <c r="B97" s="3342"/>
      <c r="C97" s="881" t="s">
        <v>689</v>
      </c>
      <c r="D97" s="817" t="s">
        <v>690</v>
      </c>
      <c r="E97" s="894">
        <v>0.2</v>
      </c>
      <c r="F97" s="881">
        <v>30</v>
      </c>
    </row>
    <row r="98" spans="1:6" s="877" customFormat="1" ht="36">
      <c r="A98" s="881">
        <v>38</v>
      </c>
      <c r="B98" s="3342"/>
      <c r="C98" s="881" t="s">
        <v>691</v>
      </c>
      <c r="D98" s="817" t="s">
        <v>692</v>
      </c>
      <c r="E98" s="894">
        <v>0.2</v>
      </c>
      <c r="F98" s="881">
        <v>30</v>
      </c>
    </row>
    <row r="99" spans="1:6" s="877" customFormat="1" ht="36">
      <c r="A99" s="881">
        <v>39</v>
      </c>
      <c r="B99" s="3342" t="s">
        <v>693</v>
      </c>
      <c r="C99" s="881" t="s">
        <v>694</v>
      </c>
      <c r="D99" s="817" t="s">
        <v>695</v>
      </c>
      <c r="E99" s="894">
        <v>0.3</v>
      </c>
      <c r="F99" s="881">
        <v>50</v>
      </c>
    </row>
    <row r="100" spans="1:6" s="877" customFormat="1" ht="24">
      <c r="A100" s="881">
        <v>40</v>
      </c>
      <c r="B100" s="3342"/>
      <c r="C100" s="881" t="s">
        <v>696</v>
      </c>
      <c r="D100" s="817" t="s">
        <v>697</v>
      </c>
      <c r="E100" s="894">
        <v>0.2</v>
      </c>
      <c r="F100" s="881">
        <v>30</v>
      </c>
    </row>
    <row r="101" spans="1:6" s="877" customFormat="1" ht="36">
      <c r="A101" s="881">
        <v>41</v>
      </c>
      <c r="B101" s="334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2" t="s">
        <v>708</v>
      </c>
      <c r="C105" s="881" t="s">
        <v>709</v>
      </c>
      <c r="D105" s="817" t="s">
        <v>710</v>
      </c>
      <c r="E105" s="894">
        <v>0.2</v>
      </c>
      <c r="F105" s="881">
        <v>30</v>
      </c>
    </row>
    <row r="106" spans="1:6" s="877" customFormat="1" ht="36">
      <c r="A106" s="881">
        <v>46</v>
      </c>
      <c r="B106" s="3342"/>
      <c r="C106" s="881" t="s">
        <v>711</v>
      </c>
      <c r="D106" s="817" t="s">
        <v>712</v>
      </c>
      <c r="E106" s="894">
        <v>0.2</v>
      </c>
      <c r="F106" s="881">
        <v>30</v>
      </c>
    </row>
    <row r="107" spans="1:6" s="877" customFormat="1" ht="36">
      <c r="A107" s="881">
        <v>47</v>
      </c>
      <c r="B107" s="3342" t="s">
        <v>713</v>
      </c>
      <c r="C107" s="881" t="s">
        <v>714</v>
      </c>
      <c r="D107" s="817" t="s">
        <v>715</v>
      </c>
      <c r="E107" s="894">
        <v>0.3</v>
      </c>
      <c r="F107" s="881">
        <v>50</v>
      </c>
    </row>
    <row r="108" spans="1:6" s="877" customFormat="1" ht="36">
      <c r="A108" s="881">
        <v>48</v>
      </c>
      <c r="B108" s="334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2" t="s">
        <v>724</v>
      </c>
      <c r="C111" s="881" t="s">
        <v>725</v>
      </c>
      <c r="D111" s="817" t="s">
        <v>726</v>
      </c>
      <c r="E111" s="894">
        <v>0.2</v>
      </c>
      <c r="F111" s="881">
        <v>30</v>
      </c>
    </row>
    <row r="112" spans="1:6" s="877" customFormat="1" ht="24">
      <c r="A112" s="881">
        <v>52</v>
      </c>
      <c r="B112" s="3342"/>
      <c r="C112" s="881" t="s">
        <v>727</v>
      </c>
      <c r="D112" s="817" t="s">
        <v>728</v>
      </c>
      <c r="E112" s="894">
        <v>0.2</v>
      </c>
      <c r="F112" s="881">
        <v>30</v>
      </c>
    </row>
    <row r="113" spans="1:6" s="877" customFormat="1" ht="24">
      <c r="A113" s="881">
        <v>53</v>
      </c>
      <c r="B113" s="334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2" t="s">
        <v>737</v>
      </c>
      <c r="C116" s="881" t="s">
        <v>738</v>
      </c>
      <c r="D116" s="817" t="s">
        <v>739</v>
      </c>
      <c r="E116" s="894">
        <v>0.2</v>
      </c>
      <c r="F116" s="881">
        <v>30</v>
      </c>
    </row>
    <row r="117" spans="1:6" ht="36">
      <c r="A117" s="881">
        <v>57</v>
      </c>
      <c r="B117" s="334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3002</v>
      </c>
    </row>
    <row r="2" spans="1:5" ht="15.75">
      <c r="A2" s="2906" t="s">
        <v>2994</v>
      </c>
      <c r="B2" s="2907">
        <f ca="1">SUMIF(B6:B13,"&lt;&gt;#ref!",B6:B13)</f>
        <v>7307</v>
      </c>
      <c r="C2" s="2906" t="s">
        <v>2995</v>
      </c>
      <c r="D2" s="2906" t="s">
        <v>2996</v>
      </c>
      <c r="E2" s="2907">
        <f ca="1">SUMIF(E6:E13,"&lt;&gt;#ref!",E6:E13)</f>
        <v>2526.41</v>
      </c>
    </row>
    <row r="3" spans="1:5" ht="15.75">
      <c r="A3" s="2906" t="s">
        <v>2997</v>
      </c>
      <c r="B3" s="2907">
        <f ca="1">ROUND(B2*10000/E2,0)</f>
        <v>28922</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f ca="1">SUMIF(INDIRECT("'"&amp;A6&amp;"'"&amp;"!A:A"),"总价",INDIRECT("'"&amp;A6&amp;"'"&amp;"!B:B"))</f>
        <v>7307</v>
      </c>
      <c r="C6" s="2906" t="s">
        <v>2995</v>
      </c>
      <c r="D6" s="2908"/>
      <c r="E6" s="2571">
        <f ca="1">SUMIF(INDIRECT("'"&amp;A6&amp;"'"&amp;"!C:C"),"建筑面积",INDIRECT("'"&amp;A6&amp;"'"&amp;"!D:D"))</f>
        <v>2526.41</v>
      </c>
    </row>
    <row r="7" spans="1:5" ht="15.75">
      <c r="A7" s="2911"/>
      <c r="B7" s="2907" t="e">
        <f ca="1">SUMIF(INDIRECT("'"&amp;A7&amp;"'"&amp;"!A:A"),"总价",INDIRECT("'"&amp;A7&amp;"'"&amp;"!B:B"))</f>
        <v>#REF!</v>
      </c>
      <c r="C7" s="2906" t="s">
        <v>2995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1" t="e">
        <f t="shared" ca="1" si="0"/>
        <v>#REF!</v>
      </c>
    </row>
    <row r="9" spans="1:5" ht="15.75">
      <c r="A9" s="2911"/>
      <c r="B9" s="2907" t="e">
        <f t="shared" ca="1" si="1"/>
        <v>#REF!</v>
      </c>
      <c r="C9" s="2906" t="s">
        <v>2995</v>
      </c>
      <c r="D9" s="2908"/>
      <c r="E9" s="2571" t="e">
        <f t="shared" ca="1" si="0"/>
        <v>#REF!</v>
      </c>
    </row>
    <row r="10" spans="1:5" ht="15.75">
      <c r="A10" s="2911"/>
      <c r="B10" s="2907" t="e">
        <f t="shared" ca="1" si="1"/>
        <v>#REF!</v>
      </c>
      <c r="C10" s="2906" t="s">
        <v>2995</v>
      </c>
      <c r="D10" s="2908"/>
      <c r="E10" s="2571" t="e">
        <f t="shared" ca="1" si="0"/>
        <v>#REF!</v>
      </c>
    </row>
    <row r="11" spans="1:5" ht="15.75">
      <c r="A11" s="2911"/>
      <c r="B11" s="2907" t="e">
        <f t="shared" ca="1" si="1"/>
        <v>#REF!</v>
      </c>
      <c r="C11" s="2906" t="s">
        <v>2995</v>
      </c>
      <c r="D11" s="2908"/>
      <c r="E11" s="2571" t="e">
        <f t="shared" ca="1" si="0"/>
        <v>#REF!</v>
      </c>
    </row>
    <row r="12" spans="1:5" ht="15.75">
      <c r="A12" s="2911"/>
      <c r="B12" s="2907" t="e">
        <f t="shared" ca="1" si="1"/>
        <v>#REF!</v>
      </c>
      <c r="C12" s="2906" t="s">
        <v>2995</v>
      </c>
      <c r="D12" s="2908"/>
      <c r="E12" s="2571" t="e">
        <f t="shared" ca="1" si="0"/>
        <v>#REF!</v>
      </c>
    </row>
    <row r="13" spans="1:5" ht="15.75">
      <c r="A13" s="2911"/>
      <c r="B13" s="2907" t="e">
        <f t="shared" ca="1" si="1"/>
        <v>#REF!</v>
      </c>
      <c r="C13" s="2906" t="s">
        <v>2995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15" sqref="I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7" customFormat="1">
      <c r="B1" s="3348" t="s">
        <v>1146</v>
      </c>
      <c r="C1" s="3348"/>
      <c r="D1" s="3348"/>
      <c r="E1" s="3348"/>
      <c r="F1" s="3348"/>
      <c r="G1" s="3344" t="s">
        <v>1147</v>
      </c>
      <c r="H1" s="3344"/>
      <c r="I1" s="3344"/>
      <c r="J1" s="3344"/>
      <c r="K1" s="3344"/>
      <c r="L1" s="3344"/>
      <c r="N1" s="3344" t="s">
        <v>1148</v>
      </c>
      <c r="O1" s="3344"/>
      <c r="P1" s="3344"/>
      <c r="Q1" s="3344"/>
      <c r="R1" s="1448"/>
      <c r="S1" s="3344" t="s">
        <v>1149</v>
      </c>
      <c r="T1" s="3344"/>
      <c r="U1" s="3344"/>
      <c r="V1" s="3344"/>
      <c r="X1" s="3343" t="s">
        <v>1150</v>
      </c>
      <c r="Y1" s="3344"/>
      <c r="Z1" s="3344"/>
      <c r="AA1" s="3344"/>
      <c r="AB1" s="3344"/>
      <c r="AD1" s="3343" t="s">
        <v>1151</v>
      </c>
      <c r="AE1" s="3344"/>
      <c r="AF1" s="3344"/>
      <c r="AG1" s="3344"/>
      <c r="AH1" s="334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0" customFormat="1" ht="14.25">
      <c r="A3" s="2929" t="s">
        <v>3036</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9"/>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5" customFormat="1" ht="14.25">
      <c r="B4" s="1456"/>
      <c r="C4" s="1456"/>
      <c r="D4" s="1457"/>
      <c r="E4" s="1457"/>
      <c r="F4" s="1456"/>
      <c r="G4" s="1458"/>
      <c r="H4" s="1459"/>
      <c r="I4" s="2917"/>
      <c r="J4" s="2917"/>
      <c r="K4" s="2917"/>
      <c r="L4" s="2917"/>
      <c r="N4" s="1458"/>
      <c r="O4" s="1460"/>
      <c r="P4" s="1460"/>
      <c r="Q4" s="1460"/>
      <c r="R4" s="1460"/>
      <c r="S4" s="1458"/>
      <c r="T4" s="1460"/>
      <c r="U4" s="1460"/>
      <c r="V4" s="1460"/>
      <c r="X4" s="1461"/>
      <c r="Y4" s="1461"/>
      <c r="Z4" s="1461"/>
      <c r="AA4" s="1461"/>
      <c r="AB4" s="1461"/>
      <c r="AD4" s="1462"/>
      <c r="AE4" s="1462"/>
      <c r="AF4" s="1462"/>
      <c r="AG4" s="1462"/>
      <c r="AH4" s="1462"/>
    </row>
    <row r="5" spans="1:34" s="3010" customFormat="1">
      <c r="A5" s="3005" t="s">
        <v>3335</v>
      </c>
      <c r="B5" s="3006">
        <f t="shared" ref="B5:C10" si="2">B6*(1+N5)</f>
        <v>479.92259063878413</v>
      </c>
      <c r="C5" s="3006">
        <f t="shared" si="2"/>
        <v>350.02082268341775</v>
      </c>
      <c r="D5" s="3006">
        <f t="shared" ref="D5:D10" si="3">C5</f>
        <v>350.02082268341775</v>
      </c>
      <c r="E5" s="3006">
        <f t="shared" ref="E5:F10" si="4">E6*(1+P5)</f>
        <v>687.42265944181099</v>
      </c>
      <c r="F5" s="3006">
        <f t="shared" si="4"/>
        <v>317.63846657708956</v>
      </c>
      <c r="G5" s="3007">
        <v>2020</v>
      </c>
      <c r="H5" s="3008">
        <v>2</v>
      </c>
      <c r="I5" s="3009">
        <v>0</v>
      </c>
      <c r="J5" s="3009">
        <v>0</v>
      </c>
      <c r="K5" s="3009">
        <v>0</v>
      </c>
      <c r="L5" s="3009">
        <v>0</v>
      </c>
      <c r="N5" s="3011">
        <f t="shared" ref="N5:N10" si="5">I5/100</f>
        <v>0</v>
      </c>
      <c r="O5" s="3011">
        <f t="shared" ref="O5:O10" si="6">J5/100</f>
        <v>0</v>
      </c>
      <c r="P5" s="3011">
        <f t="shared" ref="P5:P10" si="7">K5/100</f>
        <v>0</v>
      </c>
      <c r="Q5" s="3011">
        <f t="shared" ref="Q5:Q10" si="8">L5/100</f>
        <v>0</v>
      </c>
      <c r="R5" s="3012"/>
      <c r="S5" s="3013"/>
      <c r="T5" s="3012"/>
      <c r="U5" s="3012"/>
      <c r="V5" s="3012"/>
      <c r="W5" s="3014" t="s">
        <v>3336</v>
      </c>
      <c r="X5" s="3015">
        <f>ROUND(IF([3]项目基本情况!B9="出让",SUMPRODUCT(PRODUCT(1+N5:N$29)),SUMPRODUCT(PRODUCT(1+N5:N$28))),4)</f>
        <v>1.5239</v>
      </c>
      <c r="Y5" s="3015">
        <f>ROUND(IF([3]项目基本情况!B9="出让",SUMPRODUCT(PRODUCT(1+O5:O$29)),SUMPRODUCT(PRODUCT(1+O5:O$28))),4)</f>
        <v>1.3308</v>
      </c>
      <c r="Z5" s="3015">
        <f t="shared" ref="Z5:Z10" si="9">Y5</f>
        <v>1.3308</v>
      </c>
      <c r="AA5" s="3015">
        <f>ROUND(IF([3]项目基本情况!B9="出让",SUMPRODUCT(PRODUCT(1+P5:P$29)),SUMPRODUCT(PRODUCT(1+P5:P$28))),4)</f>
        <v>1.5844</v>
      </c>
      <c r="AB5" s="3015">
        <f>ROUND(IF([3]项目基本情况!B9="出让",SUMPRODUCT(PRODUCT(1+Q5:Q$29)),SUMPRODUCT(PRODUCT(1+Q5:Q$28))),4)</f>
        <v>1.3609</v>
      </c>
      <c r="AD5" s="3016">
        <f>ROUND(AVERAGE(I5:I$29)/100,4)</f>
        <v>1.8100000000000002E-2</v>
      </c>
      <c r="AE5" s="3016">
        <f>ROUND(AVERAGE(J5:J$29)/100,4)</f>
        <v>1.23E-2</v>
      </c>
      <c r="AF5" s="3016">
        <f t="shared" ref="AF5:AF10" si="10">AE5</f>
        <v>1.23E-2</v>
      </c>
      <c r="AG5" s="3016">
        <f>ROUND(AVERAGE(K5:K$29)/100,4)</f>
        <v>1.9699999999999999E-2</v>
      </c>
      <c r="AH5" s="3016">
        <f>ROUND(AVERAGE(L5:L$29)/100,4)</f>
        <v>1.2999999999999999E-2</v>
      </c>
    </row>
    <row r="6" spans="1:34" s="3028" customFormat="1">
      <c r="A6" s="3017" t="s">
        <v>3337</v>
      </c>
      <c r="B6" s="3018">
        <f t="shared" si="2"/>
        <v>479.92259063878413</v>
      </c>
      <c r="C6" s="3018">
        <f t="shared" si="2"/>
        <v>350.02082268341775</v>
      </c>
      <c r="D6" s="3018">
        <f t="shared" si="3"/>
        <v>350.02082268341775</v>
      </c>
      <c r="E6" s="3018">
        <f t="shared" si="4"/>
        <v>687.42265944181099</v>
      </c>
      <c r="F6" s="3018">
        <f t="shared" si="4"/>
        <v>317.63846657708956</v>
      </c>
      <c r="G6" s="3007">
        <v>2020</v>
      </c>
      <c r="H6" s="3019">
        <v>1</v>
      </c>
      <c r="I6" s="3019">
        <v>0.12</v>
      </c>
      <c r="J6" s="3019">
        <v>-0.4</v>
      </c>
      <c r="K6" s="3019">
        <v>0.21</v>
      </c>
      <c r="L6" s="3020">
        <v>0.27</v>
      </c>
      <c r="M6" s="3021"/>
      <c r="N6" s="3022">
        <f t="shared" si="5"/>
        <v>1.1999999999999999E-3</v>
      </c>
      <c r="O6" s="3023">
        <f t="shared" si="6"/>
        <v>-4.0000000000000001E-3</v>
      </c>
      <c r="P6" s="3023">
        <f t="shared" si="7"/>
        <v>2.0999999999999999E-3</v>
      </c>
      <c r="Q6" s="3023">
        <f t="shared" si="8"/>
        <v>2.7000000000000001E-3</v>
      </c>
      <c r="R6" s="3024"/>
      <c r="S6" s="3022">
        <f>B6/B7-1</f>
        <v>1.2000000000000899E-3</v>
      </c>
      <c r="T6" s="3023">
        <f t="shared" ref="T6:V6" si="11">C6/C7-1</f>
        <v>-4.0000000000000036E-3</v>
      </c>
      <c r="U6" s="3023">
        <f t="shared" si="11"/>
        <v>-4.0000000000000036E-3</v>
      </c>
      <c r="V6" s="3023">
        <f t="shared" si="11"/>
        <v>2.0999999999999908E-3</v>
      </c>
      <c r="W6" s="3025"/>
      <c r="X6" s="3026">
        <f>ROUND(IF([3]项目基本情况!B9="出让",SUMPRODUCT(PRODUCT(1+N6:N$29)),SUMPRODUCT(PRODUCT(1+N6:N$28))),4)</f>
        <v>1.5239</v>
      </c>
      <c r="Y6" s="3026">
        <f>ROUND(IF([3]项目基本情况!B9="出让",SUMPRODUCT(PRODUCT(1+O6:O$29)),SUMPRODUCT(PRODUCT(1+O6:O$28))),4)</f>
        <v>1.3308</v>
      </c>
      <c r="Z6" s="3026">
        <f t="shared" si="9"/>
        <v>1.3308</v>
      </c>
      <c r="AA6" s="3026">
        <f>ROUND(IF([3]项目基本情况!B9="出让",SUMPRODUCT(PRODUCT(1+P6:P$29)),SUMPRODUCT(PRODUCT(1+P6:P$28))),4)</f>
        <v>1.5844</v>
      </c>
      <c r="AB6" s="3026">
        <f>ROUND(IF([3]项目基本情况!B9="出让",SUMPRODUCT(PRODUCT(1+Q6:Q$29)),SUMPRODUCT(PRODUCT(1+Q6:Q$28))),4)</f>
        <v>1.3609</v>
      </c>
      <c r="AC6" s="3025"/>
      <c r="AD6" s="3027">
        <f>ROUND(AVERAGE(I6:I$29)/100,4)</f>
        <v>1.8800000000000001E-2</v>
      </c>
      <c r="AE6" s="3027">
        <f>ROUND(AVERAGE(J6:J$29)/100,4)</f>
        <v>1.29E-2</v>
      </c>
      <c r="AF6" s="3027">
        <f t="shared" si="10"/>
        <v>1.29E-2</v>
      </c>
      <c r="AG6" s="3027">
        <f>ROUND(AVERAGE(K6:K$29)/100,4)</f>
        <v>2.06E-2</v>
      </c>
      <c r="AH6" s="3027">
        <f>ROUND(AVERAGE(L6:L$29)/100,4)</f>
        <v>1.3599999999999999E-2</v>
      </c>
    </row>
    <row r="7" spans="1:34" s="3028" customFormat="1">
      <c r="A7" s="3017" t="s">
        <v>3338</v>
      </c>
      <c r="B7" s="3018">
        <f t="shared" si="2"/>
        <v>479.34737379023579</v>
      </c>
      <c r="C7" s="3018">
        <f t="shared" si="2"/>
        <v>351.4265287986122</v>
      </c>
      <c r="D7" s="3018">
        <f t="shared" si="3"/>
        <v>351.4265287986122</v>
      </c>
      <c r="E7" s="3018">
        <f t="shared" si="4"/>
        <v>685.98209703803116</v>
      </c>
      <c r="F7" s="3018">
        <f t="shared" si="4"/>
        <v>316.78315206651001</v>
      </c>
      <c r="G7" s="3007">
        <v>2019</v>
      </c>
      <c r="H7" s="3019">
        <v>4</v>
      </c>
      <c r="I7" s="3019">
        <v>0.45</v>
      </c>
      <c r="J7" s="3019">
        <v>-0.12</v>
      </c>
      <c r="K7" s="3019">
        <v>0.54</v>
      </c>
      <c r="L7" s="3020">
        <v>0.48</v>
      </c>
      <c r="M7" s="3021"/>
      <c r="N7" s="3022">
        <f t="shared" si="5"/>
        <v>4.5000000000000005E-3</v>
      </c>
      <c r="O7" s="3023">
        <f t="shared" si="6"/>
        <v>-1.1999999999999999E-3</v>
      </c>
      <c r="P7" s="3023">
        <f t="shared" si="7"/>
        <v>5.4000000000000003E-3</v>
      </c>
      <c r="Q7" s="3023">
        <f t="shared" si="8"/>
        <v>4.7999999999999996E-3</v>
      </c>
      <c r="R7" s="3024"/>
      <c r="S7" s="3022"/>
      <c r="T7" s="3023"/>
      <c r="U7" s="3023"/>
      <c r="V7" s="3023"/>
      <c r="W7" s="3025"/>
      <c r="X7" s="3026">
        <f>ROUND(IF([3]项目基本情况!B9="出让",SUMPRODUCT(PRODUCT(1+N7:N$29)),SUMPRODUCT(PRODUCT(1+N7:N$28))),4)</f>
        <v>1.5221</v>
      </c>
      <c r="Y7" s="3026">
        <f>ROUND(IF([3]项目基本情况!B9="出让",SUMPRODUCT(PRODUCT(1+O7:O$29)),SUMPRODUCT(PRODUCT(1+O7:O$28))),4)</f>
        <v>1.3362000000000001</v>
      </c>
      <c r="Z7" s="3026">
        <f t="shared" si="9"/>
        <v>1.3362000000000001</v>
      </c>
      <c r="AA7" s="3026">
        <f>ROUND(IF([3]项目基本情况!B9="出让",SUMPRODUCT(PRODUCT(1+P7:P$29)),SUMPRODUCT(PRODUCT(1+P7:P$28))),4)</f>
        <v>1.5810999999999999</v>
      </c>
      <c r="AB7" s="3026">
        <f>ROUND(IF([3]项目基本情况!B9="出让",SUMPRODUCT(PRODUCT(1+Q7:Q$29)),SUMPRODUCT(PRODUCT(1+Q7:Q$28))),4)</f>
        <v>1.3572</v>
      </c>
      <c r="AC7" s="3025"/>
      <c r="AD7" s="3027">
        <f>ROUND(AVERAGE(I7:I$29)/100,4)</f>
        <v>1.9599999999999999E-2</v>
      </c>
      <c r="AE7" s="3027">
        <f>ROUND(AVERAGE(J7:J$29)/100,4)</f>
        <v>1.3599999999999999E-2</v>
      </c>
      <c r="AF7" s="3027">
        <f t="shared" si="10"/>
        <v>1.3599999999999999E-2</v>
      </c>
      <c r="AG7" s="3027">
        <f>ROUND(AVERAGE(K7:K$29)/100,4)</f>
        <v>2.1399999999999999E-2</v>
      </c>
      <c r="AH7" s="3027">
        <f>ROUND(AVERAGE(L7:L$29)/100,4)</f>
        <v>1.4E-2</v>
      </c>
    </row>
    <row r="8" spans="1:34" s="3028" customFormat="1" ht="13.5" thickBot="1">
      <c r="A8" s="3017" t="s">
        <v>3339</v>
      </c>
      <c r="B8" s="3018">
        <f t="shared" si="2"/>
        <v>477.19997390765138</v>
      </c>
      <c r="C8" s="3018">
        <f t="shared" si="2"/>
        <v>351.84874729536665</v>
      </c>
      <c r="D8" s="3018">
        <f t="shared" si="3"/>
        <v>351.84874729536665</v>
      </c>
      <c r="E8" s="3018">
        <f t="shared" si="4"/>
        <v>682.29768951465201</v>
      </c>
      <c r="F8" s="3018">
        <f t="shared" si="4"/>
        <v>315.26985675409043</v>
      </c>
      <c r="G8" s="3007">
        <v>2019</v>
      </c>
      <c r="H8" s="3019">
        <v>3</v>
      </c>
      <c r="I8" s="3019">
        <v>0.61</v>
      </c>
      <c r="J8" s="3019">
        <v>0.67</v>
      </c>
      <c r="K8" s="3019">
        <v>0.6</v>
      </c>
      <c r="L8" s="3020">
        <v>1.03</v>
      </c>
      <c r="M8" s="3021"/>
      <c r="N8" s="3022">
        <f t="shared" si="5"/>
        <v>6.0999999999999995E-3</v>
      </c>
      <c r="O8" s="3023">
        <f t="shared" si="6"/>
        <v>6.7000000000000002E-3</v>
      </c>
      <c r="P8" s="3023">
        <f t="shared" si="7"/>
        <v>6.0000000000000001E-3</v>
      </c>
      <c r="Q8" s="3023">
        <f t="shared" si="8"/>
        <v>1.03E-2</v>
      </c>
      <c r="R8" s="3024"/>
      <c r="S8" s="3022"/>
      <c r="T8" s="3023"/>
      <c r="U8" s="3023"/>
      <c r="V8" s="3023"/>
      <c r="W8" s="3025"/>
      <c r="X8" s="3026">
        <f>ROUND(IF([3]项目基本情况!B9="出让",SUMPRODUCT(PRODUCT(1+N8:N$29)),SUMPRODUCT(PRODUCT(1+N8:N$28))),4)</f>
        <v>1.5153000000000001</v>
      </c>
      <c r="Y8" s="3026">
        <f>ROUND(IF([3]项目基本情况!B9="出让",SUMPRODUCT(PRODUCT(1+O8:O$29)),SUMPRODUCT(PRODUCT(1+O8:O$28))),4)</f>
        <v>1.3378000000000001</v>
      </c>
      <c r="Z8" s="3026">
        <f t="shared" si="9"/>
        <v>1.3378000000000001</v>
      </c>
      <c r="AA8" s="3026">
        <f>ROUND(IF([3]项目基本情况!B9="出让",SUMPRODUCT(PRODUCT(1+P8:P$29)),SUMPRODUCT(PRODUCT(1+P8:P$28))),4)</f>
        <v>1.5726</v>
      </c>
      <c r="AB8" s="3026">
        <f>ROUND(IF([3]项目基本情况!B9="出让",SUMPRODUCT(PRODUCT(1+Q8:Q$29)),SUMPRODUCT(PRODUCT(1+Q8:Q$28))),4)</f>
        <v>1.3507</v>
      </c>
      <c r="AC8" s="3025"/>
      <c r="AD8" s="3027">
        <f>ROUND(AVERAGE(I8:I$29)/100,4)</f>
        <v>2.0299999999999999E-2</v>
      </c>
      <c r="AE8" s="3027">
        <f>ROUND(AVERAGE(J8:J$29)/100,4)</f>
        <v>1.43E-2</v>
      </c>
      <c r="AF8" s="3027">
        <f t="shared" si="10"/>
        <v>1.43E-2</v>
      </c>
      <c r="AG8" s="3027">
        <f>ROUND(AVERAGE(K8:K$29)/100,4)</f>
        <v>2.2100000000000002E-2</v>
      </c>
      <c r="AH8" s="3027">
        <f>ROUND(AVERAGE(L8:L$29)/100,4)</f>
        <v>1.4500000000000001E-2</v>
      </c>
    </row>
    <row r="9" spans="1:34" s="3028" customFormat="1">
      <c r="A9" s="3017" t="s">
        <v>3340</v>
      </c>
      <c r="B9" s="3018">
        <f t="shared" si="2"/>
        <v>474.30670301923408</v>
      </c>
      <c r="C9" s="3018">
        <f t="shared" si="2"/>
        <v>349.50705005996491</v>
      </c>
      <c r="D9" s="3018">
        <f t="shared" si="3"/>
        <v>349.50705005996491</v>
      </c>
      <c r="E9" s="3018">
        <f t="shared" si="4"/>
        <v>678.22831959706957</v>
      </c>
      <c r="F9" s="3018">
        <f t="shared" si="4"/>
        <v>312.0556832169558</v>
      </c>
      <c r="G9" s="3007">
        <v>2019</v>
      </c>
      <c r="H9" s="2943">
        <v>2</v>
      </c>
      <c r="I9" s="2943">
        <v>1.53</v>
      </c>
      <c r="J9" s="2943">
        <v>1.01</v>
      </c>
      <c r="K9" s="2943">
        <v>1.62</v>
      </c>
      <c r="L9" s="2944">
        <v>1.25</v>
      </c>
      <c r="M9" s="3021"/>
      <c r="N9" s="3022">
        <f t="shared" si="5"/>
        <v>1.5300000000000001E-2</v>
      </c>
      <c r="O9" s="3023">
        <f t="shared" si="6"/>
        <v>1.01E-2</v>
      </c>
      <c r="P9" s="3023">
        <f t="shared" si="7"/>
        <v>1.6200000000000003E-2</v>
      </c>
      <c r="Q9" s="3023">
        <f t="shared" si="8"/>
        <v>1.2500000000000001E-2</v>
      </c>
      <c r="R9" s="3024"/>
      <c r="S9" s="3022"/>
      <c r="T9" s="3023"/>
      <c r="U9" s="3023"/>
      <c r="V9" s="3023"/>
      <c r="W9" s="3025"/>
      <c r="X9" s="3026">
        <f>ROUND(IF([3]项目基本情况!B9="出让",SUMPRODUCT(PRODUCT(1+N9:N$29)),SUMPRODUCT(PRODUCT(1+N9:N$28))),4)</f>
        <v>1.5061</v>
      </c>
      <c r="Y9" s="3026">
        <f>ROUND(IF([3]项目基本情况!B9="出让",SUMPRODUCT(PRODUCT(1+O9:O$29)),SUMPRODUCT(PRODUCT(1+O9:O$28))),4)</f>
        <v>1.3289</v>
      </c>
      <c r="Z9" s="3026">
        <f t="shared" si="9"/>
        <v>1.3289</v>
      </c>
      <c r="AA9" s="3026">
        <f>ROUND(IF([3]项目基本情况!B9="出让",SUMPRODUCT(PRODUCT(1+P9:P$29)),SUMPRODUCT(PRODUCT(1+P9:P$28))),4)</f>
        <v>1.5632999999999999</v>
      </c>
      <c r="AB9" s="3026">
        <f>ROUND(IF([3]项目基本情况!B9="出让",SUMPRODUCT(PRODUCT(1+Q9:Q$29)),SUMPRODUCT(PRODUCT(1+Q9:Q$28))),4)</f>
        <v>1.337</v>
      </c>
      <c r="AC9" s="3025"/>
      <c r="AD9" s="3027">
        <f>ROUND(AVERAGE(I9:I$29)/100,4)</f>
        <v>2.0899999999999998E-2</v>
      </c>
      <c r="AE9" s="3027">
        <f>ROUND(AVERAGE(J9:J$29)/100,4)</f>
        <v>1.46E-2</v>
      </c>
      <c r="AF9" s="3027">
        <f t="shared" si="10"/>
        <v>1.46E-2</v>
      </c>
      <c r="AG9" s="3027">
        <f>ROUND(AVERAGE(K9:K$29)/100,4)</f>
        <v>2.29E-2</v>
      </c>
      <c r="AH9" s="3027">
        <f>ROUND(AVERAGE(L9:L$29)/100,4)</f>
        <v>1.47E-2</v>
      </c>
    </row>
    <row r="10" spans="1:34" s="3028" customFormat="1" ht="13.5" thickBot="1">
      <c r="A10" s="3017" t="s">
        <v>3341</v>
      </c>
      <c r="B10" s="3018">
        <f t="shared" si="2"/>
        <v>467.15916775261894</v>
      </c>
      <c r="C10" s="3018">
        <f t="shared" si="2"/>
        <v>346.01232557169084</v>
      </c>
      <c r="D10" s="3018">
        <f t="shared" si="3"/>
        <v>346.01232557169084</v>
      </c>
      <c r="E10" s="3018">
        <f t="shared" si="4"/>
        <v>667.41617752122568</v>
      </c>
      <c r="F10" s="3018">
        <f t="shared" si="4"/>
        <v>308.20314391798104</v>
      </c>
      <c r="G10" s="3007">
        <v>2019</v>
      </c>
      <c r="H10" s="3019">
        <v>1</v>
      </c>
      <c r="I10" s="3019">
        <v>0.6</v>
      </c>
      <c r="J10" s="3019">
        <v>0.37</v>
      </c>
      <c r="K10" s="3019">
        <v>0.63</v>
      </c>
      <c r="L10" s="3020">
        <v>1.1299999999999999</v>
      </c>
      <c r="M10" s="3021"/>
      <c r="N10" s="3022">
        <f t="shared" si="5"/>
        <v>6.0000000000000001E-3</v>
      </c>
      <c r="O10" s="3023">
        <f t="shared" si="6"/>
        <v>3.7000000000000002E-3</v>
      </c>
      <c r="P10" s="3023">
        <f t="shared" si="7"/>
        <v>6.3E-3</v>
      </c>
      <c r="Q10" s="3023">
        <f t="shared" si="8"/>
        <v>1.1299999999999999E-2</v>
      </c>
      <c r="R10" s="3024"/>
      <c r="S10" s="3022">
        <f>B10/B11-1</f>
        <v>6.0000000000000053E-3</v>
      </c>
      <c r="T10" s="3023">
        <f t="shared" ref="T10:V10" si="12">C10/C11-1</f>
        <v>3.7000000000000366E-3</v>
      </c>
      <c r="U10" s="3023">
        <f t="shared" si="12"/>
        <v>3.7000000000000366E-3</v>
      </c>
      <c r="V10" s="3023">
        <f t="shared" si="12"/>
        <v>6.2999999999999723E-3</v>
      </c>
      <c r="W10" s="3025"/>
      <c r="X10" s="3026">
        <f>ROUND(IF([3]项目基本情况!B9="出让",SUMPRODUCT(PRODUCT(1+N10:N$29)),SUMPRODUCT(PRODUCT(1+N10:N$28))),4)</f>
        <v>1.4834000000000001</v>
      </c>
      <c r="Y10" s="3026">
        <f>ROUND(IF([3]项目基本情况!B9="出让",SUMPRODUCT(PRODUCT(1+O10:O$29)),SUMPRODUCT(PRODUCT(1+O10:O$28))),4)</f>
        <v>1.3156000000000001</v>
      </c>
      <c r="Z10" s="3026">
        <f t="shared" si="9"/>
        <v>1.3156000000000001</v>
      </c>
      <c r="AA10" s="3026">
        <f>ROUND(IF([3]项目基本情况!B9="出让",SUMPRODUCT(PRODUCT(1+P10:P$29)),SUMPRODUCT(PRODUCT(1+P10:P$28))),4)</f>
        <v>1.5383</v>
      </c>
      <c r="AB10" s="3026">
        <f>ROUND(IF([3]项目基本情况!B9="出让",SUMPRODUCT(PRODUCT(1+Q10:Q$29)),SUMPRODUCT(PRODUCT(1+Q10:Q$28))),4)</f>
        <v>1.3205</v>
      </c>
      <c r="AC10" s="3025"/>
      <c r="AD10" s="3027">
        <f>ROUND(AVERAGE(I10:I$29)/100,4)</f>
        <v>2.12E-2</v>
      </c>
      <c r="AE10" s="3027">
        <f>ROUND(AVERAGE(J10:J$29)/100,4)</f>
        <v>1.49E-2</v>
      </c>
      <c r="AF10" s="3027">
        <f t="shared" si="10"/>
        <v>1.49E-2</v>
      </c>
      <c r="AG10" s="3027">
        <f>ROUND(AVERAGE(K10:K$29)/100,4)</f>
        <v>2.3199999999999998E-2</v>
      </c>
      <c r="AH10" s="3027">
        <f>ROUND(AVERAGE(L10:L$29)/100,4)</f>
        <v>1.4800000000000001E-2</v>
      </c>
    </row>
    <row r="11" spans="1:34" s="1468" customFormat="1">
      <c r="A11" s="1463" t="s">
        <v>3048</v>
      </c>
      <c r="B11" s="1477">
        <f t="shared" ref="B11" si="13">B12*(1+N11)</f>
        <v>464.37293017158942</v>
      </c>
      <c r="C11" s="1477">
        <f t="shared" ref="C11" si="14">C12*(1+O11)</f>
        <v>344.73679941385956</v>
      </c>
      <c r="D11" s="1477">
        <f t="shared" ref="D11" si="15">C11</f>
        <v>344.73679941385956</v>
      </c>
      <c r="E11" s="1477">
        <f t="shared" ref="E11" si="16">E12*(1+P11)</f>
        <v>663.2377795103107</v>
      </c>
      <c r="F11" s="1477">
        <f t="shared" ref="F11" si="17">F12*(1+Q11)</f>
        <v>304.75936311478398</v>
      </c>
      <c r="G11" s="3346">
        <v>2018</v>
      </c>
      <c r="H11" s="1466">
        <v>4</v>
      </c>
      <c r="I11" s="2943">
        <v>0.96</v>
      </c>
      <c r="J11" s="2943">
        <v>1.03</v>
      </c>
      <c r="K11" s="2943">
        <v>0.92</v>
      </c>
      <c r="L11" s="2944">
        <v>1.29</v>
      </c>
      <c r="M11" s="1471"/>
      <c r="N11" s="1472">
        <f>I11/100</f>
        <v>9.5999999999999992E-3</v>
      </c>
      <c r="O11" s="1473">
        <f t="shared" ref="O11" si="18">J11/100</f>
        <v>1.03E-2</v>
      </c>
      <c r="P11" s="1473">
        <f t="shared" ref="P11" si="19">K11/100</f>
        <v>9.1999999999999998E-3</v>
      </c>
      <c r="Q11" s="1473">
        <f t="shared" ref="Q11" si="20">L11/100</f>
        <v>1.29E-2</v>
      </c>
      <c r="R11" s="1474"/>
      <c r="S11" s="1472"/>
      <c r="T11" s="1473"/>
      <c r="U11" s="1473"/>
      <c r="V11" s="1473"/>
      <c r="W11" s="1785"/>
      <c r="X11" s="1783">
        <f>ROUND(SUMPRODUCT(PRODUCT(1+N11:N$29)),4)</f>
        <v>1.5099</v>
      </c>
      <c r="Y11" s="1783">
        <f>ROUND(SUMPRODUCT(PRODUCT(1+O11:O$29)),4)</f>
        <v>1.3372999999999999</v>
      </c>
      <c r="Z11" s="1783">
        <f t="shared" ref="Z11" si="21">Y11</f>
        <v>1.3372999999999999</v>
      </c>
      <c r="AA11" s="1783">
        <f>ROUND(SUMPRODUCT(PRODUCT(1+P11:P$29)),4)</f>
        <v>1.5683</v>
      </c>
      <c r="AB11" s="1783">
        <f>ROUND(SUMPRODUCT(PRODUCT(1+Q11:Q$29)),4)</f>
        <v>1.3255999999999999</v>
      </c>
      <c r="AC11" s="1785"/>
      <c r="AD11" s="1784">
        <f>ROUND(AVERAGE(I11:I$30)/100,4)</f>
        <v>2.24E-2</v>
      </c>
      <c r="AE11" s="1784">
        <f>ROUND(AVERAGE(J11:J$30)/100,4)</f>
        <v>1.5800000000000002E-2</v>
      </c>
      <c r="AF11" s="1784">
        <f t="shared" ref="AF11" si="22">AE11</f>
        <v>1.5800000000000002E-2</v>
      </c>
      <c r="AG11" s="1784">
        <f>ROUND(AVERAGE(K11:K$30)/100,4)</f>
        <v>2.4500000000000001E-2</v>
      </c>
      <c r="AH11" s="1784">
        <f>ROUND(AVERAGE(L11:L$30)/100,4)</f>
        <v>1.49E-2</v>
      </c>
    </row>
    <row r="12" spans="1:34" s="1468" customFormat="1">
      <c r="A12" s="1463" t="s">
        <v>3042</v>
      </c>
      <c r="B12" s="1477">
        <f t="shared" ref="B12" si="23">B13*(1+N12)</f>
        <v>459.95733971036987</v>
      </c>
      <c r="C12" s="1477">
        <f t="shared" ref="C12" si="24">C13*(1+O12)</f>
        <v>341.22221064422405</v>
      </c>
      <c r="D12" s="1477">
        <f t="shared" ref="D12" si="25">C12</f>
        <v>341.22221064422405</v>
      </c>
      <c r="E12" s="1477">
        <f t="shared" ref="E12" si="26">E13*(1+P12)</f>
        <v>657.19161663724799</v>
      </c>
      <c r="F12" s="1477">
        <f t="shared" ref="F12" si="27">F13*(1+Q12)</f>
        <v>300.87803644464805</v>
      </c>
      <c r="G12" s="3346"/>
      <c r="H12" s="1466">
        <v>3</v>
      </c>
      <c r="I12" s="1466">
        <v>1.51</v>
      </c>
      <c r="J12" s="1466">
        <v>1.41</v>
      </c>
      <c r="K12" s="1466">
        <v>1.52</v>
      </c>
      <c r="L12" s="1478">
        <v>1.74</v>
      </c>
      <c r="M12" s="1471"/>
      <c r="N12" s="1472">
        <f>I12/100</f>
        <v>1.5100000000000001E-2</v>
      </c>
      <c r="O12" s="1473">
        <f t="shared" ref="O12" si="28">J12/100</f>
        <v>1.41E-2</v>
      </c>
      <c r="P12" s="1473">
        <f t="shared" ref="P12" si="29">K12/100</f>
        <v>1.52E-2</v>
      </c>
      <c r="Q12" s="1473">
        <f t="shared" ref="Q12" si="30">L12/100</f>
        <v>1.7399999999999999E-2</v>
      </c>
      <c r="R12" s="1474"/>
      <c r="S12" s="1472"/>
      <c r="T12" s="1473"/>
      <c r="U12" s="1473"/>
      <c r="V12" s="1473"/>
      <c r="W12" s="1785"/>
      <c r="X12" s="1783">
        <f>ROUND(SUMPRODUCT(PRODUCT(1+N12:N$29)),4)</f>
        <v>1.4956</v>
      </c>
      <c r="Y12" s="1783">
        <f>ROUND(SUMPRODUCT(PRODUCT(1+O12:O$29)),4)</f>
        <v>1.3237000000000001</v>
      </c>
      <c r="Z12" s="1783">
        <f t="shared" ref="Z12" si="31">Y12</f>
        <v>1.3237000000000001</v>
      </c>
      <c r="AA12" s="1783">
        <f>ROUND(SUMPRODUCT(PRODUCT(1+P12:P$29)),4)</f>
        <v>1.554</v>
      </c>
      <c r="AB12" s="1783">
        <f>ROUND(SUMPRODUCT(PRODUCT(1+Q12:Q$29)),4)</f>
        <v>1.3087</v>
      </c>
      <c r="AC12" s="1785"/>
      <c r="AD12" s="1784">
        <f>ROUND(AVERAGE(I12:I$30)/100,4)</f>
        <v>2.3099999999999999E-2</v>
      </c>
      <c r="AE12" s="1784">
        <f>ROUND(AVERAGE(J12:J$30)/100,4)</f>
        <v>1.61E-2</v>
      </c>
      <c r="AF12" s="1784">
        <f t="shared" ref="AF12" si="32">AE12</f>
        <v>1.61E-2</v>
      </c>
      <c r="AG12" s="1784">
        <f>ROUND(AVERAGE(K12:K$30)/100,4)</f>
        <v>2.53E-2</v>
      </c>
      <c r="AH12" s="1784">
        <f>ROUND(AVERAGE(L12:L$30)/100,4)</f>
        <v>1.4999999999999999E-2</v>
      </c>
    </row>
    <row r="13" spans="1:34" s="1468" customFormat="1">
      <c r="A13" s="1463" t="s">
        <v>3041</v>
      </c>
      <c r="B13" s="1477">
        <f t="shared" ref="B13" si="33">B14*(1+N13)</f>
        <v>453.11529869999993</v>
      </c>
      <c r="C13" s="1477">
        <f t="shared" ref="C13" si="34">C14*(1+O13)</f>
        <v>336.47787264000004</v>
      </c>
      <c r="D13" s="1477">
        <f t="shared" ref="D13" si="35">C13</f>
        <v>336.47787264000004</v>
      </c>
      <c r="E13" s="1477">
        <f t="shared" ref="E13" si="36">E14*(1+P13)</f>
        <v>647.35186823999993</v>
      </c>
      <c r="F13" s="1477">
        <f t="shared" ref="F13" si="37">F14*(1+Q13)</f>
        <v>295.73229452000004</v>
      </c>
      <c r="G13" s="3346"/>
      <c r="H13" s="1466">
        <v>2</v>
      </c>
      <c r="I13" s="1466">
        <v>1.49</v>
      </c>
      <c r="J13" s="1466">
        <v>0.96</v>
      </c>
      <c r="K13" s="1466">
        <v>1.58</v>
      </c>
      <c r="L13" s="1478">
        <v>2.44</v>
      </c>
      <c r="M13" s="1471"/>
      <c r="N13" s="1472">
        <f t="shared" ref="N13" si="38">I13/100</f>
        <v>1.49E-2</v>
      </c>
      <c r="O13" s="1473">
        <f t="shared" ref="O13" si="39">J13/100</f>
        <v>9.5999999999999992E-3</v>
      </c>
      <c r="P13" s="1473">
        <f t="shared" ref="P13" si="40">K13/100</f>
        <v>1.5800000000000002E-2</v>
      </c>
      <c r="Q13" s="1473">
        <f t="shared" ref="Q13" si="41">L13/100</f>
        <v>2.4399999999999998E-2</v>
      </c>
      <c r="R13" s="1474"/>
      <c r="S13" s="1472"/>
      <c r="T13" s="1473"/>
      <c r="U13" s="1473"/>
      <c r="V13" s="1473"/>
      <c r="W13" s="1785"/>
      <c r="X13" s="1783">
        <f>ROUND(SUMPRODUCT(PRODUCT(1+N13:N$29)),4)</f>
        <v>1.4733000000000001</v>
      </c>
      <c r="Y13" s="1783">
        <f>ROUND(SUMPRODUCT(PRODUCT(1+O13:O$29)),4)</f>
        <v>1.3052999999999999</v>
      </c>
      <c r="Z13" s="1783">
        <f t="shared" ref="Z13" si="42">Y13</f>
        <v>1.3052999999999999</v>
      </c>
      <c r="AA13" s="1783">
        <f>ROUND(SUMPRODUCT(PRODUCT(1+P13:P$29)),4)</f>
        <v>1.5306999999999999</v>
      </c>
      <c r="AB13" s="1783">
        <f>ROUND(SUMPRODUCT(PRODUCT(1+Q13:Q$29)),4)</f>
        <v>1.2863</v>
      </c>
      <c r="AC13" s="1785"/>
      <c r="AD13" s="1784">
        <f>ROUND(AVERAGE(I13:I$30)/100,4)</f>
        <v>2.35E-2</v>
      </c>
      <c r="AE13" s="1784">
        <f>ROUND(AVERAGE(J13:J$30)/100,4)</f>
        <v>1.6199999999999999E-2</v>
      </c>
      <c r="AF13" s="1784">
        <f t="shared" ref="AF13" si="43">AE13</f>
        <v>1.6199999999999999E-2</v>
      </c>
      <c r="AG13" s="1784">
        <f>ROUND(AVERAGE(K13:K$30)/100,4)</f>
        <v>2.5899999999999999E-2</v>
      </c>
      <c r="AH13" s="1784">
        <f>ROUND(AVERAGE(L13:L$30)/100,4)</f>
        <v>1.49E-2</v>
      </c>
    </row>
    <row r="14" spans="1:34" s="1468" customFormat="1" ht="13.5" thickBot="1">
      <c r="A14" s="1463" t="s">
        <v>3035</v>
      </c>
      <c r="B14" s="1477">
        <f t="shared" ref="B14" si="44">B15*(1+N14)</f>
        <v>446.46299999999997</v>
      </c>
      <c r="C14" s="1477">
        <f t="shared" ref="C14" si="45">C15*(1+O14)</f>
        <v>333.27840000000003</v>
      </c>
      <c r="D14" s="1477">
        <f t="shared" ref="D14" si="46">C14</f>
        <v>333.27840000000003</v>
      </c>
      <c r="E14" s="1477">
        <f t="shared" ref="E14" si="47">E15*(1+P14)</f>
        <v>637.28279999999995</v>
      </c>
      <c r="F14" s="1477">
        <f t="shared" ref="F14" si="48">F15*(1+Q14)</f>
        <v>288.68830000000003</v>
      </c>
      <c r="G14" s="3353"/>
      <c r="H14" s="1466">
        <v>1</v>
      </c>
      <c r="I14" s="1466">
        <v>1.7</v>
      </c>
      <c r="J14" s="1466">
        <v>1.92</v>
      </c>
      <c r="K14" s="1466">
        <v>1.64</v>
      </c>
      <c r="L14" s="1478">
        <v>2.0099999999999998</v>
      </c>
      <c r="M14" s="1471"/>
      <c r="N14" s="1472">
        <f t="shared" ref="N14:N19" si="49">I14/100</f>
        <v>1.7000000000000001E-2</v>
      </c>
      <c r="O14" s="1473">
        <f t="shared" ref="O14" si="50">J14/100</f>
        <v>1.9199999999999998E-2</v>
      </c>
      <c r="P14" s="1473">
        <f t="shared" ref="P14" si="51">K14/100</f>
        <v>1.6399999999999998E-2</v>
      </c>
      <c r="Q14" s="1473">
        <f t="shared" ref="Q14" si="52">L14/100</f>
        <v>2.0099999999999996E-2</v>
      </c>
      <c r="R14" s="1474"/>
      <c r="S14" s="1472">
        <f>B14/B15-1</f>
        <v>1.6999999999999904E-2</v>
      </c>
      <c r="T14" s="1473">
        <f t="shared" ref="T14" si="53">C14/C15-1</f>
        <v>1.9200000000000106E-2</v>
      </c>
      <c r="U14" s="1473">
        <f t="shared" ref="U14" si="54">D14/D15-1</f>
        <v>1.9200000000000106E-2</v>
      </c>
      <c r="V14" s="1473">
        <f t="shared" ref="V14" si="55">E14/E15-1</f>
        <v>1.639999999999997E-2</v>
      </c>
      <c r="W14" s="1785"/>
      <c r="X14" s="1783">
        <f>ROUND(SUMPRODUCT(PRODUCT(1+N14:N$29)),4)</f>
        <v>1.4517</v>
      </c>
      <c r="Y14" s="1783">
        <f>ROUND(SUMPRODUCT(PRODUCT(1+O14:O$29)),4)</f>
        <v>1.2928999999999999</v>
      </c>
      <c r="Z14" s="1783">
        <f t="shared" ref="Z14" si="56">Y14</f>
        <v>1.2928999999999999</v>
      </c>
      <c r="AA14" s="1783">
        <f>ROUND(SUMPRODUCT(PRODUCT(1+P14:P$29)),4)</f>
        <v>1.5068999999999999</v>
      </c>
      <c r="AB14" s="1783">
        <f>ROUND(SUMPRODUCT(PRODUCT(1+Q14:Q$29)),4)</f>
        <v>1.2557</v>
      </c>
      <c r="AC14" s="1785"/>
      <c r="AD14" s="1784">
        <f>ROUND(AVERAGE(I14:I$30)/100,4)</f>
        <v>2.4E-2</v>
      </c>
      <c r="AE14" s="1784">
        <f>ROUND(AVERAGE(J14:J$30)/100,4)</f>
        <v>1.66E-2</v>
      </c>
      <c r="AF14" s="1784">
        <f t="shared" ref="AF14" si="57">AE14</f>
        <v>1.66E-2</v>
      </c>
      <c r="AG14" s="1784">
        <f>ROUND(AVERAGE(K14:K$30)/100,4)</f>
        <v>2.6499999999999999E-2</v>
      </c>
      <c r="AH14" s="1784">
        <f>ROUND(AVERAGE(L14:L$30)/100,4)</f>
        <v>1.43E-2</v>
      </c>
    </row>
    <row r="15" spans="1:34">
      <c r="A15" s="1463" t="s">
        <v>3032</v>
      </c>
      <c r="B15" s="1469">
        <v>439</v>
      </c>
      <c r="C15" s="1469">
        <v>327</v>
      </c>
      <c r="D15" s="1469">
        <f>C15</f>
        <v>327</v>
      </c>
      <c r="E15" s="1469">
        <v>627</v>
      </c>
      <c r="F15" s="1470">
        <v>283</v>
      </c>
      <c r="G15" s="3349">
        <v>2017</v>
      </c>
      <c r="H15" s="1464">
        <v>4</v>
      </c>
      <c r="I15" s="1464">
        <v>1.71</v>
      </c>
      <c r="J15" s="1464">
        <v>1.78</v>
      </c>
      <c r="K15" s="1464">
        <v>1.71</v>
      </c>
      <c r="L15" s="1465">
        <v>1.43</v>
      </c>
      <c r="N15" s="1472">
        <f t="shared" si="49"/>
        <v>1.7100000000000001E-2</v>
      </c>
      <c r="O15" s="1473">
        <f t="shared" ref="O15" si="58">J15/100</f>
        <v>1.78E-2</v>
      </c>
      <c r="P15" s="1473">
        <f t="shared" ref="P15" si="59">K15/100</f>
        <v>1.7100000000000001E-2</v>
      </c>
      <c r="Q15" s="1473">
        <f t="shared" ref="Q15" si="60">L15/100</f>
        <v>1.43E-2</v>
      </c>
      <c r="R15" s="1474"/>
      <c r="S15" s="1475"/>
      <c r="T15" s="1476"/>
      <c r="U15" s="1476"/>
      <c r="V15" s="1476"/>
      <c r="X15" s="1461">
        <f>ROUND(SUMPRODUCT(PRODUCT(1+N15:N$29)),4)</f>
        <v>1.4274</v>
      </c>
      <c r="Y15" s="1461">
        <f>ROUND(SUMPRODUCT(PRODUCT(1+O15:O$29)),4)</f>
        <v>1.2685</v>
      </c>
      <c r="Z15" s="1461">
        <f t="shared" si="0"/>
        <v>1.2685</v>
      </c>
      <c r="AA15" s="1461">
        <f>ROUND(SUMPRODUCT(PRODUCT(1+P15:P$29)),4)</f>
        <v>1.4825999999999999</v>
      </c>
      <c r="AB15" s="1461">
        <f>ROUND(SUMPRODUCT(PRODUCT(1+Q15:Q$29)),4)</f>
        <v>1.2309000000000001</v>
      </c>
      <c r="AD15" s="1462">
        <f>ROUND(AVERAGE(I15:I$30)/100,4)</f>
        <v>2.4500000000000001E-2</v>
      </c>
      <c r="AE15" s="1462">
        <f>ROUND(AVERAGE(J15:J$30)/100,4)</f>
        <v>1.6500000000000001E-2</v>
      </c>
      <c r="AF15" s="1462">
        <f t="shared" si="1"/>
        <v>1.6500000000000001E-2</v>
      </c>
      <c r="AG15" s="1462">
        <f>ROUND(AVERAGE(K15:K$30)/100,4)</f>
        <v>2.7099999999999999E-2</v>
      </c>
      <c r="AH15" s="1462">
        <f>ROUND(AVERAGE(L15:L$30)/100,4)</f>
        <v>1.3899999999999999E-2</v>
      </c>
    </row>
    <row r="16" spans="1:34" s="1468" customFormat="1" ht="14.45" customHeight="1">
      <c r="A16" s="1463" t="s">
        <v>3033</v>
      </c>
      <c r="B16" s="1477">
        <f t="shared" ref="B16:B17" si="61">B17*(1+N16)</f>
        <v>431.80730811680002</v>
      </c>
      <c r="C16" s="1477">
        <f t="shared" ref="C16:C17" si="62">C17*(1+O16)</f>
        <v>320.57880516480003</v>
      </c>
      <c r="D16" s="1477">
        <f t="shared" ref="D16:D17" si="63">C16</f>
        <v>320.57880516480003</v>
      </c>
      <c r="E16" s="1477">
        <f t="shared" ref="E16:E17" si="64">E17*(1+P16)</f>
        <v>615.96110553196797</v>
      </c>
      <c r="F16" s="1477">
        <f t="shared" ref="F16:F17" si="65">F17*(1+Q16)</f>
        <v>279.46777300108801</v>
      </c>
      <c r="G16" s="3346"/>
      <c r="H16" s="1466">
        <v>3</v>
      </c>
      <c r="I16" s="1466">
        <v>2.98</v>
      </c>
      <c r="J16" s="1466">
        <v>2.11</v>
      </c>
      <c r="K16" s="1466">
        <v>3.24</v>
      </c>
      <c r="L16" s="1478">
        <v>1.72</v>
      </c>
      <c r="M16" s="1471"/>
      <c r="N16" s="1472">
        <f t="shared" si="49"/>
        <v>2.98E-2</v>
      </c>
      <c r="O16" s="1473">
        <f t="shared" ref="O16" si="66">J16/100</f>
        <v>2.1099999999999997E-2</v>
      </c>
      <c r="P16" s="1473">
        <f t="shared" ref="P16" si="67">K16/100</f>
        <v>3.2400000000000005E-2</v>
      </c>
      <c r="Q16" s="1473">
        <f t="shared" ref="Q16" si="68">L16/100</f>
        <v>1.72E-2</v>
      </c>
      <c r="R16" s="1474"/>
      <c r="S16" s="1472"/>
      <c r="T16" s="1473"/>
      <c r="U16" s="1473"/>
      <c r="V16" s="1473"/>
      <c r="W16" s="1785"/>
      <c r="X16" s="1783">
        <f>ROUND(SUMPRODUCT(PRODUCT(1+N16:N$29)),4)</f>
        <v>1.4034</v>
      </c>
      <c r="Y16" s="1783">
        <f>ROUND(SUMPRODUCT(PRODUCT(1+O16:O$29)),4)</f>
        <v>1.2463</v>
      </c>
      <c r="Z16" s="1783">
        <f t="shared" si="0"/>
        <v>1.2463</v>
      </c>
      <c r="AA16" s="1783">
        <f>ROUND(SUMPRODUCT(PRODUCT(1+P16:P$29)),4)</f>
        <v>1.4577</v>
      </c>
      <c r="AB16" s="1783">
        <f>ROUND(SUMPRODUCT(PRODUCT(1+Q16:Q$29)),4)</f>
        <v>1.2136</v>
      </c>
      <c r="AC16" s="1785"/>
      <c r="AD16" s="1784">
        <f>ROUND(AVERAGE(I16:I$30)/100,4)</f>
        <v>2.4899999999999999E-2</v>
      </c>
      <c r="AE16" s="1784">
        <f>ROUND(AVERAGE(J16:J$30)/100,4)</f>
        <v>1.6400000000000001E-2</v>
      </c>
      <c r="AF16" s="1784">
        <f t="shared" si="1"/>
        <v>1.6400000000000001E-2</v>
      </c>
      <c r="AG16" s="1784">
        <f>ROUND(AVERAGE(K16:K$30)/100,4)</f>
        <v>2.7799999999999998E-2</v>
      </c>
      <c r="AH16" s="1784">
        <f>ROUND(AVERAGE(L16:L$30)/100,4)</f>
        <v>1.3899999999999999E-2</v>
      </c>
    </row>
    <row r="17" spans="1:34" s="1728" customFormat="1" ht="14.45" customHeight="1">
      <c r="A17" s="1463" t="s">
        <v>1382</v>
      </c>
      <c r="B17" s="1477">
        <f t="shared" si="61"/>
        <v>419.31181600000002</v>
      </c>
      <c r="C17" s="1477">
        <f t="shared" si="62"/>
        <v>313.95436800000004</v>
      </c>
      <c r="D17" s="1477">
        <f t="shared" si="63"/>
        <v>313.95436800000004</v>
      </c>
      <c r="E17" s="1477">
        <f t="shared" si="64"/>
        <v>596.63028431999999</v>
      </c>
      <c r="F17" s="1477">
        <f t="shared" si="65"/>
        <v>274.74220703999998</v>
      </c>
      <c r="G17" s="3346"/>
      <c r="H17" s="1467">
        <v>2</v>
      </c>
      <c r="I17" s="1467">
        <v>3.4</v>
      </c>
      <c r="J17" s="1467">
        <v>2</v>
      </c>
      <c r="K17" s="1467">
        <v>3.82</v>
      </c>
      <c r="L17" s="1479">
        <v>1.68</v>
      </c>
      <c r="M17" s="1471"/>
      <c r="N17" s="1472">
        <f t="shared" si="49"/>
        <v>3.4000000000000002E-2</v>
      </c>
      <c r="O17" s="1473">
        <f t="shared" ref="O17" si="69">J17/100</f>
        <v>0.02</v>
      </c>
      <c r="P17" s="1473">
        <f t="shared" ref="P17" si="70">K17/100</f>
        <v>3.8199999999999998E-2</v>
      </c>
      <c r="Q17" s="1473">
        <f t="shared" ref="Q17" si="71">L17/100</f>
        <v>1.6799999999999999E-2</v>
      </c>
      <c r="R17" s="1474"/>
      <c r="S17" s="1475"/>
      <c r="T17" s="1476"/>
      <c r="U17" s="1476"/>
      <c r="V17" s="1476"/>
      <c r="W17" s="1455"/>
      <c r="X17" s="1783">
        <f>ROUND(SUMPRODUCT(PRODUCT(1+N17:N$29)),4)</f>
        <v>1.3628</v>
      </c>
      <c r="Y17" s="1783">
        <f>ROUND(SUMPRODUCT(PRODUCT(1+O17:O$29)),4)</f>
        <v>1.2205999999999999</v>
      </c>
      <c r="Z17" s="1783">
        <f t="shared" si="0"/>
        <v>1.2205999999999999</v>
      </c>
      <c r="AA17" s="1783">
        <f>ROUND(SUMPRODUCT(PRODUCT(1+P17:P$29)),4)</f>
        <v>1.4118999999999999</v>
      </c>
      <c r="AB17" s="1783">
        <f>ROUND(SUMPRODUCT(PRODUCT(1+Q17:Q$29)),4)</f>
        <v>1.1930000000000001</v>
      </c>
      <c r="AC17" s="1455"/>
      <c r="AD17" s="1784">
        <f>ROUND(AVERAGE(I17:I$30)/100,4)</f>
        <v>2.46E-2</v>
      </c>
      <c r="AE17" s="1784">
        <f>ROUND(AVERAGE(J17:J$30)/100,4)</f>
        <v>1.6E-2</v>
      </c>
      <c r="AF17" s="1784">
        <f t="shared" si="1"/>
        <v>1.6E-2</v>
      </c>
      <c r="AG17" s="1784">
        <f>ROUND(AVERAGE(K17:K$30)/100,4)</f>
        <v>2.75E-2</v>
      </c>
      <c r="AH17" s="1784">
        <f>ROUND(AVERAGE(L17:L$30)/100,4)</f>
        <v>1.37E-2</v>
      </c>
    </row>
    <row r="18" spans="1:34" s="1468" customFormat="1" ht="15" customHeight="1" thickBot="1">
      <c r="A18" s="1463" t="s">
        <v>1157</v>
      </c>
      <c r="B18" s="1477">
        <f>B19*(1+N18)</f>
        <v>405.524</v>
      </c>
      <c r="C18" s="1477">
        <f>C19*(1+O18)</f>
        <v>307.79840000000002</v>
      </c>
      <c r="D18" s="1477">
        <f>C18</f>
        <v>307.79840000000002</v>
      </c>
      <c r="E18" s="1477">
        <f>E19*(1+P18)</f>
        <v>574.67759999999998</v>
      </c>
      <c r="F18" s="1477">
        <f>F19*(1+Q18)</f>
        <v>270.20280000000002</v>
      </c>
      <c r="G18" s="3353"/>
      <c r="H18" s="1466">
        <v>1</v>
      </c>
      <c r="I18" s="1466">
        <v>3.45</v>
      </c>
      <c r="J18" s="1466">
        <v>1.92</v>
      </c>
      <c r="K18" s="1466">
        <v>3.92</v>
      </c>
      <c r="L18" s="1478">
        <v>1.58</v>
      </c>
      <c r="M18" s="1471"/>
      <c r="N18" s="1472">
        <f t="shared" si="49"/>
        <v>3.4500000000000003E-2</v>
      </c>
      <c r="O18" s="1473">
        <f t="shared" ref="O18:Q33" si="72">J18/100</f>
        <v>1.9199999999999998E-2</v>
      </c>
      <c r="P18" s="1473">
        <f t="shared" si="72"/>
        <v>3.9199999999999999E-2</v>
      </c>
      <c r="Q18" s="1473">
        <f t="shared" si="72"/>
        <v>1.5800000000000002E-2</v>
      </c>
      <c r="R18" s="1474"/>
      <c r="S18" s="1472">
        <f>B18/B19-1</f>
        <v>3.4499999999999975E-2</v>
      </c>
      <c r="T18" s="1473">
        <f t="shared" ref="T18:V18" si="73">C18/C19-1</f>
        <v>1.9200000000000106E-2</v>
      </c>
      <c r="U18" s="1473">
        <f t="shared" si="73"/>
        <v>1.9200000000000106E-2</v>
      </c>
      <c r="V18" s="1473">
        <f t="shared" si="73"/>
        <v>3.9199999999999902E-2</v>
      </c>
      <c r="W18" s="1785"/>
      <c r="X18" s="1783">
        <f>ROUND(SUMPRODUCT(PRODUCT(1+N18:N$29)),4)</f>
        <v>1.3180000000000001</v>
      </c>
      <c r="Y18" s="1783">
        <f>ROUND(SUMPRODUCT(PRODUCT(1+O18:O$29)),4)</f>
        <v>1.1966000000000001</v>
      </c>
      <c r="Z18" s="1783">
        <f t="shared" si="0"/>
        <v>1.1966000000000001</v>
      </c>
      <c r="AA18" s="1783">
        <f>ROUND(SUMPRODUCT(PRODUCT(1+P18:P$29)),4)</f>
        <v>1.36</v>
      </c>
      <c r="AB18" s="1783">
        <f>ROUND(SUMPRODUCT(PRODUCT(1+Q18:Q$29)),4)</f>
        <v>1.1733</v>
      </c>
      <c r="AC18" s="1785"/>
      <c r="AD18" s="1784">
        <f>ROUND(AVERAGE(I18:I$30)/100,4)</f>
        <v>2.3900000000000001E-2</v>
      </c>
      <c r="AE18" s="1784">
        <f>ROUND(AVERAGE(J18:J$30)/100,4)</f>
        <v>1.5699999999999999E-2</v>
      </c>
      <c r="AF18" s="1784">
        <f t="shared" si="1"/>
        <v>1.5699999999999999E-2</v>
      </c>
      <c r="AG18" s="1784">
        <f>ROUND(AVERAGE(K18:K$30)/100,4)</f>
        <v>2.6599999999999999E-2</v>
      </c>
      <c r="AH18" s="1784">
        <f>ROUND(AVERAGE(L18:L$30)/100,4)</f>
        <v>1.34E-2</v>
      </c>
    </row>
    <row r="19" spans="1:34">
      <c r="A19" s="1463" t="s">
        <v>154</v>
      </c>
      <c r="B19" s="1469">
        <v>392</v>
      </c>
      <c r="C19" s="1469">
        <v>302</v>
      </c>
      <c r="D19" s="1469">
        <f>C19</f>
        <v>302</v>
      </c>
      <c r="E19" s="1469">
        <v>553</v>
      </c>
      <c r="F19" s="1470">
        <v>266</v>
      </c>
      <c r="G19" s="3349">
        <v>2016</v>
      </c>
      <c r="H19" s="1464">
        <v>4</v>
      </c>
      <c r="I19" s="1464">
        <v>4.5599999999999996</v>
      </c>
      <c r="J19" s="1464">
        <v>2.15</v>
      </c>
      <c r="K19" s="1464">
        <v>5.32</v>
      </c>
      <c r="L19" s="1465">
        <v>1.57</v>
      </c>
      <c r="N19" s="1472">
        <f t="shared" si="49"/>
        <v>4.5599999999999995E-2</v>
      </c>
      <c r="O19" s="1473">
        <f t="shared" si="72"/>
        <v>2.1499999999999998E-2</v>
      </c>
      <c r="P19" s="1473">
        <f t="shared" si="72"/>
        <v>5.3200000000000004E-2</v>
      </c>
      <c r="Q19" s="1473">
        <f t="shared" si="72"/>
        <v>1.5700000000000002E-2</v>
      </c>
      <c r="R19" s="1474"/>
      <c r="S19" s="1475"/>
      <c r="T19" s="1476"/>
      <c r="U19" s="1476"/>
      <c r="V19" s="1476"/>
      <c r="X19" s="1461">
        <f>ROUND(SUMPRODUCT(PRODUCT(1+N19:N$29)),4)</f>
        <v>1.274</v>
      </c>
      <c r="Y19" s="1461">
        <f>ROUND(SUMPRODUCT(PRODUCT(1+O19:O$29)),4)</f>
        <v>1.1740999999999999</v>
      </c>
      <c r="Z19" s="1461">
        <f t="shared" si="0"/>
        <v>1.1740999999999999</v>
      </c>
      <c r="AA19" s="1461">
        <f>ROUND(SUMPRODUCT(PRODUCT(1+P19:P$29)),4)</f>
        <v>1.3087</v>
      </c>
      <c r="AB19" s="1461">
        <f>ROUND(SUMPRODUCT(PRODUCT(1+Q19:Q$29)),4)</f>
        <v>1.1551</v>
      </c>
      <c r="AD19" s="1462">
        <f>ROUND(AVERAGE(I19:I$30)/100,4)</f>
        <v>2.3E-2</v>
      </c>
      <c r="AE19" s="1462">
        <f>ROUND(AVERAGE(J19:J$30)/100,4)</f>
        <v>1.55E-2</v>
      </c>
      <c r="AF19" s="1462">
        <f t="shared" si="1"/>
        <v>1.55E-2</v>
      </c>
      <c r="AG19" s="1462">
        <f>ROUND(AVERAGE(K19:K$30)/100,4)</f>
        <v>2.5600000000000001E-2</v>
      </c>
      <c r="AH19" s="1462">
        <f>ROUND(AVERAGE(L19:L$30)/100,4)</f>
        <v>1.32E-2</v>
      </c>
    </row>
    <row r="20" spans="1:34">
      <c r="A20" s="1463" t="s">
        <v>153</v>
      </c>
      <c r="B20" s="1477">
        <f t="shared" ref="B20:C22" si="74">B19/(1+N19)</f>
        <v>374.90436113236416</v>
      </c>
      <c r="C20" s="1477">
        <f t="shared" si="74"/>
        <v>295.64366128242779</v>
      </c>
      <c r="D20" s="1477">
        <f t="shared" ref="D20:D79" si="75">C20</f>
        <v>295.64366128242779</v>
      </c>
      <c r="E20" s="1477">
        <f t="shared" ref="E20:F22" si="76">E19/(1+P19)</f>
        <v>525.06646410938095</v>
      </c>
      <c r="F20" s="1477">
        <f t="shared" si="76"/>
        <v>261.88835286009646</v>
      </c>
      <c r="G20" s="3346"/>
      <c r="H20" s="1466">
        <v>3</v>
      </c>
      <c r="I20" s="1466">
        <v>4.12</v>
      </c>
      <c r="J20" s="1466">
        <v>2</v>
      </c>
      <c r="K20" s="1466">
        <v>4.79</v>
      </c>
      <c r="L20" s="1478">
        <v>1.97</v>
      </c>
      <c r="N20" s="1472">
        <f t="shared" ref="N20:Q54" si="77">I20/100</f>
        <v>4.1200000000000001E-2</v>
      </c>
      <c r="O20" s="1473">
        <f t="shared" si="72"/>
        <v>0.02</v>
      </c>
      <c r="P20" s="1473">
        <f t="shared" si="72"/>
        <v>4.7899999999999998E-2</v>
      </c>
      <c r="Q20" s="1473">
        <f t="shared" si="72"/>
        <v>1.9699999999999999E-2</v>
      </c>
      <c r="R20" s="1474"/>
      <c r="S20" s="1472"/>
      <c r="T20" s="1473"/>
      <c r="U20" s="1473"/>
      <c r="V20" s="1473"/>
      <c r="X20" s="1461">
        <f>ROUND(SUMPRODUCT(PRODUCT(1+N20:N$29)),4)</f>
        <v>1.2184999999999999</v>
      </c>
      <c r="Y20" s="1461">
        <f>ROUND(SUMPRODUCT(PRODUCT(1+O20:O$29)),4)</f>
        <v>1.1494</v>
      </c>
      <c r="Z20" s="1461">
        <f t="shared" si="0"/>
        <v>1.1494</v>
      </c>
      <c r="AA20" s="1461">
        <f>ROUND(SUMPRODUCT(PRODUCT(1+P20:P$29)),4)</f>
        <v>1.2425999999999999</v>
      </c>
      <c r="AB20" s="1461">
        <f>ROUND(SUMPRODUCT(PRODUCT(1+Q20:Q$29)),4)</f>
        <v>1.1372</v>
      </c>
      <c r="AD20" s="1462">
        <f>ROUND(AVERAGE(I20:I$30)/100,4)</f>
        <v>2.0899999999999998E-2</v>
      </c>
      <c r="AE20" s="1462">
        <f>ROUND(AVERAGE(J20:J$30)/100,4)</f>
        <v>1.49E-2</v>
      </c>
      <c r="AF20" s="1462">
        <f t="shared" si="1"/>
        <v>1.49E-2</v>
      </c>
      <c r="AG20" s="1462">
        <f>ROUND(AVERAGE(K20:K$30)/100,4)</f>
        <v>2.3099999999999999E-2</v>
      </c>
      <c r="AH20" s="1462">
        <f>ROUND(AVERAGE(L20:L$30)/100,4)</f>
        <v>1.2999999999999999E-2</v>
      </c>
    </row>
    <row r="21" spans="1:34">
      <c r="A21" s="1463" t="s">
        <v>143</v>
      </c>
      <c r="B21" s="1477">
        <f t="shared" si="74"/>
        <v>360.06949782209392</v>
      </c>
      <c r="C21" s="1477">
        <f t="shared" si="74"/>
        <v>289.84672674747821</v>
      </c>
      <c r="D21" s="1477">
        <f t="shared" si="75"/>
        <v>289.84672674747821</v>
      </c>
      <c r="E21" s="1477">
        <f t="shared" si="76"/>
        <v>501.06543001181495</v>
      </c>
      <c r="F21" s="1477">
        <f t="shared" si="76"/>
        <v>256.82882500744967</v>
      </c>
      <c r="G21" s="3346"/>
      <c r="H21" s="1467">
        <v>2</v>
      </c>
      <c r="I21" s="1467">
        <v>3.85</v>
      </c>
      <c r="J21" s="1467">
        <v>1.95</v>
      </c>
      <c r="K21" s="1467">
        <v>4.4800000000000004</v>
      </c>
      <c r="L21" s="1479">
        <v>1.41</v>
      </c>
      <c r="N21" s="1472">
        <f t="shared" si="77"/>
        <v>3.85E-2</v>
      </c>
      <c r="O21" s="1473">
        <f t="shared" si="72"/>
        <v>1.95E-2</v>
      </c>
      <c r="P21" s="1473">
        <f t="shared" si="72"/>
        <v>4.4800000000000006E-2</v>
      </c>
      <c r="Q21" s="1473">
        <f t="shared" si="72"/>
        <v>1.41E-2</v>
      </c>
      <c r="R21" s="1474"/>
      <c r="S21" s="1472"/>
      <c r="T21" s="1473"/>
      <c r="U21" s="1473"/>
      <c r="V21" s="1473"/>
      <c r="X21" s="1461">
        <f>ROUND(SUMPRODUCT(PRODUCT(1+N21:N$29)),4)</f>
        <v>1.1702999999999999</v>
      </c>
      <c r="Y21" s="1461">
        <f>ROUND(SUMPRODUCT(PRODUCT(1+O21:O$29)),4)</f>
        <v>1.1269</v>
      </c>
      <c r="Z21" s="1461">
        <f t="shared" si="0"/>
        <v>1.1269</v>
      </c>
      <c r="AA21" s="1461">
        <f>ROUND(SUMPRODUCT(PRODUCT(1+P21:P$29)),4)</f>
        <v>1.1858</v>
      </c>
      <c r="AB21" s="1461">
        <f>ROUND(SUMPRODUCT(PRODUCT(1+Q21:Q$29)),4)</f>
        <v>1.1152</v>
      </c>
      <c r="AD21" s="1462">
        <f>ROUND(AVERAGE(I21:I$30)/100,4)</f>
        <v>1.89E-2</v>
      </c>
      <c r="AE21" s="1462">
        <f>ROUND(AVERAGE(J21:J$30)/100,4)</f>
        <v>1.44E-2</v>
      </c>
      <c r="AF21" s="1462">
        <f t="shared" si="1"/>
        <v>1.44E-2</v>
      </c>
      <c r="AG21" s="1462">
        <f>ROUND(AVERAGE(K21:K$30)/100,4)</f>
        <v>2.06E-2</v>
      </c>
      <c r="AH21" s="1462">
        <f>ROUND(AVERAGE(L21:L$30)/100,4)</f>
        <v>1.23E-2</v>
      </c>
    </row>
    <row r="22" spans="1:34" ht="13.5" thickBot="1">
      <c r="A22" s="1463" t="s">
        <v>152</v>
      </c>
      <c r="B22" s="1477">
        <f t="shared" si="74"/>
        <v>346.720748986128</v>
      </c>
      <c r="C22" s="1477">
        <f t="shared" si="74"/>
        <v>284.30282172386285</v>
      </c>
      <c r="D22" s="1477">
        <f t="shared" si="75"/>
        <v>284.30282172386285</v>
      </c>
      <c r="E22" s="1477">
        <f t="shared" si="76"/>
        <v>479.58023546306947</v>
      </c>
      <c r="F22" s="1477">
        <f t="shared" si="76"/>
        <v>253.25788877571213</v>
      </c>
      <c r="G22" s="3347"/>
      <c r="H22" s="1466">
        <v>1</v>
      </c>
      <c r="I22" s="1466">
        <v>4.09</v>
      </c>
      <c r="J22" s="1466">
        <v>2.93</v>
      </c>
      <c r="K22" s="1466">
        <v>4.54</v>
      </c>
      <c r="L22" s="1478">
        <v>1.48</v>
      </c>
      <c r="N22" s="1472">
        <f t="shared" si="77"/>
        <v>4.0899999999999999E-2</v>
      </c>
      <c r="O22" s="1473">
        <f t="shared" si="72"/>
        <v>2.9300000000000003E-2</v>
      </c>
      <c r="P22" s="1473">
        <f t="shared" si="72"/>
        <v>4.5400000000000003E-2</v>
      </c>
      <c r="Q22" s="1473">
        <f t="shared" si="72"/>
        <v>1.4800000000000001E-2</v>
      </c>
      <c r="R22" s="1474"/>
      <c r="S22" s="1480">
        <f>B22/B23-1</f>
        <v>4.1203450408792808E-2</v>
      </c>
      <c r="T22" s="1481">
        <f>C22/C23-1</f>
        <v>2.6363977342465095E-2</v>
      </c>
      <c r="U22" s="1481">
        <f>E22/E23-1</f>
        <v>4.4837114298626357E-2</v>
      </c>
      <c r="V22" s="1481">
        <f>F22/F23-1</f>
        <v>1.7099954922538574E-2</v>
      </c>
      <c r="X22" s="1461">
        <f>ROUND(SUMPRODUCT(PRODUCT(1+N22:N$29)),4)</f>
        <v>1.1269</v>
      </c>
      <c r="Y22" s="1461">
        <f>ROUND(SUMPRODUCT(PRODUCT(1+O22:O$29)),4)</f>
        <v>1.1052999999999999</v>
      </c>
      <c r="Z22" s="1461">
        <f t="shared" si="0"/>
        <v>1.1052999999999999</v>
      </c>
      <c r="AA22" s="1461">
        <f>ROUND(SUMPRODUCT(PRODUCT(1+P22:P$29)),4)</f>
        <v>1.1349</v>
      </c>
      <c r="AB22" s="1461">
        <f>ROUND(SUMPRODUCT(PRODUCT(1+Q22:Q$29)),4)</f>
        <v>1.0996999999999999</v>
      </c>
      <c r="AD22" s="1462">
        <f>ROUND(AVERAGE(I22:I$30)/100,4)</f>
        <v>1.67E-2</v>
      </c>
      <c r="AE22" s="1462">
        <f>ROUND(AVERAGE(J22:J$30)/100,4)</f>
        <v>1.38E-2</v>
      </c>
      <c r="AF22" s="1462">
        <f t="shared" si="1"/>
        <v>1.38E-2</v>
      </c>
      <c r="AG22" s="1462">
        <f>ROUND(AVERAGE(K22:K$30)/100,4)</f>
        <v>1.7899999999999999E-2</v>
      </c>
      <c r="AH22" s="1462">
        <f>ROUND(AVERAGE(L22:L$30)/100,4)</f>
        <v>1.21E-2</v>
      </c>
    </row>
    <row r="23" spans="1:34" ht="13.5" thickBot="1">
      <c r="A23" s="1463" t="s">
        <v>151</v>
      </c>
      <c r="B23" s="1469">
        <v>333</v>
      </c>
      <c r="C23" s="1469">
        <v>277</v>
      </c>
      <c r="D23" s="1469">
        <f t="shared" si="75"/>
        <v>277</v>
      </c>
      <c r="E23" s="1469">
        <v>459</v>
      </c>
      <c r="F23" s="1470">
        <v>249</v>
      </c>
      <c r="G23" s="3345">
        <v>2015</v>
      </c>
      <c r="H23" s="1482">
        <v>4</v>
      </c>
      <c r="I23" s="1482">
        <v>1.63</v>
      </c>
      <c r="J23" s="1482">
        <v>1.1100000000000001</v>
      </c>
      <c r="K23" s="1482">
        <v>1.77</v>
      </c>
      <c r="L23" s="1483">
        <v>1.89</v>
      </c>
      <c r="N23" s="1484">
        <f t="shared" si="77"/>
        <v>1.6299999999999999E-2</v>
      </c>
      <c r="O23" s="1485">
        <f t="shared" si="72"/>
        <v>1.11E-2</v>
      </c>
      <c r="P23" s="1485">
        <f t="shared" si="72"/>
        <v>1.77E-2</v>
      </c>
      <c r="Q23" s="1485">
        <f t="shared" si="72"/>
        <v>1.89E-2</v>
      </c>
      <c r="R23" s="1474"/>
      <c r="X23" s="1461">
        <f>ROUND(SUMPRODUCT(PRODUCT(1+N23:N$29)),4)</f>
        <v>1.0826</v>
      </c>
      <c r="Y23" s="1461">
        <f>ROUND(SUMPRODUCT(PRODUCT(1+O23:O$29)),4)</f>
        <v>1.0738000000000001</v>
      </c>
      <c r="Z23" s="1461">
        <f t="shared" si="0"/>
        <v>1.0738000000000001</v>
      </c>
      <c r="AA23" s="1461">
        <f>ROUND(SUMPRODUCT(PRODUCT(1+P23:P$29)),4)</f>
        <v>1.0855999999999999</v>
      </c>
      <c r="AB23" s="1461">
        <f>ROUND(SUMPRODUCT(PRODUCT(1+Q23:Q$29)),4)</f>
        <v>1.0837000000000001</v>
      </c>
      <c r="AD23" s="1462">
        <f>ROUND(AVERAGE(I23:I$30)/100,4)</f>
        <v>1.37E-2</v>
      </c>
      <c r="AE23" s="1462">
        <f>ROUND(AVERAGE(J23:J$30)/100,4)</f>
        <v>1.1900000000000001E-2</v>
      </c>
      <c r="AF23" s="1462">
        <f t="shared" si="1"/>
        <v>1.1900000000000001E-2</v>
      </c>
      <c r="AG23" s="1462">
        <f>ROUND(AVERAGE(K23:K$30)/100,4)</f>
        <v>1.4500000000000001E-2</v>
      </c>
      <c r="AH23" s="1462">
        <f>ROUND(AVERAGE(L23:L$30)/100,4)</f>
        <v>1.18E-2</v>
      </c>
    </row>
    <row r="24" spans="1:34">
      <c r="A24" s="1463" t="s">
        <v>150</v>
      </c>
      <c r="B24" s="1477">
        <f t="shared" ref="B24:C26" si="78">B23/(1+N23)</f>
        <v>327.65915576109415</v>
      </c>
      <c r="C24" s="1477">
        <f t="shared" si="78"/>
        <v>273.95905449510434</v>
      </c>
      <c r="D24" s="1477">
        <f t="shared" si="75"/>
        <v>273.95905449510434</v>
      </c>
      <c r="E24" s="1477">
        <f t="shared" ref="E24:F26" si="79">E23/(1+P23)</f>
        <v>451.01699911565294</v>
      </c>
      <c r="F24" s="1477">
        <f t="shared" si="79"/>
        <v>244.38119540681129</v>
      </c>
      <c r="G24" s="3346"/>
      <c r="H24" s="1487">
        <v>3</v>
      </c>
      <c r="I24" s="1487">
        <v>1.65</v>
      </c>
      <c r="J24" s="1487">
        <v>0.92</v>
      </c>
      <c r="K24" s="1487">
        <v>1.88</v>
      </c>
      <c r="L24" s="1488">
        <v>1.26</v>
      </c>
      <c r="N24" s="1472">
        <f t="shared" si="77"/>
        <v>1.6500000000000001E-2</v>
      </c>
      <c r="O24" s="1489">
        <f t="shared" si="72"/>
        <v>9.1999999999999998E-3</v>
      </c>
      <c r="P24" s="1489">
        <f t="shared" si="72"/>
        <v>1.8799999999999997E-2</v>
      </c>
      <c r="Q24" s="1489">
        <f t="shared" si="72"/>
        <v>1.26E-2</v>
      </c>
      <c r="R24" s="1474"/>
      <c r="S24" s="1472"/>
      <c r="T24" s="1473"/>
      <c r="U24" s="1473"/>
      <c r="V24" s="1473"/>
      <c r="X24" s="1461">
        <f>ROUND(SUMPRODUCT(PRODUCT(1+N24:N$29)),4)</f>
        <v>1.0651999999999999</v>
      </c>
      <c r="Y24" s="1461">
        <f>ROUND(SUMPRODUCT(PRODUCT(1+O24:O$29)),4)</f>
        <v>1.0621</v>
      </c>
      <c r="Z24" s="1461">
        <f t="shared" si="0"/>
        <v>1.0621</v>
      </c>
      <c r="AA24" s="1461">
        <f>ROUND(SUMPRODUCT(PRODUCT(1+P24:P$29)),4)</f>
        <v>1.0668</v>
      </c>
      <c r="AB24" s="1461">
        <f>ROUND(SUMPRODUCT(PRODUCT(1+Q24:Q$29)),4)</f>
        <v>1.0636000000000001</v>
      </c>
      <c r="AD24" s="1462">
        <f>ROUND(AVERAGE(I24:I$30)/100,4)</f>
        <v>1.3299999999999999E-2</v>
      </c>
      <c r="AE24" s="1462">
        <f>ROUND(AVERAGE(J24:J$30)/100,4)</f>
        <v>1.2E-2</v>
      </c>
      <c r="AF24" s="1462">
        <f t="shared" si="1"/>
        <v>1.2E-2</v>
      </c>
      <c r="AG24" s="1462">
        <f>ROUND(AVERAGE(K24:K$30)/100,4)</f>
        <v>1.4E-2</v>
      </c>
      <c r="AH24" s="1462">
        <f>ROUND(AVERAGE(L24:L$30)/100,4)</f>
        <v>1.0800000000000001E-2</v>
      </c>
    </row>
    <row r="25" spans="1:34">
      <c r="A25" s="1463" t="s">
        <v>149</v>
      </c>
      <c r="B25" s="1477">
        <f t="shared" si="78"/>
        <v>322.34053690220776</v>
      </c>
      <c r="C25" s="1477">
        <f t="shared" si="78"/>
        <v>271.46160770422546</v>
      </c>
      <c r="D25" s="1477">
        <f t="shared" si="75"/>
        <v>271.46160770422546</v>
      </c>
      <c r="E25" s="1477">
        <f t="shared" si="79"/>
        <v>442.69434542172456</v>
      </c>
      <c r="F25" s="1477">
        <f t="shared" si="79"/>
        <v>241.34030753190925</v>
      </c>
      <c r="G25" s="3346"/>
      <c r="H25" s="1467">
        <v>2</v>
      </c>
      <c r="I25" s="1467">
        <v>0.77</v>
      </c>
      <c r="J25" s="1467">
        <v>0.69</v>
      </c>
      <c r="K25" s="1467">
        <v>0.8</v>
      </c>
      <c r="L25" s="1479">
        <v>0.88</v>
      </c>
      <c r="N25" s="1472">
        <f t="shared" si="77"/>
        <v>7.7000000000000002E-3</v>
      </c>
      <c r="O25" s="1489">
        <f t="shared" si="72"/>
        <v>6.8999999999999999E-3</v>
      </c>
      <c r="P25" s="1489">
        <f t="shared" si="72"/>
        <v>8.0000000000000002E-3</v>
      </c>
      <c r="Q25" s="1489">
        <f t="shared" si="72"/>
        <v>8.8000000000000005E-3</v>
      </c>
      <c r="R25" s="1474"/>
      <c r="S25" s="1472"/>
      <c r="T25" s="1473"/>
      <c r="U25" s="1473"/>
      <c r="V25" s="1473"/>
      <c r="X25" s="1461">
        <f>ROUND(SUMPRODUCT(PRODUCT(1+N25:N$29)),4)</f>
        <v>1.048</v>
      </c>
      <c r="Y25" s="1461">
        <f>ROUND(SUMPRODUCT(PRODUCT(1+O25:O$29)),4)</f>
        <v>1.0524</v>
      </c>
      <c r="Z25" s="1461">
        <f t="shared" si="0"/>
        <v>1.0524</v>
      </c>
      <c r="AA25" s="1461">
        <f>ROUND(SUMPRODUCT(PRODUCT(1+P25:P$29)),4)</f>
        <v>1.0470999999999999</v>
      </c>
      <c r="AB25" s="1461">
        <f>ROUND(SUMPRODUCT(PRODUCT(1+Q25:Q$29)),4)</f>
        <v>1.0504</v>
      </c>
      <c r="AD25" s="1462">
        <f>ROUND(AVERAGE(I25:I$30)/100,4)</f>
        <v>1.2800000000000001E-2</v>
      </c>
      <c r="AE25" s="1462">
        <f>ROUND(AVERAGE(J25:J$30)/100,4)</f>
        <v>1.2500000000000001E-2</v>
      </c>
      <c r="AF25" s="1462">
        <f t="shared" si="1"/>
        <v>1.2500000000000001E-2</v>
      </c>
      <c r="AG25" s="1462">
        <f>ROUND(AVERAGE(K25:K$30)/100,4)</f>
        <v>1.32E-2</v>
      </c>
      <c r="AH25" s="1462">
        <f>ROUND(AVERAGE(L25:L$30)/100,4)</f>
        <v>1.0500000000000001E-2</v>
      </c>
    </row>
    <row r="26" spans="1:34">
      <c r="A26" s="1463" t="s">
        <v>148</v>
      </c>
      <c r="B26" s="1477">
        <f t="shared" si="78"/>
        <v>319.87748030386797</v>
      </c>
      <c r="C26" s="1477">
        <f t="shared" si="78"/>
        <v>269.60135833173649</v>
      </c>
      <c r="D26" s="1477">
        <f t="shared" si="75"/>
        <v>269.60135833173649</v>
      </c>
      <c r="E26" s="1477">
        <f t="shared" si="79"/>
        <v>439.18089823583784</v>
      </c>
      <c r="F26" s="1477">
        <f t="shared" si="79"/>
        <v>239.23503918706311</v>
      </c>
      <c r="G26" s="3347"/>
      <c r="H26" s="1466">
        <v>1</v>
      </c>
      <c r="I26" s="1466">
        <v>0.51</v>
      </c>
      <c r="J26" s="1466">
        <v>0.54</v>
      </c>
      <c r="K26" s="1466">
        <v>0.48</v>
      </c>
      <c r="L26" s="1478">
        <v>0.93</v>
      </c>
      <c r="N26" s="1480">
        <f t="shared" si="77"/>
        <v>5.1000000000000004E-3</v>
      </c>
      <c r="O26" s="1481">
        <f t="shared" si="72"/>
        <v>5.4000000000000003E-3</v>
      </c>
      <c r="P26" s="1481">
        <f t="shared" si="72"/>
        <v>4.7999999999999996E-3</v>
      </c>
      <c r="Q26" s="1481">
        <f t="shared" si="72"/>
        <v>9.300000000000001E-3</v>
      </c>
      <c r="R26" s="1474"/>
      <c r="S26" s="1480">
        <f>B26/B27-1</f>
        <v>5.9040261127922822E-3</v>
      </c>
      <c r="T26" s="1481">
        <f>C26/C27-1</f>
        <v>5.9752176557332781E-3</v>
      </c>
      <c r="U26" s="1481">
        <f>E26/E27-1</f>
        <v>4.9906138119859556E-3</v>
      </c>
      <c r="V26" s="1481">
        <f>F26/F27-1</f>
        <v>9.4305450930933787E-3</v>
      </c>
      <c r="X26" s="1461">
        <f>ROUND(SUMPRODUCT(PRODUCT(1+N26:N$29)),4)</f>
        <v>1.0399</v>
      </c>
      <c r="Y26" s="1461">
        <f>ROUND(SUMPRODUCT(PRODUCT(1+O26:O$29)),4)</f>
        <v>1.0451999999999999</v>
      </c>
      <c r="Z26" s="1461">
        <f t="shared" si="0"/>
        <v>1.0451999999999999</v>
      </c>
      <c r="AA26" s="1461">
        <f>ROUND(SUMPRODUCT(PRODUCT(1+P26:P$29)),4)</f>
        <v>1.0387999999999999</v>
      </c>
      <c r="AB26" s="1461">
        <f>ROUND(SUMPRODUCT(PRODUCT(1+Q26:Q$29)),4)</f>
        <v>1.0411999999999999</v>
      </c>
      <c r="AD26" s="1462">
        <f>ROUND(AVERAGE(I26:I$30)/100,4)</f>
        <v>1.38E-2</v>
      </c>
      <c r="AE26" s="1462">
        <f>ROUND(AVERAGE(J26:J$30)/100,4)</f>
        <v>1.3599999999999999E-2</v>
      </c>
      <c r="AF26" s="1462">
        <f t="shared" si="1"/>
        <v>1.3599999999999999E-2</v>
      </c>
      <c r="AG26" s="1462">
        <f>ROUND(AVERAGE(K26:K$30)/100,4)</f>
        <v>1.4200000000000001E-2</v>
      </c>
      <c r="AH26" s="1462">
        <f>ROUND(AVERAGE(L26:L$30)/100,4)</f>
        <v>1.0800000000000001E-2</v>
      </c>
    </row>
    <row r="27" spans="1:34" ht="13.5" thickBot="1">
      <c r="A27" s="1463" t="s">
        <v>147</v>
      </c>
      <c r="B27" s="1490">
        <v>318</v>
      </c>
      <c r="C27" s="1490">
        <v>268</v>
      </c>
      <c r="D27" s="1490">
        <f t="shared" si="75"/>
        <v>268</v>
      </c>
      <c r="E27" s="1490">
        <v>437</v>
      </c>
      <c r="F27" s="1491">
        <v>237</v>
      </c>
      <c r="G27" s="3345">
        <v>2014</v>
      </c>
      <c r="H27" s="1482">
        <v>4</v>
      </c>
      <c r="I27" s="1482">
        <v>0.21</v>
      </c>
      <c r="J27" s="1482">
        <v>0.41</v>
      </c>
      <c r="K27" s="1482">
        <v>0.12</v>
      </c>
      <c r="L27" s="1483">
        <v>0.89</v>
      </c>
      <c r="N27" s="1472">
        <f t="shared" si="77"/>
        <v>2.0999999999999999E-3</v>
      </c>
      <c r="O27" s="1473">
        <f t="shared" si="72"/>
        <v>4.0999999999999995E-3</v>
      </c>
      <c r="P27" s="1473">
        <f t="shared" si="72"/>
        <v>1.1999999999999999E-3</v>
      </c>
      <c r="Q27" s="1473">
        <f t="shared" si="72"/>
        <v>8.8999999999999999E-3</v>
      </c>
      <c r="R27" s="1474"/>
      <c r="S27" s="1475"/>
      <c r="T27" s="1476"/>
      <c r="U27" s="1476"/>
      <c r="V27" s="1476"/>
      <c r="X27" s="1461">
        <f>ROUND(SUMPRODUCT(PRODUCT(1+N27:N$29)),4)</f>
        <v>1.0347</v>
      </c>
      <c r="Y27" s="1461">
        <f>ROUND(SUMPRODUCT(PRODUCT(1+O27:O$29)),4)</f>
        <v>1.0395000000000001</v>
      </c>
      <c r="Z27" s="1461">
        <f t="shared" si="0"/>
        <v>1.0395000000000001</v>
      </c>
      <c r="AA27" s="1461">
        <f>ROUND(SUMPRODUCT(PRODUCT(1+P27:P$29)),4)</f>
        <v>1.0338000000000001</v>
      </c>
      <c r="AB27" s="1461">
        <f>ROUND(SUMPRODUCT(PRODUCT(1+Q27:Q$29)),4)</f>
        <v>1.0316000000000001</v>
      </c>
      <c r="AD27" s="1462">
        <f>ROUND(AVERAGE(I27:I$30)/100,4)</f>
        <v>1.6E-2</v>
      </c>
      <c r="AE27" s="1462">
        <f>ROUND(AVERAGE(J27:J$30)/100,4)</f>
        <v>1.5599999999999999E-2</v>
      </c>
      <c r="AF27" s="1462">
        <f t="shared" si="1"/>
        <v>1.5599999999999999E-2</v>
      </c>
      <c r="AG27" s="1462">
        <f>ROUND(AVERAGE(K27:K$30)/100,4)</f>
        <v>1.66E-2</v>
      </c>
      <c r="AH27" s="1462">
        <f>ROUND(AVERAGE(L27:L$30)/100,4)</f>
        <v>1.12E-2</v>
      </c>
    </row>
    <row r="28" spans="1:34">
      <c r="A28" s="1463" t="s">
        <v>146</v>
      </c>
      <c r="B28" s="1477">
        <f t="shared" ref="B28:C30" si="80">B27/(1+N27)</f>
        <v>317.33359944117353</v>
      </c>
      <c r="C28" s="1477">
        <f t="shared" si="80"/>
        <v>266.90568668459315</v>
      </c>
      <c r="D28" s="1477">
        <f t="shared" si="75"/>
        <v>266.90568668459315</v>
      </c>
      <c r="E28" s="1477">
        <f t="shared" ref="E28:F30" si="81">E27/(1+P27)</f>
        <v>436.47622852576905</v>
      </c>
      <c r="F28" s="1477">
        <f t="shared" si="81"/>
        <v>234.90930716622066</v>
      </c>
      <c r="G28" s="3346"/>
      <c r="H28" s="1492">
        <v>3</v>
      </c>
      <c r="I28" s="1492">
        <v>0.83</v>
      </c>
      <c r="J28" s="1492">
        <v>1.47</v>
      </c>
      <c r="K28" s="1492">
        <v>0.65</v>
      </c>
      <c r="L28" s="1493">
        <v>0.72</v>
      </c>
      <c r="N28" s="1472">
        <f t="shared" si="77"/>
        <v>8.3000000000000001E-3</v>
      </c>
      <c r="O28" s="1473">
        <f t="shared" si="72"/>
        <v>1.47E-2</v>
      </c>
      <c r="P28" s="1473">
        <f t="shared" si="72"/>
        <v>6.5000000000000006E-3</v>
      </c>
      <c r="Q28" s="1473">
        <f t="shared" si="72"/>
        <v>7.1999999999999998E-3</v>
      </c>
      <c r="R28" s="1474"/>
      <c r="S28" s="1472"/>
      <c r="T28" s="1473"/>
      <c r="U28" s="1473"/>
      <c r="V28" s="1473"/>
      <c r="X28" s="1461">
        <f>ROUND(SUMPRODUCT(PRODUCT(1+N28:N$29)),4)</f>
        <v>1.0325</v>
      </c>
      <c r="Y28" s="1461">
        <f>ROUND(SUMPRODUCT(PRODUCT(1+O28:O$29)),4)</f>
        <v>1.0353000000000001</v>
      </c>
      <c r="Z28" s="1461">
        <f t="shared" ref="Z28:Z29" si="82">Y28</f>
        <v>1.0353000000000001</v>
      </c>
      <c r="AA28" s="1461">
        <f>ROUND(SUMPRODUCT(PRODUCT(1+P28:P$29)),4)</f>
        <v>1.0326</v>
      </c>
      <c r="AB28" s="1461">
        <f>ROUND(SUMPRODUCT(PRODUCT(1+Q28:Q$29)),4)</f>
        <v>1.0225</v>
      </c>
      <c r="AD28" s="1462">
        <f>ROUND(AVERAGE(I28:I$30)/100,4)</f>
        <v>2.07E-2</v>
      </c>
      <c r="AE28" s="1462">
        <f>ROUND(AVERAGE(J28:J$30)/100,4)</f>
        <v>1.95E-2</v>
      </c>
      <c r="AF28" s="1462">
        <f t="shared" si="1"/>
        <v>1.95E-2</v>
      </c>
      <c r="AG28" s="1462">
        <f>ROUND(AVERAGE(K28:K$30)/100,4)</f>
        <v>2.1700000000000001E-2</v>
      </c>
      <c r="AH28" s="1462">
        <f>ROUND(AVERAGE(L28:L$30)/100,4)</f>
        <v>1.2E-2</v>
      </c>
    </row>
    <row r="29" spans="1:34" ht="13.5" thickBot="1">
      <c r="A29" s="1463" t="s">
        <v>145</v>
      </c>
      <c r="B29" s="1477">
        <f t="shared" si="80"/>
        <v>314.72141172386546</v>
      </c>
      <c r="C29" s="1477">
        <f t="shared" si="80"/>
        <v>263.03901319069001</v>
      </c>
      <c r="D29" s="1477">
        <f t="shared" si="75"/>
        <v>263.03901319069001</v>
      </c>
      <c r="E29" s="1477">
        <f t="shared" si="81"/>
        <v>433.65745506782821</v>
      </c>
      <c r="F29" s="1477">
        <f t="shared" si="81"/>
        <v>233.23005080045735</v>
      </c>
      <c r="G29" s="3346"/>
      <c r="H29" s="1482">
        <v>2</v>
      </c>
      <c r="I29" s="1482">
        <v>2.4</v>
      </c>
      <c r="J29" s="1482">
        <v>2.0299999999999998</v>
      </c>
      <c r="K29" s="1482">
        <v>2.59</v>
      </c>
      <c r="L29" s="1483">
        <v>1.52</v>
      </c>
      <c r="N29" s="1472">
        <f t="shared" si="77"/>
        <v>2.4E-2</v>
      </c>
      <c r="O29" s="1473">
        <f t="shared" si="72"/>
        <v>2.0299999999999999E-2</v>
      </c>
      <c r="P29" s="1473">
        <f t="shared" si="72"/>
        <v>2.5899999999999999E-2</v>
      </c>
      <c r="Q29" s="1473">
        <f t="shared" si="72"/>
        <v>1.52E-2</v>
      </c>
      <c r="R29" s="1474"/>
      <c r="S29" s="1472"/>
      <c r="T29" s="1473"/>
      <c r="U29" s="1473"/>
      <c r="V29" s="1473"/>
      <c r="X29" s="1461">
        <f>1+N29</f>
        <v>1.024</v>
      </c>
      <c r="Y29" s="1461">
        <f>1+O29</f>
        <v>1.0203</v>
      </c>
      <c r="Z29" s="1461">
        <f t="shared" si="82"/>
        <v>1.0203</v>
      </c>
      <c r="AA29" s="1461">
        <f>1+P29</f>
        <v>1.0259</v>
      </c>
      <c r="AB29" s="1461">
        <f>1+Q29</f>
        <v>1.0152000000000001</v>
      </c>
      <c r="AD29" s="1462">
        <f>ROUND(AVERAGE(I29:I$30)/100,4)</f>
        <v>2.69E-2</v>
      </c>
      <c r="AE29" s="1462">
        <f>ROUND(AVERAGE(J29:J$30)/100,4)</f>
        <v>2.1899999999999999E-2</v>
      </c>
      <c r="AF29" s="1462">
        <f t="shared" ref="AF29" si="83">AE29</f>
        <v>2.1899999999999999E-2</v>
      </c>
      <c r="AG29" s="1462">
        <f>ROUND(AVERAGE(K29:K$30)/100,4)</f>
        <v>2.9399999999999999E-2</v>
      </c>
      <c r="AH29" s="1462">
        <f>ROUND(AVERAGE(L29:L$30)/100,4)</f>
        <v>1.44E-2</v>
      </c>
    </row>
    <row r="30" spans="1:34" s="1498" customFormat="1" ht="13.5" thickBot="1">
      <c r="A30" s="1494" t="s">
        <v>144</v>
      </c>
      <c r="B30" s="1495">
        <f t="shared" si="80"/>
        <v>307.34512863658733</v>
      </c>
      <c r="C30" s="1495">
        <f t="shared" si="80"/>
        <v>257.80556031626975</v>
      </c>
      <c r="D30" s="1495">
        <f t="shared" si="75"/>
        <v>257.80556031626975</v>
      </c>
      <c r="E30" s="1495">
        <f t="shared" si="81"/>
        <v>422.70928459677179</v>
      </c>
      <c r="F30" s="1495">
        <f t="shared" si="81"/>
        <v>229.73803270336617</v>
      </c>
      <c r="G30" s="3347"/>
      <c r="H30" s="1496">
        <v>1</v>
      </c>
      <c r="I30" s="1496">
        <v>2.97</v>
      </c>
      <c r="J30" s="1496">
        <v>2.34</v>
      </c>
      <c r="K30" s="1496">
        <v>3.28</v>
      </c>
      <c r="L30" s="1497">
        <v>1.36</v>
      </c>
      <c r="N30" s="1499">
        <f t="shared" si="77"/>
        <v>2.9700000000000001E-2</v>
      </c>
      <c r="O30" s="1500">
        <f t="shared" si="72"/>
        <v>2.3399999999999997E-2</v>
      </c>
      <c r="P30" s="1500">
        <f t="shared" si="72"/>
        <v>3.2799999999999996E-2</v>
      </c>
      <c r="Q30" s="1500">
        <f t="shared" si="72"/>
        <v>1.3600000000000001E-2</v>
      </c>
      <c r="R30" s="1501"/>
      <c r="S30" s="1502">
        <f>B30/B31-1</f>
        <v>2.7910129219355539E-2</v>
      </c>
      <c r="T30" s="1503">
        <f>C30/C31-1</f>
        <v>2.3037937762975247E-2</v>
      </c>
      <c r="U30" s="1503">
        <f>E30/E31-1</f>
        <v>3.3519033243940788E-2</v>
      </c>
      <c r="V30" s="1503">
        <f>F30/F31-1</f>
        <v>1.2061818076502862E-2</v>
      </c>
      <c r="W30" s="1504" t="s">
        <v>1158</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3" t="s">
        <v>1159</v>
      </c>
      <c r="B31" s="1469">
        <v>299</v>
      </c>
      <c r="C31" s="1469">
        <v>252</v>
      </c>
      <c r="D31" s="1469">
        <f t="shared" si="75"/>
        <v>252</v>
      </c>
      <c r="E31" s="1469">
        <v>409</v>
      </c>
      <c r="F31" s="1470">
        <v>227</v>
      </c>
      <c r="G31" s="3350">
        <v>2013</v>
      </c>
      <c r="H31" s="1506">
        <v>4</v>
      </c>
      <c r="I31" s="1506">
        <v>1.83</v>
      </c>
      <c r="J31" s="1506">
        <v>1.68</v>
      </c>
      <c r="K31" s="1506">
        <v>1.97</v>
      </c>
      <c r="L31" s="1507">
        <v>0.87</v>
      </c>
      <c r="N31" s="1484">
        <f t="shared" si="77"/>
        <v>1.83E-2</v>
      </c>
      <c r="O31" s="1485">
        <f t="shared" si="72"/>
        <v>1.6799999999999999E-2</v>
      </c>
      <c r="P31" s="1485">
        <f t="shared" si="72"/>
        <v>1.9699999999999999E-2</v>
      </c>
      <c r="Q31" s="1485">
        <f t="shared" si="72"/>
        <v>8.6999999999999994E-3</v>
      </c>
      <c r="R31" s="1474"/>
      <c r="S31" s="1475"/>
      <c r="T31" s="1476"/>
      <c r="U31" s="1476"/>
      <c r="V31" s="1476"/>
      <c r="X31" s="1476"/>
      <c r="Y31" s="1476"/>
      <c r="Z31" s="1476"/>
    </row>
    <row r="32" spans="1:34">
      <c r="A32" s="1463" t="s">
        <v>1160</v>
      </c>
      <c r="B32" s="1477">
        <f t="shared" ref="B32:C34" si="84">B31/(1+N31)</f>
        <v>293.62663262299913</v>
      </c>
      <c r="C32" s="1477">
        <f t="shared" si="84"/>
        <v>247.83634933123525</v>
      </c>
      <c r="D32" s="1477">
        <f t="shared" si="75"/>
        <v>247.83634933123525</v>
      </c>
      <c r="E32" s="1477">
        <f t="shared" ref="E32:F34" si="85">E31/(1+P31)</f>
        <v>401.09836226341076</v>
      </c>
      <c r="F32" s="1477">
        <f t="shared" si="85"/>
        <v>225.04213343908003</v>
      </c>
      <c r="G32" s="3351"/>
      <c r="H32" s="1487">
        <v>3</v>
      </c>
      <c r="I32" s="1487">
        <v>1.86</v>
      </c>
      <c r="J32" s="1487">
        <v>1.72</v>
      </c>
      <c r="K32" s="1487">
        <v>1.98</v>
      </c>
      <c r="L32" s="1488">
        <v>0.88</v>
      </c>
      <c r="N32" s="1472">
        <f t="shared" si="77"/>
        <v>1.8600000000000002E-2</v>
      </c>
      <c r="O32" s="1489">
        <f t="shared" si="72"/>
        <v>1.72E-2</v>
      </c>
      <c r="P32" s="1489">
        <f t="shared" si="72"/>
        <v>1.9799999999999998E-2</v>
      </c>
      <c r="Q32" s="1489">
        <f t="shared" si="72"/>
        <v>8.8000000000000005E-3</v>
      </c>
      <c r="R32" s="1474"/>
      <c r="S32" s="1472"/>
      <c r="T32" s="1473"/>
      <c r="U32" s="1473"/>
      <c r="V32" s="1473"/>
    </row>
    <row r="33" spans="1:26">
      <c r="A33" s="1463" t="s">
        <v>1161</v>
      </c>
      <c r="B33" s="1477">
        <f t="shared" si="84"/>
        <v>288.2649053828776</v>
      </c>
      <c r="C33" s="1477">
        <f t="shared" si="84"/>
        <v>243.64564425013293</v>
      </c>
      <c r="D33" s="1477">
        <f t="shared" si="75"/>
        <v>243.64564425013293</v>
      </c>
      <c r="E33" s="1477">
        <f t="shared" si="85"/>
        <v>393.31080825986544</v>
      </c>
      <c r="F33" s="1477">
        <f t="shared" si="85"/>
        <v>223.07903790551154</v>
      </c>
      <c r="G33" s="3351"/>
      <c r="H33" s="1467">
        <v>2</v>
      </c>
      <c r="I33" s="1467">
        <v>2.04</v>
      </c>
      <c r="J33" s="1467">
        <v>2.33</v>
      </c>
      <c r="K33" s="1467">
        <v>2.0699999999999998</v>
      </c>
      <c r="L33" s="1479">
        <v>0.69</v>
      </c>
      <c r="N33" s="1472">
        <f t="shared" si="77"/>
        <v>2.0400000000000001E-2</v>
      </c>
      <c r="O33" s="1489">
        <f t="shared" si="72"/>
        <v>2.3300000000000001E-2</v>
      </c>
      <c r="P33" s="1489">
        <f t="shared" si="72"/>
        <v>2.07E-2</v>
      </c>
      <c r="Q33" s="1489">
        <f t="shared" si="72"/>
        <v>6.8999999999999999E-3</v>
      </c>
      <c r="R33" s="1474"/>
      <c r="S33" s="1472"/>
      <c r="T33" s="1473"/>
      <c r="U33" s="1473"/>
      <c r="V33" s="1473"/>
      <c r="X33" s="1508"/>
      <c r="Y33" s="1509"/>
    </row>
    <row r="34" spans="1:26">
      <c r="A34" s="1463" t="s">
        <v>1162</v>
      </c>
      <c r="B34" s="1477">
        <f t="shared" si="84"/>
        <v>282.50186729015837</v>
      </c>
      <c r="C34" s="1477">
        <f t="shared" si="84"/>
        <v>238.09796174155468</v>
      </c>
      <c r="D34" s="1477">
        <f t="shared" si="75"/>
        <v>238.09796174155468</v>
      </c>
      <c r="E34" s="1477">
        <f t="shared" si="85"/>
        <v>385.33438646014054</v>
      </c>
      <c r="F34" s="1477">
        <f t="shared" si="85"/>
        <v>221.55034055567739</v>
      </c>
      <c r="G34" s="3352"/>
      <c r="H34" s="1466">
        <v>1</v>
      </c>
      <c r="I34" s="1466">
        <v>1.67</v>
      </c>
      <c r="J34" s="1466">
        <v>1.31</v>
      </c>
      <c r="K34" s="1466">
        <v>1.85</v>
      </c>
      <c r="L34" s="1478">
        <v>0.96</v>
      </c>
      <c r="N34" s="1480">
        <f t="shared" si="77"/>
        <v>1.67E-2</v>
      </c>
      <c r="O34" s="1481">
        <f t="shared" si="77"/>
        <v>1.3100000000000001E-2</v>
      </c>
      <c r="P34" s="1481">
        <f t="shared" si="77"/>
        <v>1.8500000000000003E-2</v>
      </c>
      <c r="Q34" s="1481">
        <f t="shared" si="77"/>
        <v>9.5999999999999992E-3</v>
      </c>
      <c r="R34" s="1474"/>
      <c r="S34" s="1480">
        <f>B34/B35-1</f>
        <v>1.6193767230785472E-2</v>
      </c>
      <c r="T34" s="1481">
        <f>C34/C35-1</f>
        <v>1.7512657015190891E-2</v>
      </c>
      <c r="U34" s="1481">
        <f>E34/E35-1</f>
        <v>1.6713420739157048E-2</v>
      </c>
      <c r="V34" s="1481">
        <f>F34/F35-1</f>
        <v>7.0470025258062563E-3</v>
      </c>
      <c r="X34" s="1510"/>
      <c r="Y34" s="1462"/>
      <c r="Z34" s="1462"/>
    </row>
    <row r="35" spans="1:26" ht="13.5" thickBot="1">
      <c r="A35" s="1463" t="s">
        <v>1163</v>
      </c>
      <c r="B35" s="1511">
        <v>278</v>
      </c>
      <c r="C35" s="1511">
        <v>234</v>
      </c>
      <c r="D35" s="1511">
        <f t="shared" si="75"/>
        <v>234</v>
      </c>
      <c r="E35" s="1511">
        <v>379</v>
      </c>
      <c r="F35" s="1512">
        <v>220</v>
      </c>
      <c r="G35" s="3345">
        <v>2012</v>
      </c>
      <c r="H35" s="1482">
        <v>4</v>
      </c>
      <c r="I35" s="1482">
        <v>0.91</v>
      </c>
      <c r="J35" s="1482">
        <v>0.68</v>
      </c>
      <c r="K35" s="1482">
        <v>0.98</v>
      </c>
      <c r="L35" s="1483">
        <v>0.9</v>
      </c>
      <c r="N35" s="1472">
        <f t="shared" si="77"/>
        <v>9.1000000000000004E-3</v>
      </c>
      <c r="O35" s="1473">
        <f t="shared" si="77"/>
        <v>6.8000000000000005E-3</v>
      </c>
      <c r="P35" s="1473">
        <f t="shared" si="77"/>
        <v>9.7999999999999997E-3</v>
      </c>
      <c r="Q35" s="1473">
        <f t="shared" si="77"/>
        <v>9.0000000000000011E-3</v>
      </c>
      <c r="R35" s="1474"/>
      <c r="S35" s="1475"/>
      <c r="T35" s="1476"/>
      <c r="U35" s="1476"/>
      <c r="V35" s="1476"/>
      <c r="X35" s="1476"/>
      <c r="Y35" s="1476"/>
      <c r="Z35" s="1476"/>
    </row>
    <row r="36" spans="1:26">
      <c r="A36" s="1463" t="s">
        <v>1164</v>
      </c>
      <c r="B36" s="1477">
        <f>B35/(1+N35)</f>
        <v>275.49301357645425</v>
      </c>
      <c r="C36" s="1477">
        <f>C35/(1+O35)</f>
        <v>232.41954707985698</v>
      </c>
      <c r="D36" s="1477">
        <f t="shared" si="75"/>
        <v>232.41954707985698</v>
      </c>
      <c r="E36" s="1477">
        <f t="shared" ref="E36:F38" si="86">E35/(1+P35)</f>
        <v>375.32184591008121</v>
      </c>
      <c r="F36" s="1477">
        <f t="shared" si="86"/>
        <v>218.03766105054513</v>
      </c>
      <c r="G36" s="3346"/>
      <c r="H36" s="1487">
        <v>3</v>
      </c>
      <c r="I36" s="1487">
        <v>0.09</v>
      </c>
      <c r="J36" s="1487">
        <v>0.28999999999999998</v>
      </c>
      <c r="K36" s="1487">
        <v>-0.01</v>
      </c>
      <c r="L36" s="1488">
        <v>0.57999999999999996</v>
      </c>
      <c r="N36" s="1472">
        <f t="shared" si="77"/>
        <v>8.9999999999999998E-4</v>
      </c>
      <c r="O36" s="1473">
        <f t="shared" si="77"/>
        <v>2.8999999999999998E-3</v>
      </c>
      <c r="P36" s="1473">
        <f t="shared" si="77"/>
        <v>-1E-4</v>
      </c>
      <c r="Q36" s="1473">
        <f t="shared" si="77"/>
        <v>5.7999999999999996E-3</v>
      </c>
      <c r="R36" s="1474"/>
      <c r="S36" s="1472"/>
      <c r="T36" s="1473"/>
      <c r="U36" s="1473"/>
      <c r="V36" s="1473"/>
    </row>
    <row r="37" spans="1:26">
      <c r="A37" s="1463" t="s">
        <v>1165</v>
      </c>
      <c r="B37" s="1477">
        <f>B36/(1+N36)</f>
        <v>275.24529281292263</v>
      </c>
      <c r="C37" s="1477">
        <f>C36/(1+O36)</f>
        <v>231.74747938962707</v>
      </c>
      <c r="D37" s="1477">
        <f t="shared" si="75"/>
        <v>231.74747938962707</v>
      </c>
      <c r="E37" s="1477">
        <f t="shared" si="86"/>
        <v>375.35938184826603</v>
      </c>
      <c r="F37" s="1477">
        <f t="shared" si="86"/>
        <v>216.78033510692495</v>
      </c>
      <c r="G37" s="3346"/>
      <c r="H37" s="1467">
        <v>2</v>
      </c>
      <c r="I37" s="1467">
        <v>0.02</v>
      </c>
      <c r="J37" s="1467">
        <v>0.12</v>
      </c>
      <c r="K37" s="1467">
        <v>-0.08</v>
      </c>
      <c r="L37" s="1479">
        <v>1.24</v>
      </c>
      <c r="N37" s="1472">
        <f t="shared" si="77"/>
        <v>2.0000000000000001E-4</v>
      </c>
      <c r="O37" s="1473">
        <f t="shared" si="77"/>
        <v>1.1999999999999999E-3</v>
      </c>
      <c r="P37" s="1473">
        <f t="shared" si="77"/>
        <v>-8.0000000000000004E-4</v>
      </c>
      <c r="Q37" s="1473">
        <f t="shared" si="77"/>
        <v>1.24E-2</v>
      </c>
      <c r="R37" s="1474"/>
      <c r="S37" s="1472"/>
      <c r="T37" s="1473"/>
      <c r="U37" s="1473"/>
      <c r="V37" s="1473"/>
    </row>
    <row r="38" spans="1:26" ht="13.5" thickBot="1">
      <c r="A38" s="1463" t="s">
        <v>1166</v>
      </c>
      <c r="B38" s="1477">
        <f>B37/(1+N37)</f>
        <v>275.19025476197027</v>
      </c>
      <c r="C38" s="1513">
        <v>232</v>
      </c>
      <c r="D38" s="1513">
        <f t="shared" si="75"/>
        <v>232</v>
      </c>
      <c r="E38" s="1477">
        <f t="shared" si="86"/>
        <v>375.65990977608692</v>
      </c>
      <c r="F38" s="1477">
        <f t="shared" si="86"/>
        <v>214.12518283971252</v>
      </c>
      <c r="G38" s="3347"/>
      <c r="H38" s="1466">
        <v>1</v>
      </c>
      <c r="I38" s="1466">
        <v>0.02</v>
      </c>
      <c r="J38" s="1466">
        <v>0.13</v>
      </c>
      <c r="K38" s="1466">
        <v>-0.04</v>
      </c>
      <c r="L38" s="1478">
        <v>0.46</v>
      </c>
      <c r="N38" s="1472">
        <f t="shared" si="77"/>
        <v>2.0000000000000001E-4</v>
      </c>
      <c r="O38" s="1473">
        <f t="shared" si="77"/>
        <v>1.2999999999999999E-3</v>
      </c>
      <c r="P38" s="1473">
        <f t="shared" si="77"/>
        <v>-4.0000000000000002E-4</v>
      </c>
      <c r="Q38" s="1473">
        <f t="shared" si="77"/>
        <v>4.5999999999999999E-3</v>
      </c>
      <c r="R38" s="1474"/>
      <c r="S38" s="1480">
        <f>B38/B39-1</f>
        <v>6.9183549807361189E-4</v>
      </c>
      <c r="T38" s="1481">
        <f>C38/C39-1</f>
        <v>0</v>
      </c>
      <c r="U38" s="1481">
        <f>E38/E39-1</f>
        <v>-9.0449527636460303E-4</v>
      </c>
      <c r="V38" s="1481">
        <f>F38/F39-1</f>
        <v>5.2825485432512753E-3</v>
      </c>
      <c r="X38" s="1462"/>
      <c r="Y38" s="1462"/>
      <c r="Z38" s="1462"/>
    </row>
    <row r="39" spans="1:26" ht="13.5" thickBot="1">
      <c r="A39" s="1463" t="s">
        <v>1167</v>
      </c>
      <c r="B39" s="1469">
        <v>275</v>
      </c>
      <c r="C39" s="1469">
        <v>232</v>
      </c>
      <c r="D39" s="1469">
        <f t="shared" si="75"/>
        <v>232</v>
      </c>
      <c r="E39" s="1469">
        <v>376</v>
      </c>
      <c r="F39" s="1470">
        <v>213</v>
      </c>
      <c r="G39" s="3345">
        <v>2011</v>
      </c>
      <c r="H39" s="1482">
        <v>4</v>
      </c>
      <c r="I39" s="1482">
        <v>-0.2</v>
      </c>
      <c r="J39" s="1482">
        <v>0.04</v>
      </c>
      <c r="K39" s="1482">
        <v>-0.34</v>
      </c>
      <c r="L39" s="1483">
        <v>0.46</v>
      </c>
      <c r="N39" s="1484">
        <f t="shared" si="77"/>
        <v>-2E-3</v>
      </c>
      <c r="O39" s="1485">
        <f t="shared" si="77"/>
        <v>4.0000000000000002E-4</v>
      </c>
      <c r="P39" s="1485">
        <f t="shared" si="77"/>
        <v>-3.4000000000000002E-3</v>
      </c>
      <c r="Q39" s="1485">
        <f t="shared" si="77"/>
        <v>4.5999999999999999E-3</v>
      </c>
      <c r="R39" s="1474"/>
      <c r="S39" s="1475"/>
      <c r="T39" s="1476"/>
      <c r="U39" s="1476"/>
      <c r="V39" s="1476"/>
      <c r="X39" s="1476"/>
      <c r="Y39" s="1476"/>
      <c r="Z39" s="1476"/>
    </row>
    <row r="40" spans="1:26">
      <c r="A40" s="1463" t="s">
        <v>1168</v>
      </c>
      <c r="B40" s="1477">
        <f t="shared" ref="B40:C42" si="87">B39/(1+N39)</f>
        <v>275.55110220440883</v>
      </c>
      <c r="C40" s="1477">
        <f t="shared" si="87"/>
        <v>231.90723710515795</v>
      </c>
      <c r="D40" s="1477">
        <f t="shared" si="75"/>
        <v>231.90723710515795</v>
      </c>
      <c r="E40" s="1477">
        <f t="shared" ref="E40:F42" si="88">E39/(1+P39)</f>
        <v>377.28276138872161</v>
      </c>
      <c r="F40" s="1477">
        <f t="shared" si="88"/>
        <v>212.02468644236512</v>
      </c>
      <c r="G40" s="3346">
        <v>2011</v>
      </c>
      <c r="H40" s="1487">
        <v>3</v>
      </c>
      <c r="I40" s="1487">
        <v>0.13</v>
      </c>
      <c r="J40" s="1487">
        <v>0.75</v>
      </c>
      <c r="K40" s="1487">
        <v>-0.08</v>
      </c>
      <c r="L40" s="1488">
        <v>0.53</v>
      </c>
      <c r="N40" s="1472">
        <f t="shared" si="77"/>
        <v>1.2999999999999999E-3</v>
      </c>
      <c r="O40" s="1489">
        <f t="shared" si="77"/>
        <v>7.4999999999999997E-3</v>
      </c>
      <c r="P40" s="1489">
        <f t="shared" si="77"/>
        <v>-8.0000000000000004E-4</v>
      </c>
      <c r="Q40" s="1489">
        <f t="shared" si="77"/>
        <v>5.3E-3</v>
      </c>
      <c r="R40" s="1474"/>
      <c r="S40" s="1472"/>
      <c r="T40" s="1473"/>
      <c r="U40" s="1473"/>
      <c r="V40" s="1473"/>
    </row>
    <row r="41" spans="1:26">
      <c r="A41" s="1463" t="s">
        <v>1169</v>
      </c>
      <c r="B41" s="1477">
        <f t="shared" si="87"/>
        <v>275.19335084830601</v>
      </c>
      <c r="C41" s="1477">
        <f t="shared" si="87"/>
        <v>230.18088050139744</v>
      </c>
      <c r="D41" s="1477">
        <f t="shared" si="75"/>
        <v>230.18088050139744</v>
      </c>
      <c r="E41" s="1477">
        <f t="shared" si="88"/>
        <v>377.58482925212331</v>
      </c>
      <c r="F41" s="1477">
        <f t="shared" si="88"/>
        <v>210.90687997847917</v>
      </c>
      <c r="G41" s="3346">
        <v>2011</v>
      </c>
      <c r="H41" s="1467">
        <v>2</v>
      </c>
      <c r="I41" s="1467">
        <v>-0.4</v>
      </c>
      <c r="J41" s="1467">
        <v>0.17</v>
      </c>
      <c r="K41" s="1467">
        <v>-0.57999999999999996</v>
      </c>
      <c r="L41" s="1479">
        <v>-0.2</v>
      </c>
      <c r="N41" s="1472">
        <f t="shared" si="77"/>
        <v>-4.0000000000000001E-3</v>
      </c>
      <c r="O41" s="1489">
        <f t="shared" si="77"/>
        <v>1.7000000000000001E-3</v>
      </c>
      <c r="P41" s="1489">
        <f t="shared" si="77"/>
        <v>-5.7999999999999996E-3</v>
      </c>
      <c r="Q41" s="1489">
        <f t="shared" si="77"/>
        <v>-2E-3</v>
      </c>
      <c r="R41" s="1474"/>
      <c r="S41" s="1472"/>
      <c r="T41" s="1473"/>
      <c r="U41" s="1473"/>
      <c r="V41" s="1473"/>
    </row>
    <row r="42" spans="1:26" ht="13.5" thickBot="1">
      <c r="A42" s="1463" t="s">
        <v>1170</v>
      </c>
      <c r="B42" s="1477">
        <f t="shared" si="87"/>
        <v>276.29854502841971</v>
      </c>
      <c r="C42" s="1477">
        <f t="shared" si="87"/>
        <v>229.79023709833027</v>
      </c>
      <c r="D42" s="1477">
        <f t="shared" si="75"/>
        <v>229.79023709833027</v>
      </c>
      <c r="E42" s="1477">
        <f t="shared" si="88"/>
        <v>379.78759731655936</v>
      </c>
      <c r="F42" s="1477">
        <f t="shared" si="88"/>
        <v>211.32953905659235</v>
      </c>
      <c r="G42" s="3347">
        <v>2011</v>
      </c>
      <c r="H42" s="1466">
        <v>1</v>
      </c>
      <c r="I42" s="1466">
        <v>2.65</v>
      </c>
      <c r="J42" s="1466">
        <v>3.76</v>
      </c>
      <c r="K42" s="1466">
        <v>1.89</v>
      </c>
      <c r="L42" s="1478">
        <v>7.95</v>
      </c>
      <c r="N42" s="1480">
        <f t="shared" si="77"/>
        <v>2.6499999999999999E-2</v>
      </c>
      <c r="O42" s="1481">
        <f t="shared" si="77"/>
        <v>3.7599999999999995E-2</v>
      </c>
      <c r="P42" s="1481">
        <f t="shared" si="77"/>
        <v>1.89E-2</v>
      </c>
      <c r="Q42" s="1481">
        <f t="shared" si="77"/>
        <v>7.9500000000000001E-2</v>
      </c>
      <c r="R42" s="1474"/>
      <c r="S42" s="1480">
        <f>B42/B43-1</f>
        <v>2.713213765211786E-2</v>
      </c>
      <c r="T42" s="1481">
        <f>C42/C43-1</f>
        <v>3.9774828499231862E-2</v>
      </c>
      <c r="U42" s="1481">
        <f>E42/E43-1</f>
        <v>1.8197311840641772E-2</v>
      </c>
      <c r="V42" s="1481">
        <f>F42/F43-1</f>
        <v>7.8211933962205826E-2</v>
      </c>
      <c r="X42" s="1462"/>
      <c r="Y42" s="1462"/>
      <c r="Z42" s="1462"/>
    </row>
    <row r="43" spans="1:26" ht="13.5" thickBot="1">
      <c r="A43" s="1463" t="s">
        <v>1171</v>
      </c>
      <c r="B43" s="1469">
        <v>269</v>
      </c>
      <c r="C43" s="1469">
        <v>221</v>
      </c>
      <c r="D43" s="1469">
        <f t="shared" si="75"/>
        <v>221</v>
      </c>
      <c r="E43" s="1469">
        <v>373</v>
      </c>
      <c r="F43" s="1470">
        <v>196</v>
      </c>
      <c r="G43" s="3345">
        <v>2010</v>
      </c>
      <c r="H43" s="1482">
        <v>4</v>
      </c>
      <c r="I43" s="1482">
        <v>5.72</v>
      </c>
      <c r="J43" s="1482">
        <v>6.57</v>
      </c>
      <c r="K43" s="1482">
        <v>5.72</v>
      </c>
      <c r="L43" s="1483">
        <v>2.72</v>
      </c>
      <c r="N43" s="1472">
        <f t="shared" si="77"/>
        <v>5.7200000000000001E-2</v>
      </c>
      <c r="O43" s="1473">
        <f t="shared" si="77"/>
        <v>6.5700000000000008E-2</v>
      </c>
      <c r="P43" s="1473">
        <f t="shared" si="77"/>
        <v>5.7200000000000001E-2</v>
      </c>
      <c r="Q43" s="1473">
        <f t="shared" si="77"/>
        <v>2.7200000000000002E-2</v>
      </c>
      <c r="R43" s="1474"/>
      <c r="S43" s="1475"/>
      <c r="T43" s="1476"/>
      <c r="U43" s="1476"/>
      <c r="V43" s="1476"/>
      <c r="X43" s="1476"/>
      <c r="Y43" s="1476"/>
      <c r="Z43" s="1476"/>
    </row>
    <row r="44" spans="1:26">
      <c r="A44" s="1463" t="s">
        <v>1172</v>
      </c>
      <c r="B44" s="1477">
        <f t="shared" ref="B44:C46" si="89">B43/(1+N43)</f>
        <v>254.44570563753314</v>
      </c>
      <c r="C44" s="1477">
        <f t="shared" si="89"/>
        <v>207.37543398705074</v>
      </c>
      <c r="D44" s="1477">
        <f t="shared" si="75"/>
        <v>207.37543398705074</v>
      </c>
      <c r="E44" s="1477">
        <f t="shared" ref="E44:F46" si="90">E43/(1+P43)</f>
        <v>352.81876655315932</v>
      </c>
      <c r="F44" s="1477">
        <f t="shared" si="90"/>
        <v>190.809968847352</v>
      </c>
      <c r="G44" s="3346">
        <v>2010</v>
      </c>
      <c r="H44" s="1487">
        <v>3</v>
      </c>
      <c r="I44" s="1487">
        <v>4.7300000000000004</v>
      </c>
      <c r="J44" s="1487">
        <v>3.9</v>
      </c>
      <c r="K44" s="1487">
        <v>5.03</v>
      </c>
      <c r="L44" s="1488">
        <v>4.21</v>
      </c>
      <c r="N44" s="1472">
        <f t="shared" si="77"/>
        <v>4.7300000000000002E-2</v>
      </c>
      <c r="O44" s="1473">
        <f t="shared" si="77"/>
        <v>3.9E-2</v>
      </c>
      <c r="P44" s="1473">
        <f t="shared" si="77"/>
        <v>5.0300000000000004E-2</v>
      </c>
      <c r="Q44" s="1473">
        <f t="shared" si="77"/>
        <v>4.2099999999999999E-2</v>
      </c>
      <c r="R44" s="1474"/>
      <c r="S44" s="1472"/>
      <c r="T44" s="1473"/>
      <c r="U44" s="1473"/>
      <c r="V44" s="1473"/>
    </row>
    <row r="45" spans="1:26">
      <c r="A45" s="1463" t="s">
        <v>1173</v>
      </c>
      <c r="B45" s="1477">
        <f t="shared" si="89"/>
        <v>242.95398227588385</v>
      </c>
      <c r="C45" s="1477">
        <f t="shared" si="89"/>
        <v>199.59137053614126</v>
      </c>
      <c r="D45" s="1477">
        <f t="shared" si="75"/>
        <v>199.59137053614126</v>
      </c>
      <c r="E45" s="1477">
        <f t="shared" si="90"/>
        <v>335.92189522342125</v>
      </c>
      <c r="F45" s="1477">
        <f t="shared" si="90"/>
        <v>183.10139991109489</v>
      </c>
      <c r="G45" s="3346">
        <v>2010</v>
      </c>
      <c r="H45" s="1467">
        <v>2</v>
      </c>
      <c r="I45" s="1467">
        <v>4.6900000000000004</v>
      </c>
      <c r="J45" s="1467">
        <v>3.55</v>
      </c>
      <c r="K45" s="1467">
        <v>5.07</v>
      </c>
      <c r="L45" s="1479">
        <v>4.2300000000000004</v>
      </c>
      <c r="N45" s="1472">
        <f t="shared" si="77"/>
        <v>4.6900000000000004E-2</v>
      </c>
      <c r="O45" s="1473">
        <f t="shared" si="77"/>
        <v>3.5499999999999997E-2</v>
      </c>
      <c r="P45" s="1473">
        <f t="shared" si="77"/>
        <v>5.0700000000000002E-2</v>
      </c>
      <c r="Q45" s="1473">
        <f t="shared" si="77"/>
        <v>4.2300000000000004E-2</v>
      </c>
      <c r="R45" s="1474"/>
      <c r="S45" s="1472"/>
      <c r="T45" s="1473"/>
      <c r="U45" s="1473"/>
      <c r="V45" s="1473"/>
    </row>
    <row r="46" spans="1:26" ht="13.5" thickBot="1">
      <c r="A46" s="1463" t="s">
        <v>1174</v>
      </c>
      <c r="B46" s="1477">
        <f t="shared" si="89"/>
        <v>232.06990378821649</v>
      </c>
      <c r="C46" s="1477">
        <f t="shared" si="89"/>
        <v>192.74878854286936</v>
      </c>
      <c r="D46" s="1477">
        <f t="shared" si="75"/>
        <v>192.74878854286936</v>
      </c>
      <c r="E46" s="1477">
        <f t="shared" si="90"/>
        <v>319.71247284992984</v>
      </c>
      <c r="F46" s="1477">
        <f t="shared" si="90"/>
        <v>175.67053622862409</v>
      </c>
      <c r="G46" s="3347">
        <v>2010</v>
      </c>
      <c r="H46" s="1466">
        <v>1</v>
      </c>
      <c r="I46" s="1466">
        <v>5.4</v>
      </c>
      <c r="J46" s="1466">
        <v>3.2</v>
      </c>
      <c r="K46" s="1466">
        <v>6.16</v>
      </c>
      <c r="L46" s="1478">
        <v>4.51</v>
      </c>
      <c r="N46" s="1472">
        <f t="shared" si="77"/>
        <v>5.4000000000000006E-2</v>
      </c>
      <c r="O46" s="1473">
        <f t="shared" si="77"/>
        <v>3.2000000000000001E-2</v>
      </c>
      <c r="P46" s="1473">
        <f t="shared" si="77"/>
        <v>6.1600000000000002E-2</v>
      </c>
      <c r="Q46" s="1473">
        <f t="shared" si="77"/>
        <v>4.5100000000000001E-2</v>
      </c>
      <c r="R46" s="1474"/>
      <c r="S46" s="1480">
        <f>B46/B47-1</f>
        <v>5.4863199037347599E-2</v>
      </c>
      <c r="T46" s="1481">
        <f>C46/C47-1</f>
        <v>3.0742184721226584E-2</v>
      </c>
      <c r="U46" s="1481">
        <f>E46/E47-1</f>
        <v>6.2167683886810154E-2</v>
      </c>
      <c r="V46" s="1481">
        <f>F46/F47-1</f>
        <v>4.5657953741810031E-2</v>
      </c>
      <c r="X46" s="1462"/>
      <c r="Y46" s="1462"/>
      <c r="Z46" s="1462"/>
    </row>
    <row r="47" spans="1:26" ht="13.5" thickBot="1">
      <c r="A47" s="1463" t="s">
        <v>1175</v>
      </c>
      <c r="B47" s="1469">
        <v>220</v>
      </c>
      <c r="C47" s="1469">
        <v>187</v>
      </c>
      <c r="D47" s="1469">
        <f t="shared" si="75"/>
        <v>187</v>
      </c>
      <c r="E47" s="1469">
        <v>301</v>
      </c>
      <c r="F47" s="1470">
        <v>168</v>
      </c>
      <c r="G47" s="3345">
        <v>2009</v>
      </c>
      <c r="H47" s="1482">
        <v>4</v>
      </c>
      <c r="I47" s="1482">
        <v>2.2999999999999998</v>
      </c>
      <c r="J47" s="1482">
        <v>1.04</v>
      </c>
      <c r="K47" s="1482">
        <v>2.84</v>
      </c>
      <c r="L47" s="1483">
        <v>0.67</v>
      </c>
      <c r="N47" s="1484">
        <f t="shared" si="77"/>
        <v>2.3E-2</v>
      </c>
      <c r="O47" s="1485">
        <f t="shared" si="77"/>
        <v>1.04E-2</v>
      </c>
      <c r="P47" s="1485">
        <f t="shared" si="77"/>
        <v>2.8399999999999998E-2</v>
      </c>
      <c r="Q47" s="1485">
        <f t="shared" si="77"/>
        <v>6.7000000000000002E-3</v>
      </c>
      <c r="R47" s="1474"/>
      <c r="S47" s="1475"/>
      <c r="T47" s="1476"/>
      <c r="U47" s="1476"/>
      <c r="V47" s="1476"/>
      <c r="X47" s="1476"/>
      <c r="Y47" s="1476"/>
      <c r="Z47" s="1476"/>
    </row>
    <row r="48" spans="1:26">
      <c r="A48" s="1463" t="s">
        <v>1176</v>
      </c>
      <c r="B48" s="1477">
        <f t="shared" ref="B48:C50" si="91">B47/(1+N47)</f>
        <v>215.05376344086022</v>
      </c>
      <c r="C48" s="1477">
        <f t="shared" si="91"/>
        <v>185.0752177355503</v>
      </c>
      <c r="D48" s="1477">
        <f t="shared" si="75"/>
        <v>185.0752177355503</v>
      </c>
      <c r="E48" s="1477">
        <f t="shared" ref="E48:F50" si="92">E47/(1+P47)</f>
        <v>292.68767016725008</v>
      </c>
      <c r="F48" s="1477">
        <f t="shared" si="92"/>
        <v>166.88189132810174</v>
      </c>
      <c r="G48" s="3346">
        <v>2009</v>
      </c>
      <c r="H48" s="1487">
        <v>3</v>
      </c>
      <c r="I48" s="1487">
        <v>2.1</v>
      </c>
      <c r="J48" s="1487">
        <v>1.86</v>
      </c>
      <c r="K48" s="1487">
        <v>2.29</v>
      </c>
      <c r="L48" s="1488">
        <v>0.85</v>
      </c>
      <c r="N48" s="1472">
        <f t="shared" si="77"/>
        <v>2.1000000000000001E-2</v>
      </c>
      <c r="O48" s="1489">
        <f t="shared" si="77"/>
        <v>1.8600000000000002E-2</v>
      </c>
      <c r="P48" s="1489">
        <f t="shared" si="77"/>
        <v>2.29E-2</v>
      </c>
      <c r="Q48" s="1489">
        <f t="shared" si="77"/>
        <v>8.5000000000000006E-3</v>
      </c>
      <c r="R48" s="1474"/>
      <c r="S48" s="1472"/>
      <c r="T48" s="1473"/>
      <c r="U48" s="1473"/>
      <c r="V48" s="1473"/>
    </row>
    <row r="49" spans="1:26">
      <c r="A49" s="1463" t="s">
        <v>1177</v>
      </c>
      <c r="B49" s="1477">
        <f t="shared" si="91"/>
        <v>210.630522469011</v>
      </c>
      <c r="C49" s="1477">
        <f t="shared" si="91"/>
        <v>181.69567812247232</v>
      </c>
      <c r="D49" s="1477">
        <f t="shared" si="75"/>
        <v>181.69567812247232</v>
      </c>
      <c r="E49" s="1477">
        <f t="shared" si="92"/>
        <v>286.13517466736738</v>
      </c>
      <c r="F49" s="1477">
        <f t="shared" si="92"/>
        <v>165.47535084591149</v>
      </c>
      <c r="G49" s="3346">
        <v>2009</v>
      </c>
      <c r="H49" s="1467">
        <v>2</v>
      </c>
      <c r="I49" s="1467">
        <v>0.86</v>
      </c>
      <c r="J49" s="1467">
        <v>-1.1299999999999999</v>
      </c>
      <c r="K49" s="1467">
        <v>1.79</v>
      </c>
      <c r="L49" s="1479">
        <v>-2.0699999999999998</v>
      </c>
      <c r="N49" s="1472">
        <f t="shared" si="77"/>
        <v>8.6E-3</v>
      </c>
      <c r="O49" s="1489">
        <f t="shared" si="77"/>
        <v>-1.1299999999999999E-2</v>
      </c>
      <c r="P49" s="1489">
        <f t="shared" si="77"/>
        <v>1.7899999999999999E-2</v>
      </c>
      <c r="Q49" s="1489">
        <f t="shared" si="77"/>
        <v>-2.07E-2</v>
      </c>
      <c r="R49" s="1474"/>
      <c r="S49" s="1472"/>
      <c r="T49" s="1473"/>
      <c r="U49" s="1473"/>
      <c r="V49" s="1473"/>
    </row>
    <row r="50" spans="1:26">
      <c r="A50" s="1463" t="s">
        <v>1178</v>
      </c>
      <c r="B50" s="1477">
        <f t="shared" si="91"/>
        <v>208.83454537875372</v>
      </c>
      <c r="C50" s="1477">
        <f t="shared" si="91"/>
        <v>183.77230517090351</v>
      </c>
      <c r="D50" s="1477">
        <f t="shared" si="75"/>
        <v>183.77230517090351</v>
      </c>
      <c r="E50" s="1477">
        <f t="shared" si="92"/>
        <v>281.10342338870947</v>
      </c>
      <c r="F50" s="1477">
        <f t="shared" si="92"/>
        <v>168.97309388942256</v>
      </c>
      <c r="G50" s="3347">
        <v>2009</v>
      </c>
      <c r="H50" s="1466">
        <v>1</v>
      </c>
      <c r="I50" s="1466">
        <v>-2.64</v>
      </c>
      <c r="J50" s="1466">
        <v>-2.5299999999999998</v>
      </c>
      <c r="K50" s="1466">
        <v>-3.02</v>
      </c>
      <c r="L50" s="1478">
        <v>1.52</v>
      </c>
      <c r="N50" s="1480">
        <f t="shared" si="77"/>
        <v>-2.64E-2</v>
      </c>
      <c r="O50" s="1481">
        <f t="shared" si="77"/>
        <v>-2.53E-2</v>
      </c>
      <c r="P50" s="1481">
        <f t="shared" si="77"/>
        <v>-3.0200000000000001E-2</v>
      </c>
      <c r="Q50" s="1481">
        <f t="shared" si="77"/>
        <v>1.52E-2</v>
      </c>
      <c r="R50" s="1474"/>
      <c r="S50" s="1480">
        <f>B50/B51-1</f>
        <v>-2.4137638417038754E-2</v>
      </c>
      <c r="T50" s="1481">
        <f>C50/C51-1</f>
        <v>-2.248773845264096E-2</v>
      </c>
      <c r="U50" s="1481">
        <f>E50/E51-1</f>
        <v>-2.7323794502735366E-2</v>
      </c>
      <c r="V50" s="1481">
        <f>F50/F51-1</f>
        <v>1.7910204153148035E-2</v>
      </c>
      <c r="X50" s="1462"/>
      <c r="Y50" s="1462"/>
      <c r="Z50" s="1462"/>
    </row>
    <row r="51" spans="1:26" ht="13.5" thickBot="1">
      <c r="A51" s="1463" t="s">
        <v>1179</v>
      </c>
      <c r="B51" s="1511">
        <v>214</v>
      </c>
      <c r="C51" s="1511">
        <v>188</v>
      </c>
      <c r="D51" s="1511">
        <f t="shared" si="75"/>
        <v>188</v>
      </c>
      <c r="E51" s="1511">
        <v>289</v>
      </c>
      <c r="F51" s="1512">
        <v>166</v>
      </c>
      <c r="G51" s="3345">
        <v>2008</v>
      </c>
      <c r="H51" s="1482">
        <v>4</v>
      </c>
      <c r="I51" s="1482">
        <v>1.73</v>
      </c>
      <c r="J51" s="1482">
        <v>0.03</v>
      </c>
      <c r="K51" s="1482">
        <v>2.59</v>
      </c>
      <c r="L51" s="1483">
        <v>-1.66</v>
      </c>
      <c r="N51" s="1472">
        <f t="shared" si="77"/>
        <v>1.7299999999999999E-2</v>
      </c>
      <c r="O51" s="1473">
        <f t="shared" si="77"/>
        <v>2.9999999999999997E-4</v>
      </c>
      <c r="P51" s="1473">
        <f t="shared" si="77"/>
        <v>2.5899999999999999E-2</v>
      </c>
      <c r="Q51" s="1473">
        <f t="shared" si="77"/>
        <v>-1.66E-2</v>
      </c>
      <c r="R51" s="1474"/>
      <c r="S51" s="1475"/>
      <c r="T51" s="1476"/>
      <c r="U51" s="1476"/>
      <c r="V51" s="1476"/>
      <c r="X51" s="1476"/>
      <c r="Y51" s="1476"/>
      <c r="Z51" s="1476"/>
    </row>
    <row r="52" spans="1:26">
      <c r="A52" s="1463" t="s">
        <v>1180</v>
      </c>
      <c r="B52" s="1477">
        <f t="shared" ref="B52:C54" si="93">B51/(1+N51)</f>
        <v>210.36075887152265</v>
      </c>
      <c r="C52" s="1477">
        <f t="shared" si="93"/>
        <v>187.94361691492554</v>
      </c>
      <c r="D52" s="1477">
        <f t="shared" si="75"/>
        <v>187.94361691492554</v>
      </c>
      <c r="E52" s="1477">
        <f t="shared" ref="E52:F54" si="94">E51/(1+P51)</f>
        <v>281.70386977288234</v>
      </c>
      <c r="F52" s="1477">
        <f t="shared" si="94"/>
        <v>168.80211511083994</v>
      </c>
      <c r="G52" s="3346">
        <v>2008</v>
      </c>
      <c r="H52" s="1487">
        <v>3</v>
      </c>
      <c r="I52" s="1487">
        <v>1.96</v>
      </c>
      <c r="J52" s="1487">
        <v>2.36</v>
      </c>
      <c r="K52" s="1487">
        <v>1.82</v>
      </c>
      <c r="L52" s="1488">
        <v>2.2200000000000002</v>
      </c>
      <c r="N52" s="1472">
        <f t="shared" si="77"/>
        <v>1.9599999999999999E-2</v>
      </c>
      <c r="O52" s="1473">
        <f t="shared" si="77"/>
        <v>2.3599999999999999E-2</v>
      </c>
      <c r="P52" s="1473">
        <f t="shared" si="77"/>
        <v>1.8200000000000001E-2</v>
      </c>
      <c r="Q52" s="1473">
        <f t="shared" si="77"/>
        <v>2.2200000000000001E-2</v>
      </c>
      <c r="R52" s="1474"/>
      <c r="S52" s="1472"/>
      <c r="T52" s="1473"/>
      <c r="U52" s="1473"/>
      <c r="V52" s="1473"/>
    </row>
    <row r="53" spans="1:26">
      <c r="A53" s="1463" t="s">
        <v>1181</v>
      </c>
      <c r="B53" s="1477">
        <f t="shared" si="93"/>
        <v>206.31694671589116</v>
      </c>
      <c r="C53" s="1477">
        <f t="shared" si="93"/>
        <v>183.61041121036101</v>
      </c>
      <c r="D53" s="1477">
        <f t="shared" si="75"/>
        <v>183.61041121036101</v>
      </c>
      <c r="E53" s="1477">
        <f t="shared" si="94"/>
        <v>276.66850301795557</v>
      </c>
      <c r="F53" s="1477">
        <f t="shared" si="94"/>
        <v>165.1360938278614</v>
      </c>
      <c r="G53" s="3346">
        <v>2008</v>
      </c>
      <c r="H53" s="1467">
        <v>2</v>
      </c>
      <c r="I53" s="1467">
        <v>4.93</v>
      </c>
      <c r="J53" s="1467">
        <v>7.38</v>
      </c>
      <c r="K53" s="1467">
        <v>3.98</v>
      </c>
      <c r="L53" s="1479">
        <v>6.86</v>
      </c>
      <c r="N53" s="1472">
        <f t="shared" si="77"/>
        <v>4.9299999999999997E-2</v>
      </c>
      <c r="O53" s="1473">
        <f t="shared" si="77"/>
        <v>7.3800000000000004E-2</v>
      </c>
      <c r="P53" s="1473">
        <f t="shared" si="77"/>
        <v>3.9800000000000002E-2</v>
      </c>
      <c r="Q53" s="1473">
        <f t="shared" si="77"/>
        <v>6.8600000000000008E-2</v>
      </c>
      <c r="R53" s="1474"/>
      <c r="S53" s="1472"/>
      <c r="T53" s="1473"/>
      <c r="U53" s="1473"/>
      <c r="V53" s="1473"/>
    </row>
    <row r="54" spans="1:26" s="1517" customFormat="1" ht="13.5" thickBot="1">
      <c r="A54" s="1463" t="s">
        <v>1182</v>
      </c>
      <c r="B54" s="1514">
        <f t="shared" si="93"/>
        <v>196.62341248059772</v>
      </c>
      <c r="C54" s="1514">
        <f t="shared" si="93"/>
        <v>170.99125648199012</v>
      </c>
      <c r="D54" s="1514">
        <f t="shared" si="75"/>
        <v>170.99125648199012</v>
      </c>
      <c r="E54" s="1514">
        <f t="shared" si="94"/>
        <v>266.07857570490052</v>
      </c>
      <c r="F54" s="1514">
        <f t="shared" si="94"/>
        <v>154.53499328828505</v>
      </c>
      <c r="G54" s="3347">
        <v>2008</v>
      </c>
      <c r="H54" s="1515">
        <v>1</v>
      </c>
      <c r="I54" s="1515">
        <v>4.1399999999999997</v>
      </c>
      <c r="J54" s="1515">
        <v>3.45</v>
      </c>
      <c r="K54" s="1515">
        <v>4.95</v>
      </c>
      <c r="L54" s="1516">
        <v>4.82</v>
      </c>
      <c r="N54" s="1518">
        <f t="shared" si="77"/>
        <v>4.1399999999999999E-2</v>
      </c>
      <c r="O54" s="1519">
        <f t="shared" si="77"/>
        <v>3.4500000000000003E-2</v>
      </c>
      <c r="P54" s="1519">
        <f t="shared" si="77"/>
        <v>4.9500000000000002E-2</v>
      </c>
      <c r="Q54" s="1519">
        <f t="shared" si="77"/>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3" t="s">
        <v>1183</v>
      </c>
      <c r="B55" s="1469">
        <v>188</v>
      </c>
      <c r="C55" s="1469">
        <v>165</v>
      </c>
      <c r="D55" s="1469">
        <f t="shared" si="75"/>
        <v>165</v>
      </c>
      <c r="E55" s="1469">
        <v>254</v>
      </c>
      <c r="F55" s="1470">
        <v>148</v>
      </c>
      <c r="G55" s="3345">
        <v>2007</v>
      </c>
      <c r="H55" s="1522">
        <v>4</v>
      </c>
      <c r="I55" s="1522">
        <v>5.51</v>
      </c>
      <c r="J55" s="1522">
        <v>4.8899999999999997</v>
      </c>
      <c r="K55" s="1522">
        <v>6.43</v>
      </c>
      <c r="L55" s="1523">
        <v>5.36</v>
      </c>
      <c r="N55" s="1524">
        <f t="shared" ref="N55:O58" si="95">B55/B56-1</f>
        <v>4.1339718365245526E-2</v>
      </c>
      <c r="O55" s="1525">
        <f t="shared" si="95"/>
        <v>4.0324492593776018E-2</v>
      </c>
      <c r="P55" s="1525">
        <f t="shared" ref="P55:Q58" si="96">E55/E56-1</f>
        <v>6.1625555347990968E-2</v>
      </c>
      <c r="Q55" s="1525">
        <f t="shared" si="96"/>
        <v>4.6757569250590603E-2</v>
      </c>
      <c r="R55" s="1474"/>
      <c r="S55" s="1475"/>
      <c r="T55" s="1476"/>
      <c r="U55" s="1476"/>
      <c r="V55" s="1476"/>
      <c r="X55" s="1476"/>
      <c r="Y55" s="1476"/>
      <c r="Z55" s="1476"/>
    </row>
    <row r="56" spans="1:26">
      <c r="A56" s="1463" t="s">
        <v>1184</v>
      </c>
      <c r="B56" s="1477">
        <f t="shared" ref="B56:C58" si="97">B57+(B$55-B$59)*I56/SUM(I$55:I$58)</f>
        <v>180.5366651097618</v>
      </c>
      <c r="C56" s="1477">
        <f t="shared" si="97"/>
        <v>158.60435967302453</v>
      </c>
      <c r="D56" s="1477">
        <f t="shared" si="75"/>
        <v>158.60435967302453</v>
      </c>
      <c r="E56" s="1477">
        <f t="shared" ref="E56:F58" si="98">E57+(E$55-E$59)*K56/SUM(K$55:K$58)</f>
        <v>239.25573260785075</v>
      </c>
      <c r="F56" s="1477">
        <f t="shared" si="98"/>
        <v>141.38899430740037</v>
      </c>
      <c r="G56" s="3346">
        <v>2007</v>
      </c>
      <c r="H56" s="1487">
        <v>3</v>
      </c>
      <c r="I56" s="1487">
        <v>8.65</v>
      </c>
      <c r="J56" s="1487">
        <v>8.06</v>
      </c>
      <c r="K56" s="1487">
        <v>9.94</v>
      </c>
      <c r="L56" s="1488">
        <v>5.8</v>
      </c>
      <c r="N56" s="1524">
        <f t="shared" si="95"/>
        <v>6.940217571740015E-2</v>
      </c>
      <c r="O56" s="1525">
        <f t="shared" si="95"/>
        <v>7.1197482471153428E-2</v>
      </c>
      <c r="P56" s="1525">
        <f t="shared" si="96"/>
        <v>0.10529679922579582</v>
      </c>
      <c r="Q56" s="1525">
        <f t="shared" si="96"/>
        <v>5.3292245059512133E-2</v>
      </c>
      <c r="R56" s="1474"/>
      <c r="S56" s="1472"/>
      <c r="T56" s="1473"/>
      <c r="U56" s="1473"/>
      <c r="V56" s="1473"/>
      <c r="X56" s="1526"/>
      <c r="Y56" s="1526"/>
      <c r="Z56" s="1526"/>
    </row>
    <row r="57" spans="1:26">
      <c r="A57" s="1463" t="s">
        <v>1185</v>
      </c>
      <c r="B57" s="1477">
        <f t="shared" si="97"/>
        <v>168.82017748715555</v>
      </c>
      <c r="C57" s="1477">
        <f t="shared" si="97"/>
        <v>148.06267029972753</v>
      </c>
      <c r="D57" s="1477">
        <f t="shared" si="75"/>
        <v>148.06267029972753</v>
      </c>
      <c r="E57" s="1477">
        <f t="shared" si="98"/>
        <v>216.46288379323747</v>
      </c>
      <c r="F57" s="1477">
        <f t="shared" si="98"/>
        <v>134.23529411764704</v>
      </c>
      <c r="G57" s="3346">
        <v>2007</v>
      </c>
      <c r="H57" s="1467">
        <v>2</v>
      </c>
      <c r="I57" s="1467">
        <v>3.67</v>
      </c>
      <c r="J57" s="1467">
        <v>2.3199999999999998</v>
      </c>
      <c r="K57" s="1467">
        <v>5.0199999999999996</v>
      </c>
      <c r="L57" s="1479">
        <v>6.71</v>
      </c>
      <c r="N57" s="1524">
        <f t="shared" si="95"/>
        <v>3.0339138143848032E-2</v>
      </c>
      <c r="O57" s="1525">
        <f t="shared" si="95"/>
        <v>2.0922341588790472E-2</v>
      </c>
      <c r="P57" s="1525">
        <f t="shared" si="96"/>
        <v>5.6164796592717003E-2</v>
      </c>
      <c r="Q57" s="1525">
        <f t="shared" si="96"/>
        <v>6.5704536723887319E-2</v>
      </c>
      <c r="R57" s="1474"/>
      <c r="S57" s="1472"/>
      <c r="T57" s="1473"/>
      <c r="U57" s="1473"/>
      <c r="V57" s="1473"/>
      <c r="X57" s="1526"/>
      <c r="Y57" s="1526"/>
      <c r="Z57" s="1526"/>
    </row>
    <row r="58" spans="1:26">
      <c r="A58" s="1463" t="s">
        <v>1186</v>
      </c>
      <c r="B58" s="1477">
        <f t="shared" si="97"/>
        <v>163.84913591779542</v>
      </c>
      <c r="C58" s="1477">
        <f t="shared" si="97"/>
        <v>145.0283378746594</v>
      </c>
      <c r="D58" s="1477">
        <f t="shared" si="75"/>
        <v>145.0283378746594</v>
      </c>
      <c r="E58" s="1477">
        <f t="shared" si="98"/>
        <v>204.95180722891567</v>
      </c>
      <c r="F58" s="1477">
        <f t="shared" si="98"/>
        <v>125.95920303605313</v>
      </c>
      <c r="G58" s="3347">
        <v>2007</v>
      </c>
      <c r="H58" s="1466">
        <v>1</v>
      </c>
      <c r="I58" s="1466">
        <v>3.58</v>
      </c>
      <c r="J58" s="1466">
        <v>3.08</v>
      </c>
      <c r="K58" s="1466">
        <v>4.34</v>
      </c>
      <c r="L58" s="1478">
        <v>3.21</v>
      </c>
      <c r="N58" s="1527">
        <f t="shared" si="95"/>
        <v>3.0497710174814063E-2</v>
      </c>
      <c r="O58" s="1528">
        <f t="shared" si="95"/>
        <v>2.8569772160704998E-2</v>
      </c>
      <c r="P58" s="1528">
        <f t="shared" si="96"/>
        <v>5.1034908866234296E-2</v>
      </c>
      <c r="Q58" s="1528">
        <f t="shared" si="96"/>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3" t="s">
        <v>1187</v>
      </c>
      <c r="B59" s="1490">
        <v>159</v>
      </c>
      <c r="C59" s="1490">
        <v>141</v>
      </c>
      <c r="D59" s="1490">
        <f t="shared" si="75"/>
        <v>141</v>
      </c>
      <c r="E59" s="1490">
        <v>195</v>
      </c>
      <c r="F59" s="1491">
        <v>122</v>
      </c>
      <c r="G59" s="3345">
        <v>2006</v>
      </c>
      <c r="H59" s="1482">
        <v>4</v>
      </c>
      <c r="I59" s="1482">
        <v>3.79</v>
      </c>
      <c r="J59" s="1482">
        <v>2.21</v>
      </c>
      <c r="K59" s="1482">
        <v>5.65</v>
      </c>
      <c r="L59" s="1483">
        <v>5.41</v>
      </c>
      <c r="N59" s="1524">
        <f t="shared" ref="N59:O62" si="99">I59/SUM(I$59:I$62)*(B$59/B$63-1)</f>
        <v>7.245466462748526E-2</v>
      </c>
      <c r="O59" s="1525">
        <f t="shared" si="99"/>
        <v>2.3237230038062766E-2</v>
      </c>
      <c r="P59" s="1525">
        <f t="shared" ref="P59:Q62" si="100">K59/SUM(K$59:K$62)*(E$59/E$63-1)</f>
        <v>0.16146893866323722</v>
      </c>
      <c r="Q59" s="1525">
        <f t="shared" si="100"/>
        <v>5.0755230321793784E-2</v>
      </c>
      <c r="R59" s="1474"/>
      <c r="S59" s="1475"/>
      <c r="T59" s="1476"/>
      <c r="U59" s="1476"/>
      <c r="V59" s="1476"/>
      <c r="X59" s="1526"/>
      <c r="Y59" s="1526"/>
      <c r="Z59" s="1526"/>
    </row>
    <row r="60" spans="1:26">
      <c r="A60" s="1463" t="s">
        <v>1188</v>
      </c>
      <c r="B60" s="1477">
        <f t="shared" ref="B60:C62" si="101">B61+(B$59-B$63)*I60/SUM(I$59:I$62)</f>
        <v>149.00125628140702</v>
      </c>
      <c r="C60" s="1477">
        <f t="shared" si="101"/>
        <v>137.95592286501378</v>
      </c>
      <c r="D60" s="1477">
        <f t="shared" si="75"/>
        <v>137.95592286501378</v>
      </c>
      <c r="E60" s="1477">
        <f t="shared" ref="E60:F62" si="102">E61+(E$59-E$63)*K60/SUM(K$59:K$62)</f>
        <v>169.97231450719823</v>
      </c>
      <c r="F60" s="1477">
        <f t="shared" si="102"/>
        <v>116.21390374331551</v>
      </c>
      <c r="G60" s="3346">
        <v>2006</v>
      </c>
      <c r="H60" s="1487">
        <v>3</v>
      </c>
      <c r="I60" s="1487">
        <v>0.92</v>
      </c>
      <c r="J60" s="1487">
        <v>1.08</v>
      </c>
      <c r="K60" s="1487">
        <v>0.73</v>
      </c>
      <c r="L60" s="1488">
        <v>1.08</v>
      </c>
      <c r="N60" s="1524">
        <f t="shared" si="99"/>
        <v>1.7587939698492462E-2</v>
      </c>
      <c r="O60" s="1525">
        <f t="shared" si="99"/>
        <v>1.1355750425840628E-2</v>
      </c>
      <c r="P60" s="1525">
        <f t="shared" si="100"/>
        <v>2.0862358446754544E-2</v>
      </c>
      <c r="Q60" s="1525">
        <f t="shared" si="100"/>
        <v>1.0132282578103011E-2</v>
      </c>
      <c r="R60" s="1474"/>
      <c r="S60" s="1472"/>
      <c r="T60" s="1473"/>
      <c r="U60" s="1473"/>
      <c r="V60" s="1473"/>
      <c r="X60" s="1526"/>
      <c r="Y60" s="1526"/>
      <c r="Z60" s="1526"/>
    </row>
    <row r="61" spans="1:26">
      <c r="A61" s="1463" t="s">
        <v>1189</v>
      </c>
      <c r="B61" s="1477">
        <f t="shared" si="101"/>
        <v>146.57412060301507</v>
      </c>
      <c r="C61" s="1477">
        <f t="shared" si="101"/>
        <v>136.46831955922866</v>
      </c>
      <c r="D61" s="1477">
        <f t="shared" si="75"/>
        <v>136.46831955922866</v>
      </c>
      <c r="E61" s="1477">
        <f t="shared" si="102"/>
        <v>166.73864894795128</v>
      </c>
      <c r="F61" s="1477">
        <f t="shared" si="102"/>
        <v>115.05882352941177</v>
      </c>
      <c r="G61" s="3346">
        <v>2006</v>
      </c>
      <c r="H61" s="1467">
        <v>2</v>
      </c>
      <c r="I61" s="1467">
        <v>0.96</v>
      </c>
      <c r="J61" s="1467">
        <v>0.25</v>
      </c>
      <c r="K61" s="1467">
        <v>1.9</v>
      </c>
      <c r="L61" s="1479">
        <v>0.95</v>
      </c>
      <c r="N61" s="1524">
        <f t="shared" si="99"/>
        <v>1.8352632728861701E-2</v>
      </c>
      <c r="O61" s="1525">
        <f t="shared" si="99"/>
        <v>2.6286459319075526E-3</v>
      </c>
      <c r="P61" s="1525">
        <f t="shared" si="100"/>
        <v>5.4299289107991269E-2</v>
      </c>
      <c r="Q61" s="1525">
        <f t="shared" si="100"/>
        <v>8.9126559714794995E-3</v>
      </c>
      <c r="R61" s="1474"/>
      <c r="S61" s="1472"/>
      <c r="T61" s="1473"/>
      <c r="U61" s="1473"/>
      <c r="V61" s="1473"/>
      <c r="X61" s="1526"/>
      <c r="Y61" s="1526"/>
      <c r="Z61" s="1526"/>
    </row>
    <row r="62" spans="1:26">
      <c r="A62" s="1463" t="s">
        <v>1190</v>
      </c>
      <c r="B62" s="1477">
        <f t="shared" si="101"/>
        <v>144.04145728643215</v>
      </c>
      <c r="C62" s="1477">
        <f t="shared" si="101"/>
        <v>136.12396694214877</v>
      </c>
      <c r="D62" s="1477">
        <f t="shared" si="75"/>
        <v>136.12396694214877</v>
      </c>
      <c r="E62" s="1477">
        <f t="shared" si="102"/>
        <v>158.32225913621264</v>
      </c>
      <c r="F62" s="1477">
        <f t="shared" si="102"/>
        <v>114.04278074866311</v>
      </c>
      <c r="G62" s="3347">
        <v>2006</v>
      </c>
      <c r="H62" s="1466">
        <v>1</v>
      </c>
      <c r="I62" s="1466">
        <v>2.29</v>
      </c>
      <c r="J62" s="1466">
        <v>3.72</v>
      </c>
      <c r="K62" s="1466">
        <v>0.75</v>
      </c>
      <c r="L62" s="1478">
        <v>0.04</v>
      </c>
      <c r="N62" s="1527">
        <f t="shared" si="99"/>
        <v>4.3778675988638847E-2</v>
      </c>
      <c r="O62" s="1528">
        <f t="shared" si="99"/>
        <v>3.9114251466784385E-2</v>
      </c>
      <c r="P62" s="1528">
        <f t="shared" si="100"/>
        <v>2.1433929911049188E-2</v>
      </c>
      <c r="Q62" s="1528">
        <f t="shared" si="100"/>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3" t="s">
        <v>1191</v>
      </c>
      <c r="B63" s="1490">
        <v>138</v>
      </c>
      <c r="C63" s="1490">
        <v>131</v>
      </c>
      <c r="D63" s="1490">
        <f t="shared" si="75"/>
        <v>131</v>
      </c>
      <c r="E63" s="1490">
        <v>155</v>
      </c>
      <c r="F63" s="1491">
        <v>114</v>
      </c>
      <c r="G63" s="3345">
        <v>2005</v>
      </c>
      <c r="H63" s="1482">
        <v>4</v>
      </c>
      <c r="I63" s="1482">
        <v>3.29</v>
      </c>
      <c r="J63" s="1482">
        <v>1.44</v>
      </c>
      <c r="K63" s="1482">
        <v>0.66</v>
      </c>
      <c r="L63" s="1483">
        <v>7.78</v>
      </c>
      <c r="N63" s="1524">
        <f t="shared" ref="N63:O66" si="103">I63/SUM(I$63:I$66)*(B$63/B$67-1)</f>
        <v>9.9404603216919935E-2</v>
      </c>
      <c r="O63" s="1525">
        <f t="shared" si="103"/>
        <v>4.7636550760861554E-2</v>
      </c>
      <c r="P63" s="1525">
        <f t="shared" ref="P63:Q66" si="104">K63/SUM(K$63:K$66)*(E$63/E$67-1)</f>
        <v>8.3756345177664976E-2</v>
      </c>
      <c r="Q63" s="1525">
        <f t="shared" si="104"/>
        <v>5.2148766661559584E-2</v>
      </c>
      <c r="R63" s="1474"/>
      <c r="S63" s="1475"/>
      <c r="T63" s="1476"/>
      <c r="U63" s="1476"/>
      <c r="V63" s="1476"/>
      <c r="X63" s="1526"/>
      <c r="Y63" s="1526"/>
      <c r="Z63" s="1526"/>
    </row>
    <row r="64" spans="1:26">
      <c r="A64" s="1463" t="s">
        <v>1192</v>
      </c>
      <c r="B64" s="1477">
        <f t="shared" ref="B64:C66" si="105">B65+(B$63-B$67)*I64/SUM(I$63:I$66)</f>
        <v>125.9720430107527</v>
      </c>
      <c r="C64" s="1477">
        <f t="shared" si="105"/>
        <v>125.1883408071749</v>
      </c>
      <c r="D64" s="1477">
        <f t="shared" si="75"/>
        <v>125.1883408071749</v>
      </c>
      <c r="E64" s="1477">
        <f t="shared" ref="E64:F66" si="106">E65+(E$63-E$67)*K64/SUM(K$63:K$66)</f>
        <v>144.61421319796952</v>
      </c>
      <c r="F64" s="1477">
        <f t="shared" si="106"/>
        <v>108.42008196721311</v>
      </c>
      <c r="G64" s="3346">
        <v>2005</v>
      </c>
      <c r="H64" s="1487">
        <v>3</v>
      </c>
      <c r="I64" s="1487">
        <v>0.46</v>
      </c>
      <c r="J64" s="1487">
        <v>0.32</v>
      </c>
      <c r="K64" s="1487">
        <v>0.42</v>
      </c>
      <c r="L64" s="1488">
        <v>0.64</v>
      </c>
      <c r="N64" s="1524">
        <f t="shared" si="103"/>
        <v>1.3898515951301874E-2</v>
      </c>
      <c r="O64" s="1525">
        <f t="shared" si="103"/>
        <v>1.0585900169080346E-2</v>
      </c>
      <c r="P64" s="1525">
        <f t="shared" si="104"/>
        <v>5.3299492385786795E-2</v>
      </c>
      <c r="Q64" s="1525">
        <f t="shared" si="104"/>
        <v>4.2898728359123568E-3</v>
      </c>
      <c r="R64" s="1474"/>
      <c r="S64" s="1472"/>
      <c r="T64" s="1473"/>
      <c r="U64" s="1473"/>
      <c r="V64" s="1473"/>
      <c r="X64" s="1526"/>
      <c r="Y64" s="1526"/>
      <c r="Z64" s="1526"/>
    </row>
    <row r="65" spans="1:26">
      <c r="A65" s="1463" t="s">
        <v>1193</v>
      </c>
      <c r="B65" s="1477">
        <f t="shared" si="105"/>
        <v>124.29032258064517</v>
      </c>
      <c r="C65" s="1477">
        <f t="shared" si="105"/>
        <v>123.8968609865471</v>
      </c>
      <c r="D65" s="1477">
        <f t="shared" si="75"/>
        <v>123.8968609865471</v>
      </c>
      <c r="E65" s="1477">
        <f t="shared" si="106"/>
        <v>138.00507614213197</v>
      </c>
      <c r="F65" s="1477">
        <f t="shared" si="106"/>
        <v>107.96106557377048</v>
      </c>
      <c r="G65" s="3346">
        <v>2005</v>
      </c>
      <c r="H65" s="1467">
        <v>2</v>
      </c>
      <c r="I65" s="1467">
        <v>0.47</v>
      </c>
      <c r="J65" s="1467">
        <v>0.1</v>
      </c>
      <c r="K65" s="1467">
        <v>0.52</v>
      </c>
      <c r="L65" s="1479">
        <v>0.79</v>
      </c>
      <c r="N65" s="1524">
        <f t="shared" si="103"/>
        <v>1.420065760241713E-2</v>
      </c>
      <c r="O65" s="1525">
        <f t="shared" si="103"/>
        <v>3.3080938028376083E-3</v>
      </c>
      <c r="P65" s="1525">
        <f t="shared" si="104"/>
        <v>6.598984771573603E-2</v>
      </c>
      <c r="Q65" s="1525">
        <f t="shared" si="104"/>
        <v>5.2953117818293153E-3</v>
      </c>
      <c r="R65" s="1474"/>
      <c r="S65" s="1472"/>
      <c r="T65" s="1473"/>
      <c r="U65" s="1473"/>
      <c r="V65" s="1473"/>
      <c r="X65" s="1526"/>
      <c r="Y65" s="1526"/>
      <c r="Z65" s="1526"/>
    </row>
    <row r="66" spans="1:26">
      <c r="A66" s="1463" t="s">
        <v>1194</v>
      </c>
      <c r="B66" s="1477">
        <f t="shared" si="105"/>
        <v>122.57204301075269</v>
      </c>
      <c r="C66" s="1477">
        <f t="shared" si="105"/>
        <v>123.4932735426009</v>
      </c>
      <c r="D66" s="1477">
        <f t="shared" si="75"/>
        <v>123.4932735426009</v>
      </c>
      <c r="E66" s="1477">
        <f t="shared" si="106"/>
        <v>129.82233502538071</v>
      </c>
      <c r="F66" s="1477">
        <f t="shared" si="106"/>
        <v>107.39446721311475</v>
      </c>
      <c r="G66" s="3347">
        <v>2005</v>
      </c>
      <c r="H66" s="1466">
        <v>1</v>
      </c>
      <c r="I66" s="1466">
        <v>0.43</v>
      </c>
      <c r="J66" s="1466">
        <v>0.37</v>
      </c>
      <c r="K66" s="1466">
        <v>0.37</v>
      </c>
      <c r="L66" s="1478">
        <v>0.55000000000000004</v>
      </c>
      <c r="N66" s="1527">
        <f t="shared" si="103"/>
        <v>1.2992090997956099E-2</v>
      </c>
      <c r="O66" s="1528">
        <f t="shared" si="103"/>
        <v>1.2239947070499151E-2</v>
      </c>
      <c r="P66" s="1528">
        <f t="shared" si="104"/>
        <v>4.6954314720812178E-2</v>
      </c>
      <c r="Q66" s="1528">
        <f t="shared" si="104"/>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3" t="s">
        <v>1195</v>
      </c>
      <c r="B67" s="1511">
        <v>121</v>
      </c>
      <c r="C67" s="1511">
        <v>122</v>
      </c>
      <c r="D67" s="1511">
        <f t="shared" si="75"/>
        <v>122</v>
      </c>
      <c r="E67" s="1511">
        <v>124</v>
      </c>
      <c r="F67" s="1512">
        <v>107</v>
      </c>
      <c r="G67" s="3345">
        <v>2004</v>
      </c>
      <c r="H67" s="1482">
        <v>4</v>
      </c>
      <c r="I67" s="1482">
        <v>0.33</v>
      </c>
      <c r="J67" s="1482">
        <v>0.5</v>
      </c>
      <c r="K67" s="1482">
        <v>0.5</v>
      </c>
      <c r="L67" s="1483">
        <v>0</v>
      </c>
      <c r="N67" s="1524">
        <f t="shared" ref="N67:O70" si="107">I67/SUM(I$67:I$70)*(B$67/B$71-1)</f>
        <v>1.3391770148526898E-2</v>
      </c>
      <c r="O67" s="1525">
        <f t="shared" si="107"/>
        <v>1.063264221158958E-2</v>
      </c>
      <c r="P67" s="1525">
        <f t="shared" ref="P67:Q70" si="108">K67/SUM(K$67:K$70)*(E$67/E$71-1)</f>
        <v>2.2244466688911134E-2</v>
      </c>
      <c r="Q67" s="1525">
        <f t="shared" si="108"/>
        <v>0</v>
      </c>
      <c r="R67" s="1474"/>
      <c r="S67" s="1475"/>
      <c r="T67" s="1476"/>
      <c r="U67" s="1476"/>
      <c r="V67" s="1476"/>
      <c r="X67" s="1526"/>
      <c r="Y67" s="1526"/>
      <c r="Z67" s="1526"/>
    </row>
    <row r="68" spans="1:26">
      <c r="A68" s="1463" t="s">
        <v>1196</v>
      </c>
      <c r="B68" s="1477">
        <f t="shared" ref="B68:C70" si="109">B69+(B$67-B$71)*I68/SUM(I$67:I$70)</f>
        <v>119.51351351351352</v>
      </c>
      <c r="C68" s="1477">
        <f t="shared" si="109"/>
        <v>120.7878787878788</v>
      </c>
      <c r="D68" s="1477">
        <f t="shared" si="75"/>
        <v>120.7878787878788</v>
      </c>
      <c r="E68" s="1477">
        <f t="shared" ref="E68:F70" si="110">E69+(E$67-E$71)*K68/SUM(K$67:K$70)</f>
        <v>121.5975975975976</v>
      </c>
      <c r="F68" s="1477">
        <f t="shared" si="110"/>
        <v>107</v>
      </c>
      <c r="G68" s="3346">
        <v>2004</v>
      </c>
      <c r="H68" s="1487">
        <v>3</v>
      </c>
      <c r="I68" s="1487">
        <v>0.56000000000000005</v>
      </c>
      <c r="J68" s="1487">
        <v>0.8</v>
      </c>
      <c r="K68" s="1487">
        <v>0.83</v>
      </c>
      <c r="L68" s="1488">
        <v>0.06</v>
      </c>
      <c r="N68" s="1524">
        <f t="shared" si="107"/>
        <v>2.2725428130833527E-2</v>
      </c>
      <c r="O68" s="1525">
        <f t="shared" si="107"/>
        <v>1.7012227538543329E-2</v>
      </c>
      <c r="P68" s="1525">
        <f t="shared" si="108"/>
        <v>3.6925814703592477E-2</v>
      </c>
      <c r="Q68" s="1525">
        <f t="shared" si="108"/>
        <v>2.8846153846153744E-2</v>
      </c>
      <c r="R68" s="1474"/>
      <c r="S68" s="1472"/>
      <c r="T68" s="1473"/>
      <c r="U68" s="1473"/>
      <c r="V68" s="1473"/>
      <c r="X68" s="1526"/>
      <c r="Y68" s="1526"/>
      <c r="Z68" s="1526"/>
    </row>
    <row r="69" spans="1:26">
      <c r="A69" s="1463" t="s">
        <v>1197</v>
      </c>
      <c r="B69" s="1477">
        <f t="shared" si="109"/>
        <v>116.99099099099099</v>
      </c>
      <c r="C69" s="1477">
        <f t="shared" si="109"/>
        <v>118.84848484848486</v>
      </c>
      <c r="D69" s="1477">
        <f t="shared" si="75"/>
        <v>118.84848484848486</v>
      </c>
      <c r="E69" s="1477">
        <f t="shared" si="110"/>
        <v>117.60960960960961</v>
      </c>
      <c r="F69" s="1477">
        <f t="shared" si="110"/>
        <v>104</v>
      </c>
      <c r="G69" s="3346">
        <v>2004</v>
      </c>
      <c r="H69" s="1467">
        <v>2</v>
      </c>
      <c r="I69" s="1467">
        <v>1</v>
      </c>
      <c r="J69" s="1467">
        <v>1.5</v>
      </c>
      <c r="K69" s="1467">
        <v>1.5</v>
      </c>
      <c r="L69" s="1479">
        <v>0</v>
      </c>
      <c r="N69" s="1524">
        <f t="shared" si="107"/>
        <v>4.0581121662202721E-2</v>
      </c>
      <c r="O69" s="1525">
        <f t="shared" si="107"/>
        <v>3.1897926634768738E-2</v>
      </c>
      <c r="P69" s="1525">
        <f t="shared" si="108"/>
        <v>6.6733400066733395E-2</v>
      </c>
      <c r="Q69" s="1525">
        <f t="shared" si="108"/>
        <v>0</v>
      </c>
      <c r="R69" s="1474"/>
      <c r="S69" s="1472"/>
      <c r="T69" s="1473"/>
      <c r="U69" s="1473"/>
      <c r="V69" s="1473"/>
      <c r="X69" s="1526"/>
      <c r="Y69" s="1526"/>
      <c r="Z69" s="1526"/>
    </row>
    <row r="70" spans="1:26" s="1517" customFormat="1" ht="13.5" thickBot="1">
      <c r="A70" s="1463" t="s">
        <v>1198</v>
      </c>
      <c r="B70" s="1514">
        <f t="shared" si="109"/>
        <v>112.48648648648648</v>
      </c>
      <c r="C70" s="1514">
        <f t="shared" si="109"/>
        <v>115.21212121212122</v>
      </c>
      <c r="D70" s="1514">
        <f t="shared" si="75"/>
        <v>115.21212121212122</v>
      </c>
      <c r="E70" s="1514">
        <f t="shared" si="110"/>
        <v>110.4024024024024</v>
      </c>
      <c r="F70" s="1514">
        <f t="shared" si="110"/>
        <v>104</v>
      </c>
      <c r="G70" s="3347">
        <v>2004</v>
      </c>
      <c r="H70" s="1515">
        <v>1</v>
      </c>
      <c r="I70" s="1515">
        <v>0.33</v>
      </c>
      <c r="J70" s="1515">
        <v>0.5</v>
      </c>
      <c r="K70" s="1515">
        <v>0.5</v>
      </c>
      <c r="L70" s="1516">
        <v>0</v>
      </c>
      <c r="N70" s="1529">
        <f t="shared" si="107"/>
        <v>1.3391770148526898E-2</v>
      </c>
      <c r="O70" s="1530">
        <f t="shared" si="107"/>
        <v>1.063264221158958E-2</v>
      </c>
      <c r="P70" s="1530">
        <f t="shared" si="108"/>
        <v>2.2244466688911134E-2</v>
      </c>
      <c r="Q70" s="1530">
        <f t="shared" si="108"/>
        <v>0</v>
      </c>
      <c r="R70" s="1520"/>
      <c r="S70" s="1518">
        <f>B70/B71-1</f>
        <v>1.3391770148526883E-2</v>
      </c>
      <c r="T70" s="1519">
        <f>C70/C71-1</f>
        <v>1.063264221158966E-2</v>
      </c>
      <c r="U70" s="1519">
        <f>E70/E71-1</f>
        <v>2.2244466688911224E-2</v>
      </c>
      <c r="V70" s="1519">
        <f>F70/F71-1</f>
        <v>0</v>
      </c>
      <c r="X70" s="1531"/>
      <c r="Y70" s="1531"/>
      <c r="Z70" s="1531"/>
    </row>
    <row r="71" spans="1:26" ht="13.5" thickBot="1">
      <c r="A71" s="1463" t="s">
        <v>1199</v>
      </c>
      <c r="B71" s="1532">
        <v>111</v>
      </c>
      <c r="C71" s="1532">
        <v>114</v>
      </c>
      <c r="D71" s="1532">
        <f t="shared" si="75"/>
        <v>114</v>
      </c>
      <c r="E71" s="1532">
        <v>108</v>
      </c>
      <c r="F71" s="1533">
        <v>104</v>
      </c>
      <c r="G71" s="3345">
        <v>2003</v>
      </c>
      <c r="H71" s="1522">
        <v>4</v>
      </c>
      <c r="I71" s="1534"/>
      <c r="J71" s="1534"/>
      <c r="K71" s="1534"/>
      <c r="L71" s="1534"/>
      <c r="N71" s="1535"/>
      <c r="O71" s="1534"/>
      <c r="P71" s="1534"/>
      <c r="Q71" s="1534"/>
      <c r="S71" s="1535"/>
      <c r="T71" s="1534"/>
      <c r="U71" s="1534"/>
      <c r="V71" s="1534"/>
      <c r="X71" s="1526"/>
      <c r="Y71" s="1526"/>
      <c r="Z71" s="1526"/>
    </row>
    <row r="72" spans="1:26">
      <c r="A72" s="1463" t="s">
        <v>1200</v>
      </c>
      <c r="B72" s="1536">
        <f t="shared" ref="B72:C74" si="111">B73+(B$71-B$75)/4</f>
        <v>109.75</v>
      </c>
      <c r="C72" s="1536">
        <f t="shared" si="111"/>
        <v>112.25</v>
      </c>
      <c r="D72" s="1536">
        <f t="shared" si="75"/>
        <v>112.25</v>
      </c>
      <c r="E72" s="1536">
        <f t="shared" ref="E72:F74" si="112">E73+(E$71-E$75)/4</f>
        <v>107.25</v>
      </c>
      <c r="F72" s="1536">
        <f t="shared" si="112"/>
        <v>103.5</v>
      </c>
      <c r="G72" s="3346">
        <v>2003</v>
      </c>
      <c r="H72" s="1487">
        <v>3</v>
      </c>
      <c r="I72" s="1534"/>
      <c r="J72" s="1534"/>
      <c r="K72" s="1534"/>
      <c r="L72" s="1534"/>
      <c r="X72" s="1526"/>
      <c r="Y72" s="1526"/>
      <c r="Z72" s="1526"/>
    </row>
    <row r="73" spans="1:26">
      <c r="A73" s="1463" t="s">
        <v>1201</v>
      </c>
      <c r="B73" s="1536">
        <f t="shared" si="111"/>
        <v>108.5</v>
      </c>
      <c r="C73" s="1536">
        <f t="shared" si="111"/>
        <v>110.5</v>
      </c>
      <c r="D73" s="1536">
        <f t="shared" si="75"/>
        <v>110.5</v>
      </c>
      <c r="E73" s="1536">
        <f t="shared" si="112"/>
        <v>106.5</v>
      </c>
      <c r="F73" s="1536">
        <f t="shared" si="112"/>
        <v>103</v>
      </c>
      <c r="G73" s="3346">
        <v>2003</v>
      </c>
      <c r="H73" s="1467">
        <v>2</v>
      </c>
      <c r="I73" s="1534"/>
      <c r="J73" s="1534"/>
      <c r="K73" s="1534"/>
      <c r="L73" s="1534"/>
      <c r="X73" s="1526"/>
      <c r="Y73" s="1526"/>
      <c r="Z73" s="1526"/>
    </row>
    <row r="74" spans="1:26" ht="13.5" thickBot="1">
      <c r="A74" s="1463" t="s">
        <v>1202</v>
      </c>
      <c r="B74" s="1536">
        <f t="shared" si="111"/>
        <v>107.25</v>
      </c>
      <c r="C74" s="1536">
        <f t="shared" si="111"/>
        <v>108.75</v>
      </c>
      <c r="D74" s="1536">
        <f t="shared" si="75"/>
        <v>108.75</v>
      </c>
      <c r="E74" s="1536">
        <f t="shared" si="112"/>
        <v>105.75</v>
      </c>
      <c r="F74" s="1536">
        <f t="shared" si="112"/>
        <v>102.5</v>
      </c>
      <c r="G74" s="3347">
        <v>2003</v>
      </c>
      <c r="H74" s="1537">
        <v>1</v>
      </c>
      <c r="I74" s="1534"/>
      <c r="J74" s="1534"/>
      <c r="K74" s="1534"/>
      <c r="L74" s="1534"/>
      <c r="S74" s="1472"/>
      <c r="T74" s="1473"/>
      <c r="U74" s="1473"/>
      <c r="X74" s="1526"/>
      <c r="Y74" s="1526"/>
      <c r="Z74" s="1526"/>
    </row>
    <row r="75" spans="1:26" ht="13.5" thickBot="1">
      <c r="A75" s="1463" t="s">
        <v>1203</v>
      </c>
      <c r="B75" s="1538">
        <v>106</v>
      </c>
      <c r="C75" s="1538">
        <v>107</v>
      </c>
      <c r="D75" s="1538">
        <f t="shared" si="75"/>
        <v>107</v>
      </c>
      <c r="E75" s="1538">
        <v>105</v>
      </c>
      <c r="F75" s="1539">
        <v>102</v>
      </c>
      <c r="G75" s="3345">
        <v>2002</v>
      </c>
      <c r="H75" s="1482">
        <v>4</v>
      </c>
      <c r="I75" s="1534"/>
      <c r="J75" s="1534"/>
      <c r="K75" s="1534"/>
      <c r="L75" s="1534"/>
      <c r="N75" s="1535"/>
      <c r="O75" s="1534"/>
      <c r="P75" s="1534"/>
      <c r="Q75" s="1534"/>
      <c r="S75" s="1535"/>
      <c r="T75" s="1534"/>
      <c r="U75" s="1534"/>
      <c r="V75" s="1534"/>
      <c r="X75" s="1526"/>
      <c r="Y75" s="1526"/>
      <c r="Z75" s="1526"/>
    </row>
    <row r="76" spans="1:26">
      <c r="A76" s="1463" t="s">
        <v>1204</v>
      </c>
      <c r="B76" s="1536">
        <f t="shared" ref="B76:C78" si="113">B77+(B$75-B$79)/4</f>
        <v>105</v>
      </c>
      <c r="C76" s="1536">
        <f t="shared" si="113"/>
        <v>106</v>
      </c>
      <c r="D76" s="1536">
        <f t="shared" si="75"/>
        <v>106</v>
      </c>
      <c r="E76" s="1536">
        <f t="shared" ref="E76:F78" si="114">E77+(E$75-E$79)/4</f>
        <v>104.5</v>
      </c>
      <c r="F76" s="1536">
        <f t="shared" si="114"/>
        <v>101.5</v>
      </c>
      <c r="G76" s="3346">
        <v>2002</v>
      </c>
      <c r="H76" s="1487">
        <v>3</v>
      </c>
      <c r="I76" s="1534"/>
      <c r="J76" s="1534"/>
      <c r="K76" s="1534"/>
      <c r="L76" s="1534"/>
      <c r="X76" s="1526"/>
      <c r="Y76" s="1526"/>
      <c r="Z76" s="1526"/>
    </row>
    <row r="77" spans="1:26">
      <c r="A77" s="1463" t="s">
        <v>1205</v>
      </c>
      <c r="B77" s="1536">
        <f t="shared" si="113"/>
        <v>104</v>
      </c>
      <c r="C77" s="1536">
        <f t="shared" si="113"/>
        <v>105</v>
      </c>
      <c r="D77" s="1536">
        <f t="shared" si="75"/>
        <v>105</v>
      </c>
      <c r="E77" s="1536">
        <f t="shared" si="114"/>
        <v>104</v>
      </c>
      <c r="F77" s="1536">
        <f t="shared" si="114"/>
        <v>101</v>
      </c>
      <c r="G77" s="3346">
        <v>2002</v>
      </c>
      <c r="H77" s="1467">
        <v>2</v>
      </c>
      <c r="I77" s="1534"/>
      <c r="J77" s="1534"/>
      <c r="K77" s="1534"/>
      <c r="L77" s="1534"/>
      <c r="X77" s="1526"/>
      <c r="Y77" s="1526"/>
      <c r="Z77" s="1526"/>
    </row>
    <row r="78" spans="1:26" s="1498" customFormat="1" ht="13.5" thickBot="1">
      <c r="A78" s="1494" t="s">
        <v>1206</v>
      </c>
      <c r="B78" s="1540">
        <f t="shared" si="113"/>
        <v>103</v>
      </c>
      <c r="C78" s="1540">
        <f t="shared" si="113"/>
        <v>104</v>
      </c>
      <c r="D78" s="1540">
        <f t="shared" si="75"/>
        <v>104</v>
      </c>
      <c r="E78" s="1540">
        <f t="shared" si="114"/>
        <v>103.5</v>
      </c>
      <c r="F78" s="1540">
        <f t="shared" si="114"/>
        <v>100.5</v>
      </c>
      <c r="G78" s="3347">
        <v>2002</v>
      </c>
      <c r="H78" s="1541">
        <v>1</v>
      </c>
      <c r="I78" s="1542"/>
      <c r="J78" s="1542"/>
      <c r="K78" s="1542"/>
      <c r="L78" s="1542"/>
      <c r="N78" s="1543"/>
      <c r="S78" s="1543"/>
      <c r="X78" s="1544"/>
      <c r="Y78" s="1544"/>
      <c r="Z78" s="1544"/>
    </row>
    <row r="79" spans="1:26" ht="13.5" thickBot="1">
      <c r="B79" s="1545">
        <v>102</v>
      </c>
      <c r="C79" s="1546">
        <v>103</v>
      </c>
      <c r="D79" s="1546">
        <f t="shared" si="75"/>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1207</v>
      </c>
      <c r="G81" s="1550"/>
      <c r="N81" s="1550"/>
      <c r="S81" s="1550"/>
    </row>
    <row r="82" spans="1:22" s="1549" customFormat="1">
      <c r="A82" s="1549" t="s">
        <v>1208</v>
      </c>
      <c r="G82" s="1550"/>
      <c r="N82" s="1550"/>
      <c r="S82" s="1550"/>
    </row>
    <row r="83" spans="1:22" s="1549" customFormat="1">
      <c r="A83" s="1549" t="s">
        <v>1209</v>
      </c>
      <c r="G83" s="1550"/>
      <c r="I83" s="1551"/>
      <c r="J83" s="1551"/>
      <c r="K83" s="1551"/>
      <c r="L83" s="1551"/>
      <c r="N83" s="1552"/>
      <c r="O83" s="1551"/>
      <c r="P83" s="1551"/>
      <c r="Q83" s="1551"/>
      <c r="S83" s="1552"/>
      <c r="T83" s="1551"/>
      <c r="U83" s="1551"/>
      <c r="V83" s="1551"/>
    </row>
    <row r="84" spans="1:22" s="1549" customFormat="1">
      <c r="A84" s="1549" t="s">
        <v>1210</v>
      </c>
      <c r="G84" s="1550"/>
      <c r="N84" s="1550"/>
      <c r="S84" s="1550"/>
    </row>
    <row r="91" spans="1:22" ht="13.5" thickBot="1"/>
    <row r="92" spans="1:22">
      <c r="G92" s="1471"/>
      <c r="S92" s="1553" t="s">
        <v>1211</v>
      </c>
      <c r="T92" s="1554" t="s">
        <v>1212</v>
      </c>
      <c r="U92" s="1554" t="s">
        <v>1213</v>
      </c>
      <c r="V92" s="1554" t="s">
        <v>1214</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55"/>
      <c r="B4" s="3038" t="s">
        <v>1626</v>
      </c>
      <c r="C4" s="3038"/>
      <c r="D4" s="3038"/>
      <c r="E4" s="1955"/>
    </row>
    <row r="5" spans="1:5" ht="16.5" thickTop="1">
      <c r="A5" s="1953"/>
      <c r="B5" s="3036" t="s">
        <v>1618</v>
      </c>
      <c r="C5" s="1956" t="s">
        <v>1619</v>
      </c>
      <c r="D5" s="1042">
        <f ca="1">结果表!H101</f>
        <v>13321</v>
      </c>
      <c r="E5" s="1953"/>
    </row>
    <row r="6" spans="1:5" ht="15.75">
      <c r="A6" s="1953"/>
      <c r="B6" s="3036"/>
      <c r="C6" s="1956" t="s">
        <v>1620</v>
      </c>
      <c r="D6" s="1042" t="str">
        <f ca="1">NUMBERSTRING(INT(D5*10000),2)&amp;"元整"</f>
        <v>壹亿叁仟叁佰贰拾壹万元整</v>
      </c>
      <c r="E6" s="1953"/>
    </row>
    <row r="7" spans="1:5" ht="15.75">
      <c r="A7" s="1953"/>
      <c r="B7" s="3041"/>
      <c r="C7" s="1957" t="s">
        <v>1621</v>
      </c>
      <c r="D7" s="1043">
        <f ca="1">结果表!H102</f>
        <v>52727</v>
      </c>
      <c r="E7" s="1953"/>
    </row>
    <row r="8" spans="1:5" ht="15.75">
      <c r="A8" s="1953"/>
      <c r="B8" s="3042" t="str">
        <f>结果表!E103</f>
        <v>2.估价师知悉的法定优先受偿款</v>
      </c>
      <c r="C8" s="1958" t="s">
        <v>1622</v>
      </c>
      <c r="D8" s="1043">
        <f>结果表!H103</f>
        <v>0</v>
      </c>
      <c r="E8" s="1953"/>
    </row>
    <row r="9" spans="1:5" ht="15.75">
      <c r="A9" s="1953"/>
      <c r="B9" s="3044"/>
      <c r="C9" s="1956" t="s">
        <v>1620</v>
      </c>
      <c r="D9" s="1042" t="str">
        <f>NUMBERSTRING(INT(D8*10000),2)&amp;"元整"</f>
        <v>零元整</v>
      </c>
      <c r="E9" s="1953"/>
    </row>
    <row r="10" spans="1:5" ht="15">
      <c r="A10" s="1953"/>
      <c r="B10" s="1959" t="s">
        <v>1625</v>
      </c>
      <c r="C10" s="1960" t="s">
        <v>1623</v>
      </c>
      <c r="D10" s="1044">
        <f>结果表!H104</f>
        <v>0</v>
      </c>
      <c r="E10" s="1953"/>
    </row>
    <row r="11" spans="1:5" ht="15">
      <c r="A11" s="1953"/>
      <c r="B11" s="1959" t="s">
        <v>1627</v>
      </c>
      <c r="C11" s="1960" t="s">
        <v>1628</v>
      </c>
      <c r="D11" s="1044">
        <f>结果表!H105</f>
        <v>0</v>
      </c>
      <c r="E11" s="1953"/>
    </row>
    <row r="12" spans="1:5" ht="15">
      <c r="A12" s="1953"/>
      <c r="B12" s="1959" t="s">
        <v>1629</v>
      </c>
      <c r="C12" s="1960" t="s">
        <v>1628</v>
      </c>
      <c r="D12" s="1044">
        <f>结果表!H106</f>
        <v>0</v>
      </c>
      <c r="E12" s="1953"/>
    </row>
    <row r="13" spans="1:5" ht="15.75">
      <c r="A13" s="1953"/>
      <c r="B13" s="3035" t="str">
        <f>结果表!E107</f>
        <v>3.房地产抵押价值</v>
      </c>
      <c r="C13" s="1961" t="s">
        <v>1619</v>
      </c>
      <c r="D13" s="1045">
        <f ca="1">结果表!H107</f>
        <v>13321</v>
      </c>
      <c r="E13" s="1953"/>
    </row>
    <row r="14" spans="1:5" ht="15.75">
      <c r="A14" s="1953"/>
      <c r="B14" s="3036"/>
      <c r="C14" s="1956" t="s">
        <v>1620</v>
      </c>
      <c r="D14" s="1042" t="str">
        <f ca="1">NUMBERSTRING(INT(D13*10000),2)&amp;"元整"</f>
        <v>壹亿叁仟叁佰贰拾壹万元整</v>
      </c>
      <c r="E14" s="1953"/>
    </row>
    <row r="15" spans="1:5" ht="15">
      <c r="A15" s="1953"/>
      <c r="B15" s="3041"/>
      <c r="C15" s="1957" t="s">
        <v>1630</v>
      </c>
      <c r="D15" s="1054">
        <f ca="1">结果表!H108</f>
        <v>52727</v>
      </c>
      <c r="E15" s="1953"/>
    </row>
    <row r="16" spans="1:5" ht="15">
      <c r="A16" s="1953"/>
      <c r="B16" s="3042" t="str">
        <f>结果表!E109</f>
        <v>——</v>
      </c>
      <c r="C16" s="1961" t="s">
        <v>1631</v>
      </c>
      <c r="D16" s="1962" t="str">
        <f>结果表!H109</f>
        <v>——</v>
      </c>
      <c r="E16" s="1953"/>
    </row>
    <row r="17" spans="1:5" ht="15.75">
      <c r="A17" s="1953"/>
      <c r="B17" s="3043"/>
      <c r="C17" s="1956" t="s">
        <v>1632</v>
      </c>
      <c r="D17" s="1042" t="e">
        <f>NUMBERSTRING(INT(D16*10000),2)&amp;"元整"</f>
        <v>#VALUE!</v>
      </c>
      <c r="E17" s="1953"/>
    </row>
    <row r="18" spans="1:5" ht="15">
      <c r="A18" s="1953"/>
      <c r="B18" s="3044"/>
      <c r="C18" s="1957" t="s">
        <v>1621</v>
      </c>
      <c r="D18" s="1054" t="str">
        <f>结果表!H110</f>
        <v>——</v>
      </c>
      <c r="E18" s="1953"/>
    </row>
    <row r="19" spans="1:5" ht="15.75">
      <c r="A19" s="1953"/>
      <c r="B19" s="3035" t="str">
        <f>结果表!E111</f>
        <v>——</v>
      </c>
      <c r="C19" s="1961" t="s">
        <v>1619</v>
      </c>
      <c r="D19" s="1043" t="str">
        <f>结果表!H111</f>
        <v>——</v>
      </c>
      <c r="E19" s="1953"/>
    </row>
    <row r="20" spans="1:5" ht="15.75">
      <c r="A20" s="1953"/>
      <c r="B20" s="3036"/>
      <c r="C20" s="1956" t="s">
        <v>1632</v>
      </c>
      <c r="D20" s="1042" t="e">
        <f>NUMBERSTRING(INT(D19*10000),2)&amp;"元整"</f>
        <v>#VALUE!</v>
      </c>
      <c r="E20" s="1953"/>
    </row>
    <row r="21" spans="1:5" ht="15.75" thickBot="1">
      <c r="A21" s="1953"/>
      <c r="B21" s="3037"/>
      <c r="C21" s="1963" t="s">
        <v>1630</v>
      </c>
      <c r="D21" s="1055" t="str">
        <f>结果表!H112</f>
        <v>——</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4" sqref="F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3004</v>
      </c>
      <c r="C1" s="3355" t="s">
        <v>3005</v>
      </c>
      <c r="D1" s="3356"/>
      <c r="E1" s="3356"/>
      <c r="F1" s="3356"/>
      <c r="G1" s="3356"/>
      <c r="H1" s="3356"/>
      <c r="I1" s="3356"/>
      <c r="J1" s="3356"/>
      <c r="K1" s="3356"/>
      <c r="L1" s="3356"/>
      <c r="M1" s="3356"/>
      <c r="N1" s="3356"/>
      <c r="O1" s="3356"/>
      <c r="P1" s="3356"/>
      <c r="Q1" s="3356"/>
      <c r="R1" s="3356"/>
      <c r="S1" s="3357"/>
      <c r="T1" s="1206" t="s">
        <v>3006</v>
      </c>
    </row>
    <row r="2" spans="1:45" s="706" customFormat="1" ht="38.25">
      <c r="A2" s="1207"/>
      <c r="B2" s="702" t="s">
        <v>3007</v>
      </c>
      <c r="C2" s="703" t="str">
        <f t="shared" ref="C2:L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v>
      </c>
      <c r="E3" s="709">
        <v>2000</v>
      </c>
      <c r="F3" s="1704">
        <v>3000</v>
      </c>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98</v>
      </c>
      <c r="E4" s="1213">
        <v>96</v>
      </c>
      <c r="F4" s="1708">
        <v>94</v>
      </c>
      <c r="G4" s="1708"/>
      <c r="H4" s="1708"/>
      <c r="I4" s="1708"/>
      <c r="J4" s="1708"/>
      <c r="K4" s="1708"/>
      <c r="L4" s="1708"/>
      <c r="M4" s="1709"/>
      <c r="N4" s="1709"/>
      <c r="O4" s="1708"/>
      <c r="P4" s="1708"/>
      <c r="Q4" s="1708"/>
      <c r="R4" s="1708"/>
      <c r="S4" s="1710"/>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64" t="s">
        <v>3008</v>
      </c>
      <c r="C5" s="1218"/>
      <c r="D5" s="1219"/>
      <c r="E5" s="1219"/>
      <c r="F5" s="1711"/>
      <c r="G5" s="1711"/>
      <c r="H5" s="1711"/>
      <c r="I5" s="1711"/>
      <c r="J5" s="1711"/>
      <c r="K5" s="1711"/>
      <c r="L5" s="1712"/>
      <c r="M5" s="1713"/>
      <c r="N5" s="1713"/>
      <c r="O5" s="1711"/>
      <c r="P5" s="1711"/>
      <c r="Q5" s="1711"/>
      <c r="R5" s="1711"/>
      <c r="S5" s="1714"/>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65" t="s">
        <v>3009</v>
      </c>
      <c r="C7" s="1123"/>
      <c r="D7" s="1117"/>
      <c r="E7" s="1117"/>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65" t="s">
        <v>3010</v>
      </c>
      <c r="C9" s="1123"/>
      <c r="D9" s="1117"/>
      <c r="E9" s="1117"/>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64"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64"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64"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3014</v>
      </c>
      <c r="B17" s="2913" t="s">
        <v>3015</v>
      </c>
      <c r="C17" s="1233">
        <v>1</v>
      </c>
      <c r="D17" s="1234">
        <v>-1</v>
      </c>
      <c r="E17" s="3030" t="s">
        <v>3348</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50</v>
      </c>
      <c r="E18" s="1246">
        <v>50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4" t="s">
        <v>3016</v>
      </c>
      <c r="E19" s="1786"/>
      <c r="F19" s="1786"/>
      <c r="G19" s="1786"/>
      <c r="H19" s="1282"/>
      <c r="I19" s="168"/>
      <c r="J19" s="168"/>
      <c r="K19" s="168"/>
      <c r="L19" s="168"/>
      <c r="M19" s="168"/>
      <c r="N19" s="168"/>
      <c r="O19" s="168"/>
      <c r="P19" s="168"/>
      <c r="Q19" s="168"/>
      <c r="R19" s="787"/>
      <c r="S19" s="138"/>
    </row>
    <row r="20" spans="1:45" ht="16.5" thickBot="1">
      <c r="A20" s="714" t="s">
        <v>3017</v>
      </c>
      <c r="B20" s="338">
        <f>IF(D20="——",S22,S22-F20)</f>
        <v>14313</v>
      </c>
      <c r="C20" s="168"/>
      <c r="D20" s="2915" t="s">
        <v>70</v>
      </c>
      <c r="E20" s="1787"/>
      <c r="F20" s="1206" t="e">
        <f ca="1">SUMIF(INDIRECT("'"&amp;H20&amp;"'"&amp;"!A:A"),"承租人权益价值",INDIRECT("'"&amp;H20&amp;"'"&amp;"!c:c"))</f>
        <v>#REF!</v>
      </c>
      <c r="G20" s="1206" t="s">
        <v>3018</v>
      </c>
      <c r="H20" s="2916"/>
      <c r="I20" s="168"/>
      <c r="J20" s="168"/>
      <c r="K20" s="168"/>
      <c r="L20" s="168"/>
      <c r="M20" s="168"/>
      <c r="N20" s="168"/>
      <c r="O20" s="168"/>
      <c r="P20" s="168"/>
      <c r="Q20" s="168"/>
      <c r="R20" s="787"/>
      <c r="S20" s="138"/>
    </row>
    <row r="21" spans="1:45" ht="15.75">
      <c r="A21" s="714" t="s">
        <v>3019</v>
      </c>
      <c r="B21" s="338">
        <f>R22</f>
        <v>56654</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2526.41</v>
      </c>
      <c r="C22" s="3135" t="s">
        <v>33</v>
      </c>
      <c r="D22" s="3136"/>
      <c r="E22" s="3136"/>
      <c r="F22" s="3136"/>
      <c r="G22" s="3136"/>
      <c r="H22" s="3136"/>
      <c r="I22" s="3136"/>
      <c r="J22" s="3136"/>
      <c r="K22" s="3136"/>
      <c r="L22" s="3136"/>
      <c r="M22" s="3136"/>
      <c r="N22" s="3136"/>
      <c r="O22" s="3136"/>
      <c r="P22" s="3136"/>
      <c r="Q22" s="3354"/>
      <c r="R22" s="715">
        <f>ROUND(S22*10000/B22,0)</f>
        <v>56654</v>
      </c>
      <c r="S22" s="24">
        <f>SUM(S24:S10000)</f>
        <v>14313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3029">
        <f>清单!H66</f>
        <v>784.23</v>
      </c>
      <c r="C24" s="718">
        <v>1</v>
      </c>
      <c r="D24" s="719"/>
      <c r="E24" s="718">
        <v>1</v>
      </c>
      <c r="F24" s="719"/>
      <c r="G24" s="718">
        <v>1</v>
      </c>
      <c r="H24" s="719"/>
      <c r="I24" s="718">
        <v>1</v>
      </c>
      <c r="J24" s="719"/>
      <c r="K24" s="718">
        <v>1</v>
      </c>
      <c r="L24" s="719"/>
      <c r="M24" s="718">
        <v>1</v>
      </c>
      <c r="N24" s="719"/>
      <c r="O24" s="718">
        <v>1</v>
      </c>
      <c r="P24" s="719">
        <v>1</v>
      </c>
      <c r="Q24" s="718">
        <v>1</v>
      </c>
      <c r="R24" s="720">
        <f>'比较法-商业'!C48</f>
        <v>87385</v>
      </c>
      <c r="S24" s="718">
        <f t="shared" ref="S24:S54" si="11">ROUND(R24*B24/10000,0)</f>
        <v>6853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清单!H68</f>
        <v>1742.1799999999998</v>
      </c>
      <c r="C25" s="24">
        <f>IF(B25="",1,(LOOKUP(B25,$3:$3,$4:$4)-LOOKUP($B$24,$3:$3,$4:$4)+100)/100)</f>
        <v>0.98</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3101</v>
      </c>
      <c r="Q25" s="24">
        <f>(SUMIF($17:$17,P25,$18:$18)-SUMIF($17:$17,$P$24,$18:$18)+100)/100</f>
        <v>0.5</v>
      </c>
      <c r="R25" s="715">
        <f>IF(B25="",0,ROUND($R$24*C25*E25*G25*I25*K25*M25*O25*Q25,0))</f>
        <v>42819</v>
      </c>
      <c r="S25" s="361">
        <f t="shared" si="11"/>
        <v>7460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34894</v>
      </c>
      <c r="C2" s="2" t="s">
        <v>133</v>
      </c>
      <c r="D2" s="243"/>
      <c r="E2" s="243"/>
      <c r="F2" s="243"/>
      <c r="G2" s="243"/>
    </row>
    <row r="3" spans="1:7" s="244" customFormat="1" ht="18" customHeight="1" thickBot="1">
      <c r="A3" s="247" t="s">
        <v>85</v>
      </c>
      <c r="B3" s="248">
        <f ca="1">ROUND(B2*10000/'数据-汇总表'!E3,0)</f>
        <v>138117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1145</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51</v>
      </c>
      <c r="D10" s="1034">
        <f>'数据-汇总表'!E6</f>
        <v>2526.41</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1052</v>
      </c>
      <c r="B19" s="254" t="s">
        <v>111</v>
      </c>
      <c r="C19" s="255">
        <f>IF(G19="已包含在土地取得成本中","0",ROUND(D19*E19/10000,0))</f>
        <v>51</v>
      </c>
      <c r="D19" s="1038">
        <f>'数据-汇总表'!E3</f>
        <v>2526.41</v>
      </c>
      <c r="E19" s="255">
        <f>'数据-取费表'!B31</f>
        <v>200</v>
      </c>
      <c r="F19" s="275"/>
      <c r="G19" s="1" t="s">
        <v>1071</v>
      </c>
    </row>
    <row r="20" spans="1:7" s="258" customFormat="1" ht="13.5" customHeight="1">
      <c r="A20" s="950" t="s">
        <v>1054</v>
      </c>
      <c r="B20" s="254" t="s">
        <v>104</v>
      </c>
      <c r="C20" s="276">
        <f>ROUND((C5+C19)*F20,0)</f>
        <v>413</v>
      </c>
      <c r="D20" s="276"/>
      <c r="E20" s="276"/>
      <c r="F20" s="277">
        <f>'数据-取费表'!B37</f>
        <v>0.02</v>
      </c>
      <c r="G20" s="1291" t="s">
        <v>1065</v>
      </c>
    </row>
    <row r="21" spans="1:7" s="258" customFormat="1" ht="13.5" customHeight="1">
      <c r="A21" s="950" t="s">
        <v>1056</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3117</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1058</v>
      </c>
      <c r="C23" s="1357">
        <f ca="1">ROUND(IF('数据-取费表'!B22&lt;=1,C5*F22*'数据-取费表'!B23,C5*(POWER((1+F22),'数据-取费表'!B23)-1)),0)</f>
        <v>3079</v>
      </c>
      <c r="D23" s="282"/>
      <c r="E23" s="282"/>
      <c r="F23" s="283"/>
      <c r="G23" s="284" t="s">
        <v>108</v>
      </c>
    </row>
    <row r="24" spans="1:7" s="258" customFormat="1" ht="13.5" customHeight="1">
      <c r="A24" s="953" t="s">
        <v>792</v>
      </c>
      <c r="B24" s="259" t="s">
        <v>1053</v>
      </c>
      <c r="C24" s="1357">
        <f ca="1">ROUND(IF('数据-取费表'!B22&lt;=1,C19*F22*('数据-取费表'!B19/2+'数据-取费表'!B21),C19*(POWER((1+F22),('数据-取费表'!B19/2+'数据-取费表'!B21))-1)),0)</f>
        <v>8</v>
      </c>
      <c r="D24" s="282"/>
      <c r="E24" s="282"/>
      <c r="F24" s="283"/>
      <c r="G24" s="284" t="s">
        <v>109</v>
      </c>
    </row>
    <row r="25" spans="1:7" s="258" customFormat="1" ht="24">
      <c r="A25" s="953" t="s">
        <v>793</v>
      </c>
      <c r="B25" s="259" t="s">
        <v>1055</v>
      </c>
      <c r="C25" s="1357">
        <f ca="1">ROUND(IF('数据-取费表'!B22&lt;=1,C20*F22*'数据-取费表'!B23/2,C20*(POWER((1+F22),'数据-取费表'!B23/2)-1)),0)</f>
        <v>30</v>
      </c>
      <c r="D25" s="282"/>
      <c r="E25" s="285"/>
      <c r="F25" s="283"/>
      <c r="G25" s="286" t="s">
        <v>110</v>
      </c>
    </row>
    <row r="26" spans="1:7" s="258" customFormat="1">
      <c r="A26" s="953" t="s">
        <v>795</v>
      </c>
      <c r="B26" s="259" t="s">
        <v>1057</v>
      </c>
      <c r="C26" s="282">
        <f ca="1">ROUND(IF('数据-取费表'!B22&lt;=1,F21*F22*'数据-取费表'!B23/2,F21*(POWER((1+F22),'数据-取费表'!B23/2)-1)),4)</f>
        <v>1.4E-3</v>
      </c>
      <c r="D26" s="282"/>
      <c r="E26" s="285"/>
      <c r="F26" s="283"/>
      <c r="G26" s="287"/>
    </row>
    <row r="27" spans="1:7" s="258" customFormat="1" ht="24.75">
      <c r="A27" s="950" t="s">
        <v>787</v>
      </c>
      <c r="B27" s="288" t="s">
        <v>112</v>
      </c>
      <c r="C27" s="289">
        <f>C28</f>
        <v>6322</v>
      </c>
      <c r="D27" s="279">
        <f>C29</f>
        <v>6.0000000000000001E-3</v>
      </c>
      <c r="E27" s="280" t="s">
        <v>126</v>
      </c>
      <c r="F27" s="290">
        <f>'数据-取费表'!Q16</f>
        <v>0.3</v>
      </c>
      <c r="G27" s="291" t="s">
        <v>1066</v>
      </c>
    </row>
    <row r="28" spans="1:7" s="258" customFormat="1" ht="13.5" customHeight="1">
      <c r="A28" s="953" t="s">
        <v>794</v>
      </c>
      <c r="B28" s="292" t="s">
        <v>1059</v>
      </c>
      <c r="C28" s="293">
        <f>ROUND((C5+C19+C20)*F27*'数据-取费表'!B21/'数据-取费表'!B20,0)</f>
        <v>6322</v>
      </c>
      <c r="D28" s="279"/>
      <c r="E28" s="280"/>
      <c r="F28" s="290"/>
      <c r="G28" s="291"/>
    </row>
    <row r="29" spans="1:7" s="258" customFormat="1" ht="13.5" customHeight="1">
      <c r="A29" s="953" t="s">
        <v>792</v>
      </c>
      <c r="B29" s="292" t="s">
        <v>1060</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33193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1396</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1263</v>
      </c>
      <c r="D34" s="261"/>
      <c r="E34" s="264"/>
      <c r="F34" s="301">
        <f>IF('数据-取费表'!B24=0,1,'数据-取费表'!N16)</f>
        <v>1</v>
      </c>
      <c r="G34" s="263" t="s">
        <v>116</v>
      </c>
    </row>
    <row r="35" spans="1:7" ht="13.5" customHeight="1">
      <c r="A35" s="953" t="s">
        <v>796</v>
      </c>
      <c r="B35" s="259" t="s">
        <v>60</v>
      </c>
      <c r="C35" s="264">
        <f>ROUND(C34*F35,0)</f>
        <v>63</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51</v>
      </c>
      <c r="D37" s="261">
        <f>'数据-汇总表'!E3</f>
        <v>2526.41</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28</v>
      </c>
      <c r="D39" s="276"/>
      <c r="E39" s="276"/>
      <c r="F39" s="277"/>
      <c r="G39" s="1291" t="s">
        <v>1068</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103</v>
      </c>
      <c r="D41" s="279">
        <f ca="1">C44</f>
        <v>1.4E-3</v>
      </c>
      <c r="E41" s="280" t="s">
        <v>129</v>
      </c>
      <c r="F41" s="281"/>
      <c r="G41" s="1291" t="str">
        <f>IF('数据-取费表'!B22&lt;=1,"单利计息","复利计息")</f>
        <v>复利计息</v>
      </c>
    </row>
    <row r="42" spans="1:7" ht="13.5" customHeight="1">
      <c r="A42" s="953" t="s">
        <v>794</v>
      </c>
      <c r="B42" s="259" t="s">
        <v>1058</v>
      </c>
      <c r="C42" s="282">
        <f ca="1">ROUND(IF('数据-取费表'!B22&lt;=1,C33*F22*'数据-取费表'!B21/2,C33*(POWER((1+F22),'数据-取费表'!B21/2)-1)),0)</f>
        <v>101</v>
      </c>
      <c r="D42" s="282"/>
      <c r="E42" s="282"/>
      <c r="F42" s="283"/>
      <c r="G42" s="3220" t="s">
        <v>121</v>
      </c>
    </row>
    <row r="43" spans="1:7" ht="13.5" customHeight="1">
      <c r="A43" s="953" t="s">
        <v>792</v>
      </c>
      <c r="B43" s="259" t="s">
        <v>1061</v>
      </c>
      <c r="C43" s="282">
        <f ca="1">ROUND(IF('数据-取费表'!B22&lt;=1,C39*F22*'数据-取费表'!B21/2,C39*(POWER((1+F22),'数据-取费表'!B21/2)-1)),0)</f>
        <v>2</v>
      </c>
      <c r="D43" s="282"/>
      <c r="E43" s="282"/>
      <c r="F43" s="283"/>
      <c r="G43" s="3221"/>
    </row>
    <row r="44" spans="1:7" ht="13.5" customHeight="1">
      <c r="A44" s="953" t="s">
        <v>793</v>
      </c>
      <c r="B44" s="259" t="s">
        <v>1063</v>
      </c>
      <c r="C44" s="282">
        <f ca="1">ROUND(IF('数据-取费表'!B22&lt;=1,C40*F22*'数据-取费表'!B21/2,C40*(POWER((1+F22),'数据-取费表'!B21/2)-1)),4)</f>
        <v>1.4E-3</v>
      </c>
      <c r="D44" s="282"/>
      <c r="E44" s="282"/>
      <c r="F44" s="283"/>
      <c r="G44" s="3222"/>
    </row>
    <row r="45" spans="1:7" s="258" customFormat="1" ht="13.5" customHeight="1">
      <c r="A45" s="950" t="s">
        <v>786</v>
      </c>
      <c r="B45" s="288" t="s">
        <v>112</v>
      </c>
      <c r="C45" s="289">
        <f>C46</f>
        <v>427</v>
      </c>
      <c r="D45" s="279">
        <f>C47</f>
        <v>6.0000000000000001E-3</v>
      </c>
      <c r="E45" s="280" t="s">
        <v>129</v>
      </c>
      <c r="F45" s="290"/>
      <c r="G45" s="291" t="s">
        <v>1069</v>
      </c>
    </row>
    <row r="46" spans="1:7" s="258" customFormat="1" ht="13.5" customHeight="1">
      <c r="A46" s="953" t="s">
        <v>794</v>
      </c>
      <c r="B46" s="292" t="s">
        <v>1062</v>
      </c>
      <c r="C46" s="293">
        <f>ROUND((C33+C39)*F27,0)</f>
        <v>427</v>
      </c>
      <c r="D46" s="307"/>
      <c r="E46" s="280"/>
      <c r="F46" s="290"/>
      <c r="G46" s="291"/>
    </row>
    <row r="47" spans="1:7" s="258" customFormat="1" ht="13.5" customHeight="1">
      <c r="A47" s="953" t="s">
        <v>792</v>
      </c>
      <c r="B47" s="292" t="s">
        <v>1064</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2126</v>
      </c>
      <c r="D49" s="276"/>
      <c r="E49" s="276"/>
      <c r="F49" s="308"/>
      <c r="G49" s="278" t="s">
        <v>1070</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1701</v>
      </c>
      <c r="D51" s="276"/>
      <c r="E51" s="276"/>
      <c r="F51" s="308"/>
      <c r="G51" s="278" t="s">
        <v>64</v>
      </c>
    </row>
    <row r="52" spans="1:7" s="252" customFormat="1" ht="16.5" thickBot="1">
      <c r="A52" s="309" t="s">
        <v>65</v>
      </c>
      <c r="B52" s="310"/>
      <c r="C52" s="311">
        <f ca="1">C31+C51</f>
        <v>34894</v>
      </c>
      <c r="D52" s="310"/>
      <c r="E52" s="310"/>
      <c r="F52" s="310"/>
      <c r="G52" s="312"/>
    </row>
    <row r="55" spans="1:7" ht="15">
      <c r="B55" s="314" t="s">
        <v>66</v>
      </c>
      <c r="C55" s="315"/>
    </row>
    <row r="56" spans="1:7">
      <c r="B56" s="317" t="s">
        <v>67</v>
      </c>
      <c r="C56" s="318">
        <f ca="1">ROUND(C51/C52,3)</f>
        <v>4.9000000000000002E-2</v>
      </c>
    </row>
    <row r="57" spans="1:7">
      <c r="B57" s="317" t="s">
        <v>68</v>
      </c>
      <c r="C57" s="319">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58" t="s">
        <v>156</v>
      </c>
      <c r="B1" s="3358"/>
      <c r="C1" s="3358"/>
      <c r="D1" s="3358"/>
      <c r="E1" s="3358"/>
      <c r="F1" s="335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9" t="s">
        <v>169</v>
      </c>
      <c r="B2" s="3359"/>
      <c r="C2" s="3359"/>
      <c r="D2" s="3359"/>
      <c r="E2" s="3359"/>
      <c r="F2" s="335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8" t="s">
        <v>868</v>
      </c>
      <c r="B1" s="3358"/>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43957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B1" workbookViewId="0">
      <selection activeCell="I81" sqref="I81"/>
    </sheetView>
  </sheetViews>
  <sheetFormatPr defaultColWidth="8.875" defaultRowHeight="13.5"/>
  <cols>
    <col min="1" max="1" width="5.125" style="2967" customWidth="1"/>
    <col min="2" max="2" width="14.625" style="2958" bestFit="1" customWidth="1"/>
    <col min="3" max="3" width="11.125" style="2958" bestFit="1" customWidth="1"/>
    <col min="4" max="4" width="6.75" style="2958" customWidth="1"/>
    <col min="5" max="5" width="25" style="2958" hidden="1" customWidth="1"/>
    <col min="6" max="6" width="32.375" style="2958" hidden="1" customWidth="1"/>
    <col min="7" max="7" width="8.875" style="2958"/>
    <col min="8" max="8" width="11.375" style="2958" customWidth="1"/>
    <col min="9" max="9" width="51" style="2966" bestFit="1" customWidth="1"/>
    <col min="10" max="10" width="18.375" style="2958" bestFit="1" customWidth="1"/>
    <col min="11" max="16384" width="8.875" style="2958"/>
  </cols>
  <sheetData>
    <row r="1" spans="1:10" s="2950" customFormat="1" ht="19.5" customHeight="1">
      <c r="A1" s="2946" t="s">
        <v>3068</v>
      </c>
      <c r="B1" s="2946" t="s">
        <v>3069</v>
      </c>
      <c r="C1" s="2947" t="s">
        <v>3070</v>
      </c>
      <c r="D1" s="2947"/>
      <c r="E1" s="2946" t="s">
        <v>3071</v>
      </c>
      <c r="F1" s="2946" t="s">
        <v>3072</v>
      </c>
      <c r="G1" s="2946" t="s">
        <v>3073</v>
      </c>
      <c r="H1" s="2946" t="s">
        <v>3074</v>
      </c>
      <c r="I1" s="2948" t="s">
        <v>1371</v>
      </c>
      <c r="J1" s="2949" t="s">
        <v>3073</v>
      </c>
    </row>
    <row r="2" spans="1:10" hidden="1">
      <c r="A2" s="2951">
        <v>1</v>
      </c>
      <c r="B2" s="2951" t="s">
        <v>3075</v>
      </c>
      <c r="C2" s="2952" t="s">
        <v>3076</v>
      </c>
      <c r="D2" s="2953" t="s">
        <v>3077</v>
      </c>
      <c r="E2" s="2951" t="s">
        <v>3078</v>
      </c>
      <c r="F2" s="2951" t="s">
        <v>3079</v>
      </c>
      <c r="G2" s="2954" t="s">
        <v>1373</v>
      </c>
      <c r="H2" s="2955">
        <v>116.97</v>
      </c>
      <c r="I2" s="2956" t="s">
        <v>3080</v>
      </c>
      <c r="J2" s="2957" t="s">
        <v>3081</v>
      </c>
    </row>
    <row r="3" spans="1:10" s="2950" customFormat="1" ht="19.5" hidden="1" customHeight="1">
      <c r="A3" s="2951">
        <v>2</v>
      </c>
      <c r="B3" s="2951" t="s">
        <v>3075</v>
      </c>
      <c r="C3" s="2951" t="s">
        <v>3076</v>
      </c>
      <c r="D3" s="2955" t="s">
        <v>3082</v>
      </c>
      <c r="E3" s="2951" t="s">
        <v>3078</v>
      </c>
      <c r="F3" s="2951" t="s">
        <v>3079</v>
      </c>
      <c r="G3" s="2954" t="s">
        <v>1373</v>
      </c>
      <c r="H3" s="2955">
        <v>195.1</v>
      </c>
      <c r="I3" s="2959" t="s">
        <v>3080</v>
      </c>
      <c r="J3" s="2950" t="s">
        <v>3081</v>
      </c>
    </row>
    <row r="4" spans="1:10" s="2950" customFormat="1" ht="19.5" hidden="1" customHeight="1">
      <c r="A4" s="2951">
        <v>5</v>
      </c>
      <c r="B4" s="2951" t="s">
        <v>3075</v>
      </c>
      <c r="C4" s="2951" t="s">
        <v>3076</v>
      </c>
      <c r="D4" s="2955" t="s">
        <v>3083</v>
      </c>
      <c r="E4" s="2951" t="s">
        <v>3078</v>
      </c>
      <c r="F4" s="2951" t="s">
        <v>3079</v>
      </c>
      <c r="G4" s="2954" t="s">
        <v>1373</v>
      </c>
      <c r="H4" s="2955">
        <v>585.32000000000005</v>
      </c>
      <c r="I4" s="2959" t="s">
        <v>3080</v>
      </c>
      <c r="J4" s="2950" t="s">
        <v>3081</v>
      </c>
    </row>
    <row r="5" spans="1:10" s="2950" customFormat="1" ht="19.5" hidden="1" customHeight="1">
      <c r="A5" s="2951">
        <v>6</v>
      </c>
      <c r="B5" s="2951" t="s">
        <v>3075</v>
      </c>
      <c r="C5" s="2951" t="s">
        <v>3076</v>
      </c>
      <c r="D5" s="2955" t="s">
        <v>3084</v>
      </c>
      <c r="E5" s="2951" t="s">
        <v>3078</v>
      </c>
      <c r="F5" s="2951" t="s">
        <v>3079</v>
      </c>
      <c r="G5" s="2954" t="s">
        <v>1373</v>
      </c>
      <c r="H5" s="2955">
        <v>143.22</v>
      </c>
      <c r="I5" s="2959" t="s">
        <v>3080</v>
      </c>
      <c r="J5" s="2950" t="s">
        <v>3081</v>
      </c>
    </row>
    <row r="6" spans="1:10" s="2950" customFormat="1" ht="19.5" hidden="1" customHeight="1">
      <c r="A6" s="2951">
        <v>7</v>
      </c>
      <c r="B6" s="2951" t="s">
        <v>3075</v>
      </c>
      <c r="C6" s="2951" t="s">
        <v>3076</v>
      </c>
      <c r="D6" s="2955" t="s">
        <v>3085</v>
      </c>
      <c r="E6" s="2951" t="s">
        <v>3078</v>
      </c>
      <c r="F6" s="2951" t="s">
        <v>3079</v>
      </c>
      <c r="G6" s="2954" t="s">
        <v>1373</v>
      </c>
      <c r="H6" s="2955">
        <v>937.39</v>
      </c>
      <c r="I6" s="2959" t="s">
        <v>3086</v>
      </c>
      <c r="J6" s="2950" t="s">
        <v>3081</v>
      </c>
    </row>
    <row r="7" spans="1:10" s="2950" customFormat="1" ht="19.5" hidden="1" customHeight="1">
      <c r="A7" s="2951">
        <v>8</v>
      </c>
      <c r="B7" s="2951" t="s">
        <v>3075</v>
      </c>
      <c r="C7" s="2951" t="s">
        <v>3076</v>
      </c>
      <c r="D7" s="2955" t="s">
        <v>3087</v>
      </c>
      <c r="E7" s="2951" t="s">
        <v>3078</v>
      </c>
      <c r="F7" s="2951" t="s">
        <v>3079</v>
      </c>
      <c r="G7" s="2954" t="s">
        <v>1373</v>
      </c>
      <c r="H7" s="2955">
        <v>81.98</v>
      </c>
      <c r="I7" s="2959" t="s">
        <v>3086</v>
      </c>
      <c r="J7" s="2950" t="s">
        <v>3081</v>
      </c>
    </row>
    <row r="8" spans="1:10" s="2950" customFormat="1" ht="19.5" hidden="1" customHeight="1">
      <c r="A8" s="2951">
        <v>36</v>
      </c>
      <c r="B8" s="2951" t="s">
        <v>3075</v>
      </c>
      <c r="C8" s="2951" t="s">
        <v>3076</v>
      </c>
      <c r="D8" s="2955" t="s">
        <v>3088</v>
      </c>
      <c r="E8" s="2951" t="s">
        <v>3089</v>
      </c>
      <c r="F8" s="2951" t="s">
        <v>3079</v>
      </c>
      <c r="G8" s="2954" t="s">
        <v>1373</v>
      </c>
      <c r="H8" s="2955">
        <v>389.81</v>
      </c>
      <c r="I8" s="2960" t="s">
        <v>3090</v>
      </c>
      <c r="J8" s="2950" t="s">
        <v>3081</v>
      </c>
    </row>
    <row r="9" spans="1:10" s="2950" customFormat="1" ht="19.5" customHeight="1">
      <c r="A9" s="2951">
        <v>28</v>
      </c>
      <c r="B9" s="2951" t="s">
        <v>3075</v>
      </c>
      <c r="C9" s="2951" t="s">
        <v>3076</v>
      </c>
      <c r="D9" s="2955" t="s">
        <v>3091</v>
      </c>
      <c r="E9" s="2951" t="s">
        <v>3092</v>
      </c>
      <c r="F9" s="2951" t="s">
        <v>3079</v>
      </c>
      <c r="G9" s="2954" t="s">
        <v>1373</v>
      </c>
      <c r="H9" s="2955">
        <v>158.26</v>
      </c>
      <c r="I9" s="2959" t="s">
        <v>3093</v>
      </c>
      <c r="J9" s="2950" t="s">
        <v>3081</v>
      </c>
    </row>
    <row r="10" spans="1:10" s="2950" customFormat="1" ht="19.5" customHeight="1">
      <c r="A10" s="2951">
        <v>29</v>
      </c>
      <c r="B10" s="2951" t="s">
        <v>3075</v>
      </c>
      <c r="C10" s="2951" t="s">
        <v>3076</v>
      </c>
      <c r="D10" s="2955" t="s">
        <v>3094</v>
      </c>
      <c r="E10" s="2951" t="s">
        <v>3092</v>
      </c>
      <c r="F10" s="2951" t="s">
        <v>3079</v>
      </c>
      <c r="G10" s="2954" t="s">
        <v>1373</v>
      </c>
      <c r="H10" s="2955">
        <v>191.02</v>
      </c>
      <c r="I10" s="2959" t="s">
        <v>3093</v>
      </c>
      <c r="J10" s="2950" t="s">
        <v>3081</v>
      </c>
    </row>
    <row r="11" spans="1:10" s="2950" customFormat="1" ht="19.5" hidden="1" customHeight="1">
      <c r="A11" s="2951">
        <v>9</v>
      </c>
      <c r="B11" s="2951" t="s">
        <v>3075</v>
      </c>
      <c r="C11" s="2951" t="s">
        <v>3076</v>
      </c>
      <c r="D11" s="2955" t="s">
        <v>3121</v>
      </c>
      <c r="E11" s="2951" t="s">
        <v>3078</v>
      </c>
      <c r="F11" s="2951" t="s">
        <v>3079</v>
      </c>
      <c r="G11" s="2954" t="s">
        <v>1373</v>
      </c>
      <c r="H11" s="2955">
        <v>267.7</v>
      </c>
      <c r="I11" s="2959" t="s">
        <v>3120</v>
      </c>
      <c r="J11" s="2950" t="s">
        <v>3081</v>
      </c>
    </row>
    <row r="12" spans="1:10" s="2950" customFormat="1" ht="19.5" hidden="1" customHeight="1">
      <c r="A12" s="2951">
        <v>10</v>
      </c>
      <c r="B12" s="2951" t="s">
        <v>3075</v>
      </c>
      <c r="C12" s="2951" t="s">
        <v>3076</v>
      </c>
      <c r="D12" s="2955" t="s">
        <v>3119</v>
      </c>
      <c r="E12" s="2951" t="s">
        <v>3078</v>
      </c>
      <c r="F12" s="2951" t="s">
        <v>3079</v>
      </c>
      <c r="G12" s="2954" t="s">
        <v>1373</v>
      </c>
      <c r="H12" s="2955">
        <v>652.02</v>
      </c>
      <c r="I12" s="2959" t="s">
        <v>3120</v>
      </c>
      <c r="J12" s="2950" t="s">
        <v>3081</v>
      </c>
    </row>
    <row r="13" spans="1:10" s="2950" customFormat="1" ht="19.5" hidden="1" customHeight="1">
      <c r="A13" s="2951">
        <v>13</v>
      </c>
      <c r="B13" s="2951" t="s">
        <v>3075</v>
      </c>
      <c r="C13" s="2951" t="s">
        <v>3076</v>
      </c>
      <c r="D13" s="2955" t="s">
        <v>3095</v>
      </c>
      <c r="E13" s="2951" t="s">
        <v>3078</v>
      </c>
      <c r="F13" s="2951" t="s">
        <v>3079</v>
      </c>
      <c r="G13" s="2954" t="s">
        <v>1373</v>
      </c>
      <c r="H13" s="2955">
        <v>140.5</v>
      </c>
      <c r="I13" s="2959" t="s">
        <v>3096</v>
      </c>
      <c r="J13" s="2950" t="s">
        <v>3081</v>
      </c>
    </row>
    <row r="14" spans="1:10" s="2950" customFormat="1" ht="19.5" hidden="1" customHeight="1">
      <c r="A14" s="2951">
        <v>14</v>
      </c>
      <c r="B14" s="2951" t="s">
        <v>3075</v>
      </c>
      <c r="C14" s="2951" t="s">
        <v>3076</v>
      </c>
      <c r="D14" s="2955" t="s">
        <v>3097</v>
      </c>
      <c r="E14" s="2951" t="s">
        <v>3078</v>
      </c>
      <c r="F14" s="2951" t="s">
        <v>3079</v>
      </c>
      <c r="G14" s="2954" t="s">
        <v>1373</v>
      </c>
      <c r="H14" s="2955">
        <v>764.9</v>
      </c>
      <c r="I14" s="2959" t="s">
        <v>3096</v>
      </c>
      <c r="J14" s="2950" t="s">
        <v>3081</v>
      </c>
    </row>
    <row r="15" spans="1:10" s="2950" customFormat="1" ht="19.5" hidden="1" customHeight="1">
      <c r="A15" s="2951">
        <v>15</v>
      </c>
      <c r="B15" s="2951" t="s">
        <v>3075</v>
      </c>
      <c r="C15" s="2951" t="s">
        <v>3076</v>
      </c>
      <c r="D15" s="2955" t="s">
        <v>3098</v>
      </c>
      <c r="E15" s="2951" t="s">
        <v>3078</v>
      </c>
      <c r="F15" s="2951" t="s">
        <v>3079</v>
      </c>
      <c r="G15" s="2954" t="s">
        <v>1373</v>
      </c>
      <c r="H15" s="2955">
        <v>463.85</v>
      </c>
      <c r="I15" s="2959" t="s">
        <v>3096</v>
      </c>
      <c r="J15" s="2950" t="s">
        <v>3081</v>
      </c>
    </row>
    <row r="16" spans="1:10" s="2950" customFormat="1" ht="19.5" hidden="1" customHeight="1">
      <c r="A16" s="2951">
        <v>16</v>
      </c>
      <c r="B16" s="2951" t="s">
        <v>3075</v>
      </c>
      <c r="C16" s="2951" t="s">
        <v>3076</v>
      </c>
      <c r="D16" s="2955" t="s">
        <v>3099</v>
      </c>
      <c r="E16" s="2951" t="s">
        <v>3078</v>
      </c>
      <c r="F16" s="2951" t="s">
        <v>3079</v>
      </c>
      <c r="G16" s="2954" t="s">
        <v>1373</v>
      </c>
      <c r="H16" s="2955">
        <v>51.8</v>
      </c>
      <c r="I16" s="2959" t="s">
        <v>3096</v>
      </c>
      <c r="J16" s="2950" t="s">
        <v>3081</v>
      </c>
    </row>
    <row r="17" spans="1:10" s="2950" customFormat="1" ht="19.5" hidden="1" customHeight="1">
      <c r="A17" s="2951">
        <v>17</v>
      </c>
      <c r="B17" s="2951" t="s">
        <v>3075</v>
      </c>
      <c r="C17" s="2951" t="s">
        <v>3076</v>
      </c>
      <c r="D17" s="2955" t="s">
        <v>3100</v>
      </c>
      <c r="E17" s="2951" t="s">
        <v>3078</v>
      </c>
      <c r="F17" s="2951" t="s">
        <v>3079</v>
      </c>
      <c r="G17" s="2954" t="s">
        <v>1373</v>
      </c>
      <c r="H17" s="2955">
        <v>136.6</v>
      </c>
      <c r="I17" s="2959" t="s">
        <v>3101</v>
      </c>
      <c r="J17" s="2950" t="s">
        <v>3081</v>
      </c>
    </row>
    <row r="18" spans="1:10" s="2950" customFormat="1" ht="19.5" hidden="1" customHeight="1">
      <c r="A18" s="2951">
        <v>18</v>
      </c>
      <c r="B18" s="2951" t="s">
        <v>3075</v>
      </c>
      <c r="C18" s="2951" t="s">
        <v>3076</v>
      </c>
      <c r="D18" s="2955" t="s">
        <v>3102</v>
      </c>
      <c r="E18" s="2951" t="s">
        <v>3078</v>
      </c>
      <c r="F18" s="2951" t="s">
        <v>3079</v>
      </c>
      <c r="G18" s="2954" t="s">
        <v>1373</v>
      </c>
      <c r="H18" s="2955">
        <v>411.31</v>
      </c>
      <c r="I18" s="2959" t="s">
        <v>3103</v>
      </c>
      <c r="J18" s="2950" t="s">
        <v>3081</v>
      </c>
    </row>
    <row r="19" spans="1:10" s="2950" customFormat="1" ht="19.5" hidden="1" customHeight="1">
      <c r="A19" s="2951">
        <v>19</v>
      </c>
      <c r="B19" s="2951" t="s">
        <v>3075</v>
      </c>
      <c r="C19" s="2951" t="s">
        <v>3076</v>
      </c>
      <c r="D19" s="2955" t="s">
        <v>3104</v>
      </c>
      <c r="E19" s="2951" t="s">
        <v>3078</v>
      </c>
      <c r="F19" s="2951" t="s">
        <v>3079</v>
      </c>
      <c r="G19" s="2954" t="s">
        <v>1373</v>
      </c>
      <c r="H19" s="2955">
        <v>291.10000000000002</v>
      </c>
      <c r="I19" s="2959" t="s">
        <v>3103</v>
      </c>
      <c r="J19" s="2950" t="s">
        <v>3081</v>
      </c>
    </row>
    <row r="20" spans="1:10" s="2950" customFormat="1" ht="19.5" customHeight="1">
      <c r="A20" s="2951">
        <v>22</v>
      </c>
      <c r="B20" s="2951" t="s">
        <v>3075</v>
      </c>
      <c r="C20" s="2951" t="s">
        <v>3076</v>
      </c>
      <c r="D20" s="2955" t="s">
        <v>3105</v>
      </c>
      <c r="E20" s="2951" t="s">
        <v>3092</v>
      </c>
      <c r="F20" s="2951" t="s">
        <v>3079</v>
      </c>
      <c r="G20" s="2954" t="s">
        <v>1373</v>
      </c>
      <c r="H20" s="2955">
        <v>493.62</v>
      </c>
      <c r="I20" s="2959" t="s">
        <v>3103</v>
      </c>
      <c r="J20" s="2950" t="s">
        <v>3081</v>
      </c>
    </row>
    <row r="21" spans="1:10" s="2950" customFormat="1" ht="19.5" customHeight="1">
      <c r="A21" s="2951">
        <v>23</v>
      </c>
      <c r="B21" s="2951" t="s">
        <v>3075</v>
      </c>
      <c r="C21" s="2951" t="s">
        <v>3076</v>
      </c>
      <c r="D21" s="2955" t="s">
        <v>3106</v>
      </c>
      <c r="E21" s="2951" t="s">
        <v>3092</v>
      </c>
      <c r="F21" s="2951" t="s">
        <v>3079</v>
      </c>
      <c r="G21" s="2954" t="s">
        <v>1373</v>
      </c>
      <c r="H21" s="2955">
        <v>769.64</v>
      </c>
      <c r="I21" s="2959" t="s">
        <v>3103</v>
      </c>
      <c r="J21" s="2950" t="s">
        <v>3081</v>
      </c>
    </row>
    <row r="22" spans="1:10" s="2950" customFormat="1" ht="19.5" customHeight="1">
      <c r="A22" s="2951">
        <v>24</v>
      </c>
      <c r="B22" s="2951" t="s">
        <v>3075</v>
      </c>
      <c r="C22" s="2951" t="s">
        <v>3076</v>
      </c>
      <c r="D22" s="2955" t="s">
        <v>3107</v>
      </c>
      <c r="E22" s="2951" t="s">
        <v>3092</v>
      </c>
      <c r="F22" s="2951" t="s">
        <v>3079</v>
      </c>
      <c r="G22" s="2954" t="s">
        <v>1373</v>
      </c>
      <c r="H22" s="2955">
        <v>129.63999999999999</v>
      </c>
      <c r="I22" s="2959" t="s">
        <v>3103</v>
      </c>
      <c r="J22" s="2950" t="s">
        <v>3081</v>
      </c>
    </row>
    <row r="23" spans="1:10" s="2950" customFormat="1" ht="19.5" hidden="1" customHeight="1">
      <c r="A23" s="2951">
        <v>33</v>
      </c>
      <c r="B23" s="2951" t="s">
        <v>3075</v>
      </c>
      <c r="C23" s="2951" t="s">
        <v>3076</v>
      </c>
      <c r="D23" s="2955" t="s">
        <v>3108</v>
      </c>
      <c r="E23" s="2951" t="s">
        <v>3089</v>
      </c>
      <c r="F23" s="2951" t="s">
        <v>3079</v>
      </c>
      <c r="G23" s="2954" t="s">
        <v>1373</v>
      </c>
      <c r="H23" s="2955">
        <v>119.42</v>
      </c>
      <c r="I23" s="2959" t="s">
        <v>3109</v>
      </c>
      <c r="J23" s="2950" t="s">
        <v>3081</v>
      </c>
    </row>
    <row r="24" spans="1:10" s="2950" customFormat="1" ht="19.5" hidden="1" customHeight="1">
      <c r="A24" s="2951">
        <v>34</v>
      </c>
      <c r="B24" s="2951" t="s">
        <v>3075</v>
      </c>
      <c r="C24" s="2951" t="s">
        <v>3076</v>
      </c>
      <c r="D24" s="2955" t="s">
        <v>3110</v>
      </c>
      <c r="E24" s="2951" t="s">
        <v>3089</v>
      </c>
      <c r="F24" s="2951" t="s">
        <v>3079</v>
      </c>
      <c r="G24" s="2954" t="s">
        <v>1373</v>
      </c>
      <c r="H24" s="2955">
        <v>156.88</v>
      </c>
      <c r="I24" s="2959" t="s">
        <v>3109</v>
      </c>
      <c r="J24" s="2950" t="s">
        <v>3081</v>
      </c>
    </row>
    <row r="25" spans="1:10" s="2950" customFormat="1" ht="19.5" hidden="1" customHeight="1">
      <c r="A25" s="2951">
        <v>35</v>
      </c>
      <c r="B25" s="2951" t="s">
        <v>3075</v>
      </c>
      <c r="C25" s="2951" t="s">
        <v>3076</v>
      </c>
      <c r="D25" s="2955" t="s">
        <v>3111</v>
      </c>
      <c r="E25" s="2951" t="s">
        <v>3089</v>
      </c>
      <c r="F25" s="2951" t="s">
        <v>3079</v>
      </c>
      <c r="G25" s="2954" t="s">
        <v>1373</v>
      </c>
      <c r="H25" s="2955">
        <v>160.30000000000001</v>
      </c>
      <c r="I25" s="2959" t="s">
        <v>3109</v>
      </c>
      <c r="J25" s="2950" t="s">
        <v>3081</v>
      </c>
    </row>
    <row r="26" spans="1:10" s="2950" customFormat="1" ht="19.5" hidden="1" customHeight="1">
      <c r="A26" s="2951">
        <v>43</v>
      </c>
      <c r="B26" s="2951" t="s">
        <v>3075</v>
      </c>
      <c r="C26" s="2951" t="s">
        <v>3076</v>
      </c>
      <c r="D26" s="2955" t="s">
        <v>3112</v>
      </c>
      <c r="E26" s="2951" t="s">
        <v>3089</v>
      </c>
      <c r="F26" s="2951" t="s">
        <v>3079</v>
      </c>
      <c r="G26" s="2954" t="s">
        <v>1373</v>
      </c>
      <c r="H26" s="2955">
        <v>33.11</v>
      </c>
      <c r="I26" s="2959" t="s">
        <v>3109</v>
      </c>
      <c r="J26" s="2950" t="s">
        <v>3081</v>
      </c>
    </row>
    <row r="27" spans="1:10" s="2950" customFormat="1" ht="19.5" hidden="1" customHeight="1">
      <c r="A27" s="2951">
        <v>44</v>
      </c>
      <c r="B27" s="2951" t="s">
        <v>3075</v>
      </c>
      <c r="C27" s="2951" t="s">
        <v>3076</v>
      </c>
      <c r="D27" s="2955" t="s">
        <v>3113</v>
      </c>
      <c r="E27" s="2951" t="s">
        <v>3089</v>
      </c>
      <c r="F27" s="2951" t="s">
        <v>3079</v>
      </c>
      <c r="G27" s="2954" t="s">
        <v>1373</v>
      </c>
      <c r="H27" s="2955">
        <v>123.48</v>
      </c>
      <c r="I27" s="2959" t="s">
        <v>3109</v>
      </c>
      <c r="J27" s="2950" t="s">
        <v>3081</v>
      </c>
    </row>
    <row r="28" spans="1:10" s="2950" customFormat="1" ht="19.5" hidden="1" customHeight="1">
      <c r="A28" s="2951">
        <v>45</v>
      </c>
      <c r="B28" s="2951" t="s">
        <v>3075</v>
      </c>
      <c r="C28" s="2951" t="s">
        <v>3076</v>
      </c>
      <c r="D28" s="2955" t="s">
        <v>3114</v>
      </c>
      <c r="E28" s="2951" t="s">
        <v>3089</v>
      </c>
      <c r="F28" s="2951" t="s">
        <v>3079</v>
      </c>
      <c r="G28" s="2954" t="s">
        <v>1373</v>
      </c>
      <c r="H28" s="2955">
        <v>572.38</v>
      </c>
      <c r="I28" s="2959" t="s">
        <v>3109</v>
      </c>
      <c r="J28" s="2950" t="s">
        <v>3081</v>
      </c>
    </row>
    <row r="29" spans="1:10" s="2950" customFormat="1" ht="19.5" hidden="1" customHeight="1">
      <c r="A29" s="2951">
        <v>46</v>
      </c>
      <c r="B29" s="2951" t="s">
        <v>3075</v>
      </c>
      <c r="C29" s="2951" t="s">
        <v>3076</v>
      </c>
      <c r="D29" s="2955" t="s">
        <v>3115</v>
      </c>
      <c r="E29" s="2951" t="s">
        <v>3089</v>
      </c>
      <c r="F29" s="2951" t="s">
        <v>3079</v>
      </c>
      <c r="G29" s="2954" t="s">
        <v>1373</v>
      </c>
      <c r="H29" s="2955">
        <v>193.03</v>
      </c>
      <c r="I29" s="2959" t="s">
        <v>3109</v>
      </c>
      <c r="J29" s="2950" t="s">
        <v>3081</v>
      </c>
    </row>
    <row r="30" spans="1:10" s="2950" customFormat="1" ht="19.5" hidden="1" customHeight="1">
      <c r="A30" s="2951">
        <v>52</v>
      </c>
      <c r="B30" s="2951" t="s">
        <v>3075</v>
      </c>
      <c r="C30" s="2951" t="s">
        <v>3076</v>
      </c>
      <c r="D30" s="2955" t="s">
        <v>3116</v>
      </c>
      <c r="E30" s="2951" t="s">
        <v>3117</v>
      </c>
      <c r="F30" s="2951" t="s">
        <v>3079</v>
      </c>
      <c r="G30" s="2954" t="s">
        <v>1373</v>
      </c>
      <c r="H30" s="2955">
        <v>822.17</v>
      </c>
      <c r="I30" s="2959" t="s">
        <v>3109</v>
      </c>
      <c r="J30" s="2950" t="s">
        <v>3081</v>
      </c>
    </row>
    <row r="31" spans="1:10" s="2950" customFormat="1" ht="19.5" hidden="1" customHeight="1">
      <c r="A31" s="2951">
        <v>53</v>
      </c>
      <c r="B31" s="2951" t="s">
        <v>3075</v>
      </c>
      <c r="C31" s="2951" t="s">
        <v>3076</v>
      </c>
      <c r="D31" s="2955" t="s">
        <v>3118</v>
      </c>
      <c r="E31" s="2951" t="s">
        <v>3117</v>
      </c>
      <c r="F31" s="2951" t="s">
        <v>3079</v>
      </c>
      <c r="G31" s="2954" t="s">
        <v>1373</v>
      </c>
      <c r="H31" s="2955">
        <v>817.97</v>
      </c>
      <c r="I31" s="2959" t="s">
        <v>3109</v>
      </c>
      <c r="J31" s="2950" t="s">
        <v>3081</v>
      </c>
    </row>
    <row r="32" spans="1:10">
      <c r="H32" s="2958">
        <f>SUM(H2+H3+H4+H5+H6+H7+H11+H12+H13+H14+H15+H16+H17+H18+H19)</f>
        <v>5239.7600000000011</v>
      </c>
    </row>
    <row r="33" spans="1:10">
      <c r="H33" s="2958">
        <f>H35+H36+H40+H41</f>
        <v>648.21</v>
      </c>
      <c r="I33" s="2966">
        <f>H32+H33</f>
        <v>5887.9700000000012</v>
      </c>
    </row>
    <row r="34" spans="1:10" s="2950" customFormat="1" ht="19.5" customHeight="1">
      <c r="A34" s="3366" t="s">
        <v>3122</v>
      </c>
      <c r="B34" s="3367"/>
      <c r="C34" s="3367"/>
      <c r="D34" s="3367"/>
      <c r="E34" s="3367"/>
      <c r="F34" s="3367"/>
      <c r="G34" s="3368"/>
      <c r="H34" s="2955">
        <f>SUM(H2:H31)</f>
        <v>10370.490000000002</v>
      </c>
      <c r="I34" s="2959"/>
    </row>
    <row r="35" spans="1:10" s="2950" customFormat="1" ht="19.5" hidden="1" customHeight="1">
      <c r="A35" s="2951">
        <v>3</v>
      </c>
      <c r="B35" s="2951" t="s">
        <v>3075</v>
      </c>
      <c r="C35" s="2951" t="s">
        <v>3076</v>
      </c>
      <c r="D35" s="2955" t="s">
        <v>3123</v>
      </c>
      <c r="E35" s="2951" t="s">
        <v>3078</v>
      </c>
      <c r="F35" s="2951" t="s">
        <v>3079</v>
      </c>
      <c r="G35" s="2954" t="s">
        <v>1373</v>
      </c>
      <c r="H35" s="2955">
        <v>145.62</v>
      </c>
      <c r="I35" s="2960" t="s">
        <v>3124</v>
      </c>
      <c r="J35" s="2950" t="s">
        <v>3125</v>
      </c>
    </row>
    <row r="36" spans="1:10" s="2950" customFormat="1" ht="19.5" hidden="1" customHeight="1">
      <c r="A36" s="2951">
        <v>4</v>
      </c>
      <c r="B36" s="2951" t="s">
        <v>3075</v>
      </c>
      <c r="C36" s="2951" t="s">
        <v>3076</v>
      </c>
      <c r="D36" s="2955" t="s">
        <v>3126</v>
      </c>
      <c r="E36" s="2951" t="s">
        <v>3078</v>
      </c>
      <c r="F36" s="2951" t="s">
        <v>3079</v>
      </c>
      <c r="G36" s="2954" t="s">
        <v>1373</v>
      </c>
      <c r="H36" s="2955">
        <v>107.88</v>
      </c>
      <c r="I36" s="2960" t="s">
        <v>3127</v>
      </c>
      <c r="J36" s="2950" t="s">
        <v>3125</v>
      </c>
    </row>
    <row r="37" spans="1:10" s="2950" customFormat="1" ht="19.5" customHeight="1">
      <c r="A37" s="2951">
        <v>25</v>
      </c>
      <c r="B37" s="2951" t="s">
        <v>3075</v>
      </c>
      <c r="C37" s="2951" t="s">
        <v>3076</v>
      </c>
      <c r="D37" s="2955" t="s">
        <v>3128</v>
      </c>
      <c r="E37" s="2951" t="s">
        <v>3092</v>
      </c>
      <c r="F37" s="2951" t="s">
        <v>3079</v>
      </c>
      <c r="G37" s="2954" t="s">
        <v>1373</v>
      </c>
      <c r="H37" s="2955">
        <v>312.37</v>
      </c>
      <c r="I37" s="2961" t="s">
        <v>3129</v>
      </c>
      <c r="J37" s="2950" t="s">
        <v>3125</v>
      </c>
    </row>
    <row r="38" spans="1:10" s="2950" customFormat="1" ht="19.5" customHeight="1">
      <c r="A38" s="2951">
        <v>26</v>
      </c>
      <c r="B38" s="2951" t="s">
        <v>3075</v>
      </c>
      <c r="C38" s="2951" t="s">
        <v>3076</v>
      </c>
      <c r="D38" s="2955" t="s">
        <v>3130</v>
      </c>
      <c r="E38" s="2951" t="s">
        <v>3092</v>
      </c>
      <c r="F38" s="2951" t="s">
        <v>3079</v>
      </c>
      <c r="G38" s="2954" t="s">
        <v>1373</v>
      </c>
      <c r="H38" s="2955">
        <v>35.840000000000003</v>
      </c>
      <c r="I38" s="2961" t="s">
        <v>3131</v>
      </c>
      <c r="J38" s="2950" t="s">
        <v>3125</v>
      </c>
    </row>
    <row r="39" spans="1:10" s="2950" customFormat="1" ht="19.5" customHeight="1">
      <c r="A39" s="2951">
        <v>27</v>
      </c>
      <c r="B39" s="2951" t="s">
        <v>3075</v>
      </c>
      <c r="C39" s="2951" t="s">
        <v>3076</v>
      </c>
      <c r="D39" s="2955" t="s">
        <v>3132</v>
      </c>
      <c r="E39" s="2951" t="s">
        <v>3092</v>
      </c>
      <c r="F39" s="2951" t="s">
        <v>3079</v>
      </c>
      <c r="G39" s="2954" t="s">
        <v>1373</v>
      </c>
      <c r="H39" s="2955">
        <v>163.88</v>
      </c>
      <c r="I39" s="2960" t="s">
        <v>3133</v>
      </c>
      <c r="J39" s="2950" t="s">
        <v>3125</v>
      </c>
    </row>
    <row r="40" spans="1:10" s="2950" customFormat="1" ht="19.5" hidden="1" customHeight="1">
      <c r="A40" s="2951">
        <v>11</v>
      </c>
      <c r="B40" s="2951" t="s">
        <v>3075</v>
      </c>
      <c r="C40" s="2951" t="s">
        <v>3076</v>
      </c>
      <c r="D40" s="2955" t="s">
        <v>3134</v>
      </c>
      <c r="E40" s="2951" t="s">
        <v>3078</v>
      </c>
      <c r="F40" s="2951" t="s">
        <v>3079</v>
      </c>
      <c r="G40" s="2954" t="s">
        <v>1373</v>
      </c>
      <c r="H40" s="2955">
        <v>227.71</v>
      </c>
      <c r="I40" s="2962" t="s">
        <v>3135</v>
      </c>
      <c r="J40" s="2950" t="s">
        <v>3125</v>
      </c>
    </row>
    <row r="41" spans="1:10" s="2950" customFormat="1" ht="19.5" hidden="1" customHeight="1">
      <c r="A41" s="2951">
        <v>12</v>
      </c>
      <c r="B41" s="2951" t="s">
        <v>3075</v>
      </c>
      <c r="C41" s="2951" t="s">
        <v>3076</v>
      </c>
      <c r="D41" s="2955" t="s">
        <v>3136</v>
      </c>
      <c r="E41" s="2951" t="s">
        <v>3078</v>
      </c>
      <c r="F41" s="2951" t="s">
        <v>3079</v>
      </c>
      <c r="G41" s="2954" t="s">
        <v>1373</v>
      </c>
      <c r="H41" s="2955">
        <v>167</v>
      </c>
      <c r="I41" s="2960" t="s">
        <v>3135</v>
      </c>
      <c r="J41" s="2950" t="s">
        <v>3125</v>
      </c>
    </row>
    <row r="42" spans="1:10" s="2950" customFormat="1" ht="19.5" customHeight="1">
      <c r="A42" s="2952">
        <v>20</v>
      </c>
      <c r="B42" s="2951" t="s">
        <v>3075</v>
      </c>
      <c r="C42" s="2951" t="s">
        <v>3076</v>
      </c>
      <c r="D42" s="2955" t="s">
        <v>3137</v>
      </c>
      <c r="E42" s="2951" t="s">
        <v>3092</v>
      </c>
      <c r="F42" s="2951" t="s">
        <v>3079</v>
      </c>
      <c r="G42" s="2954" t="s">
        <v>1373</v>
      </c>
      <c r="H42" s="2955">
        <v>181.72</v>
      </c>
      <c r="I42" s="2960" t="s">
        <v>3138</v>
      </c>
      <c r="J42" s="2950" t="s">
        <v>3125</v>
      </c>
    </row>
    <row r="43" spans="1:10">
      <c r="A43" s="2963">
        <v>21</v>
      </c>
      <c r="B43" s="2951" t="s">
        <v>3075</v>
      </c>
      <c r="C43" s="2951" t="s">
        <v>3076</v>
      </c>
      <c r="D43" s="2955" t="s">
        <v>3139</v>
      </c>
      <c r="E43" s="2951" t="s">
        <v>3092</v>
      </c>
      <c r="F43" s="2951" t="s">
        <v>3079</v>
      </c>
      <c r="G43" s="2954" t="s">
        <v>1373</v>
      </c>
      <c r="H43" s="2955">
        <v>90.42</v>
      </c>
      <c r="I43" s="2964" t="s">
        <v>3140</v>
      </c>
      <c r="J43" s="2950" t="s">
        <v>3125</v>
      </c>
    </row>
    <row r="44" spans="1:10" s="2950" customFormat="1" ht="19.5" hidden="1" customHeight="1">
      <c r="A44" s="2952">
        <v>32</v>
      </c>
      <c r="B44" s="2951" t="s">
        <v>3075</v>
      </c>
      <c r="C44" s="2951" t="s">
        <v>3076</v>
      </c>
      <c r="D44" s="2955" t="s">
        <v>3141</v>
      </c>
      <c r="E44" s="2951" t="s">
        <v>3089</v>
      </c>
      <c r="F44" s="2951" t="s">
        <v>3079</v>
      </c>
      <c r="G44" s="2954" t="s">
        <v>1373</v>
      </c>
      <c r="H44" s="2955">
        <v>156.91</v>
      </c>
      <c r="I44" s="2960" t="s">
        <v>3142</v>
      </c>
      <c r="J44" s="2950" t="s">
        <v>3125</v>
      </c>
    </row>
    <row r="45" spans="1:10" hidden="1">
      <c r="A45" s="2963">
        <v>30</v>
      </c>
      <c r="B45" s="2951" t="s">
        <v>3075</v>
      </c>
      <c r="C45" s="2951" t="s">
        <v>3076</v>
      </c>
      <c r="D45" s="2955" t="s">
        <v>3143</v>
      </c>
      <c r="E45" s="2951" t="s">
        <v>3089</v>
      </c>
      <c r="F45" s="2951" t="s">
        <v>3079</v>
      </c>
      <c r="G45" s="2954" t="s">
        <v>1373</v>
      </c>
      <c r="H45" s="2955">
        <v>180.42</v>
      </c>
      <c r="I45" s="2960" t="s">
        <v>3144</v>
      </c>
      <c r="J45" s="2950" t="s">
        <v>3125</v>
      </c>
    </row>
    <row r="46" spans="1:10" hidden="1">
      <c r="A46" s="2963">
        <v>31</v>
      </c>
      <c r="B46" s="2951" t="s">
        <v>3075</v>
      </c>
      <c r="C46" s="2951" t="s">
        <v>3076</v>
      </c>
      <c r="D46" s="2955" t="s">
        <v>3145</v>
      </c>
      <c r="E46" s="2951" t="s">
        <v>3089</v>
      </c>
      <c r="F46" s="2951" t="s">
        <v>3079</v>
      </c>
      <c r="G46" s="2954" t="s">
        <v>1373</v>
      </c>
      <c r="H46" s="2955">
        <v>453.61</v>
      </c>
      <c r="I46" s="2960" t="s">
        <v>3144</v>
      </c>
      <c r="J46" s="2950" t="s">
        <v>3125</v>
      </c>
    </row>
    <row r="47" spans="1:10" s="2950" customFormat="1" ht="19.5" hidden="1" customHeight="1">
      <c r="A47" s="2951">
        <v>37</v>
      </c>
      <c r="B47" s="3369" t="s">
        <v>3075</v>
      </c>
      <c r="C47" s="3369" t="s">
        <v>3076</v>
      </c>
      <c r="D47" s="3363" t="s">
        <v>3146</v>
      </c>
      <c r="E47" s="2951" t="s">
        <v>3089</v>
      </c>
      <c r="F47" s="2951" t="s">
        <v>3079</v>
      </c>
      <c r="G47" s="3371" t="s">
        <v>1373</v>
      </c>
      <c r="H47" s="3363">
        <v>331.17</v>
      </c>
      <c r="I47" s="2960" t="s">
        <v>3147</v>
      </c>
      <c r="J47" s="2950" t="s">
        <v>3125</v>
      </c>
    </row>
    <row r="48" spans="1:10" s="2950" customFormat="1" ht="19.5" hidden="1" customHeight="1">
      <c r="A48" s="2952"/>
      <c r="B48" s="3370"/>
      <c r="C48" s="3370"/>
      <c r="D48" s="3365"/>
      <c r="E48" s="2951"/>
      <c r="F48" s="2951"/>
      <c r="G48" s="3372"/>
      <c r="H48" s="3365"/>
      <c r="I48" s="2960" t="s">
        <v>3148</v>
      </c>
      <c r="J48" s="2950" t="s">
        <v>3125</v>
      </c>
    </row>
    <row r="49" spans="1:10" s="2950" customFormat="1" ht="19.5" hidden="1" customHeight="1">
      <c r="A49" s="2952">
        <v>40</v>
      </c>
      <c r="B49" s="2951" t="s">
        <v>3075</v>
      </c>
      <c r="C49" s="2951" t="s">
        <v>3076</v>
      </c>
      <c r="D49" s="2955" t="s">
        <v>3149</v>
      </c>
      <c r="E49" s="2951" t="s">
        <v>3089</v>
      </c>
      <c r="F49" s="2951" t="s">
        <v>3079</v>
      </c>
      <c r="G49" s="2954" t="s">
        <v>1373</v>
      </c>
      <c r="H49" s="2955">
        <v>142.19999999999999</v>
      </c>
      <c r="I49" s="2964" t="s">
        <v>3150</v>
      </c>
      <c r="J49" s="2950" t="s">
        <v>3125</v>
      </c>
    </row>
    <row r="50" spans="1:10" s="2950" customFormat="1" ht="19.5" hidden="1" customHeight="1">
      <c r="A50" s="2951">
        <v>41</v>
      </c>
      <c r="B50" s="2951" t="s">
        <v>3075</v>
      </c>
      <c r="C50" s="2951" t="s">
        <v>3076</v>
      </c>
      <c r="D50" s="2955" t="s">
        <v>3151</v>
      </c>
      <c r="E50" s="2951" t="s">
        <v>3089</v>
      </c>
      <c r="F50" s="2951" t="s">
        <v>3079</v>
      </c>
      <c r="G50" s="2954" t="s">
        <v>1373</v>
      </c>
      <c r="H50" s="2955">
        <v>177.48</v>
      </c>
      <c r="I50" s="2964" t="s">
        <v>3150</v>
      </c>
      <c r="J50" s="2950" t="s">
        <v>3125</v>
      </c>
    </row>
    <row r="51" spans="1:10" s="2950" customFormat="1" ht="19.5" hidden="1" customHeight="1">
      <c r="A51" s="2952">
        <v>38</v>
      </c>
      <c r="B51" s="2951" t="s">
        <v>3075</v>
      </c>
      <c r="C51" s="2951" t="s">
        <v>3076</v>
      </c>
      <c r="D51" s="2955" t="s">
        <v>3152</v>
      </c>
      <c r="E51" s="2951" t="s">
        <v>3089</v>
      </c>
      <c r="F51" s="2951" t="s">
        <v>3079</v>
      </c>
      <c r="G51" s="2954" t="s">
        <v>1373</v>
      </c>
      <c r="H51" s="2955">
        <v>122.39</v>
      </c>
      <c r="I51" s="2964" t="s">
        <v>3153</v>
      </c>
      <c r="J51" s="2950" t="s">
        <v>3125</v>
      </c>
    </row>
    <row r="52" spans="1:10" s="2950" customFormat="1" ht="19.5" hidden="1" customHeight="1">
      <c r="A52" s="3363">
        <v>39</v>
      </c>
      <c r="B52" s="3363" t="s">
        <v>3075</v>
      </c>
      <c r="C52" s="3363" t="s">
        <v>3076</v>
      </c>
      <c r="D52" s="3363" t="s">
        <v>3154</v>
      </c>
      <c r="E52" s="2951" t="s">
        <v>3089</v>
      </c>
      <c r="F52" s="2951" t="s">
        <v>3079</v>
      </c>
      <c r="G52" s="3363" t="s">
        <v>1373</v>
      </c>
      <c r="H52" s="3363">
        <v>357.52</v>
      </c>
      <c r="I52" s="2964" t="s">
        <v>3155</v>
      </c>
      <c r="J52" s="2950" t="s">
        <v>3125</v>
      </c>
    </row>
    <row r="53" spans="1:10" s="2950" customFormat="1" ht="19.5" hidden="1" customHeight="1">
      <c r="A53" s="3364"/>
      <c r="B53" s="3364"/>
      <c r="C53" s="3364"/>
      <c r="D53" s="3364"/>
      <c r="E53" s="2951"/>
      <c r="F53" s="2951"/>
      <c r="G53" s="3364"/>
      <c r="H53" s="3364"/>
      <c r="I53" s="2960" t="s">
        <v>3156</v>
      </c>
      <c r="J53" s="2950" t="s">
        <v>3125</v>
      </c>
    </row>
    <row r="54" spans="1:10" s="2950" customFormat="1" ht="19.5" hidden="1" customHeight="1">
      <c r="A54" s="3364"/>
      <c r="B54" s="3364"/>
      <c r="C54" s="3364"/>
      <c r="D54" s="3364"/>
      <c r="E54" s="2951"/>
      <c r="F54" s="2951"/>
      <c r="G54" s="3364"/>
      <c r="H54" s="3364"/>
      <c r="I54" s="2960" t="s">
        <v>3157</v>
      </c>
      <c r="J54" s="2950" t="s">
        <v>3125</v>
      </c>
    </row>
    <row r="55" spans="1:10" s="2950" customFormat="1" ht="19.5" hidden="1" customHeight="1">
      <c r="A55" s="3365"/>
      <c r="B55" s="3365"/>
      <c r="C55" s="3365"/>
      <c r="D55" s="3365"/>
      <c r="E55" s="2951"/>
      <c r="F55" s="2951"/>
      <c r="G55" s="3365"/>
      <c r="H55" s="3365"/>
      <c r="I55" s="2960" t="s">
        <v>3158</v>
      </c>
      <c r="J55" s="2950" t="s">
        <v>3159</v>
      </c>
    </row>
    <row r="56" spans="1:10" s="2950" customFormat="1" ht="19.5" hidden="1" customHeight="1">
      <c r="A56" s="2951">
        <v>42</v>
      </c>
      <c r="B56" s="2951" t="s">
        <v>3075</v>
      </c>
      <c r="C56" s="2951" t="s">
        <v>3076</v>
      </c>
      <c r="D56" s="2955" t="s">
        <v>3160</v>
      </c>
      <c r="E56" s="2951" t="s">
        <v>3089</v>
      </c>
      <c r="F56" s="2951" t="s">
        <v>3079</v>
      </c>
      <c r="G56" s="2954" t="s">
        <v>1373</v>
      </c>
      <c r="H56" s="2955">
        <v>118.81</v>
      </c>
      <c r="I56" s="2960" t="s">
        <v>3161</v>
      </c>
      <c r="J56" s="2950" t="s">
        <v>3125</v>
      </c>
    </row>
    <row r="57" spans="1:10" s="2950" customFormat="1" ht="19.5" hidden="1" customHeight="1">
      <c r="A57" s="2951">
        <v>47</v>
      </c>
      <c r="B57" s="2951" t="s">
        <v>3075</v>
      </c>
      <c r="C57" s="2951" t="s">
        <v>3076</v>
      </c>
      <c r="D57" s="2955" t="s">
        <v>3162</v>
      </c>
      <c r="E57" s="2951" t="s">
        <v>3117</v>
      </c>
      <c r="F57" s="2951" t="s">
        <v>3079</v>
      </c>
      <c r="G57" s="2954" t="s">
        <v>1373</v>
      </c>
      <c r="H57" s="2955">
        <v>134.03</v>
      </c>
      <c r="I57" s="2960" t="s">
        <v>3163</v>
      </c>
      <c r="J57" s="2950" t="s">
        <v>3125</v>
      </c>
    </row>
    <row r="58" spans="1:10" s="2950" customFormat="1" ht="19.5" hidden="1" customHeight="1">
      <c r="A58" s="2951">
        <v>48</v>
      </c>
      <c r="B58" s="2951" t="s">
        <v>3075</v>
      </c>
      <c r="C58" s="2951" t="s">
        <v>3076</v>
      </c>
      <c r="D58" s="2955" t="s">
        <v>3164</v>
      </c>
      <c r="E58" s="2951" t="s">
        <v>3117</v>
      </c>
      <c r="F58" s="2951" t="s">
        <v>3079</v>
      </c>
      <c r="G58" s="2954" t="s">
        <v>1373</v>
      </c>
      <c r="H58" s="2955">
        <v>66.180000000000007</v>
      </c>
      <c r="I58" s="2960" t="s">
        <v>3165</v>
      </c>
      <c r="J58" s="2950" t="s">
        <v>3125</v>
      </c>
    </row>
    <row r="59" spans="1:10" s="2950" customFormat="1" ht="19.5" hidden="1" customHeight="1">
      <c r="A59" s="2951">
        <v>49</v>
      </c>
      <c r="B59" s="2951" t="s">
        <v>3075</v>
      </c>
      <c r="C59" s="2951" t="s">
        <v>3076</v>
      </c>
      <c r="D59" s="2955" t="s">
        <v>3166</v>
      </c>
      <c r="E59" s="2951" t="s">
        <v>3117</v>
      </c>
      <c r="F59" s="2951" t="s">
        <v>3079</v>
      </c>
      <c r="G59" s="2954" t="s">
        <v>1373</v>
      </c>
      <c r="H59" s="2955">
        <v>333.94</v>
      </c>
      <c r="I59" s="2960" t="s">
        <v>3167</v>
      </c>
      <c r="J59" s="2950" t="s">
        <v>3125</v>
      </c>
    </row>
    <row r="60" spans="1:10" s="2950" customFormat="1" ht="19.5" hidden="1" customHeight="1">
      <c r="A60" s="2951">
        <v>50</v>
      </c>
      <c r="B60" s="2951" t="s">
        <v>3075</v>
      </c>
      <c r="C60" s="2951" t="s">
        <v>3076</v>
      </c>
      <c r="D60" s="2955" t="s">
        <v>3168</v>
      </c>
      <c r="E60" s="2951" t="s">
        <v>3117</v>
      </c>
      <c r="F60" s="2951" t="s">
        <v>3079</v>
      </c>
      <c r="G60" s="2954" t="s">
        <v>1373</v>
      </c>
      <c r="H60" s="2955">
        <v>305.31</v>
      </c>
      <c r="I60" s="2960" t="s">
        <v>3169</v>
      </c>
      <c r="J60" s="2950" t="s">
        <v>3125</v>
      </c>
    </row>
    <row r="61" spans="1:10" s="2950" customFormat="1" ht="19.5" hidden="1" customHeight="1">
      <c r="A61" s="2951">
        <v>51</v>
      </c>
      <c r="B61" s="2951" t="s">
        <v>3075</v>
      </c>
      <c r="C61" s="2951" t="s">
        <v>3076</v>
      </c>
      <c r="D61" s="2955" t="s">
        <v>3170</v>
      </c>
      <c r="E61" s="2951" t="s">
        <v>3117</v>
      </c>
      <c r="F61" s="2951" t="s">
        <v>3079</v>
      </c>
      <c r="G61" s="2954" t="s">
        <v>1373</v>
      </c>
      <c r="H61" s="2955">
        <v>147.33000000000001</v>
      </c>
      <c r="I61" s="2960" t="s">
        <v>3171</v>
      </c>
      <c r="J61" s="2950" t="s">
        <v>3125</v>
      </c>
    </row>
    <row r="62" spans="1:10" ht="24" customHeight="1">
      <c r="A62" s="3362" t="s">
        <v>3172</v>
      </c>
      <c r="B62" s="3362"/>
      <c r="C62" s="3362"/>
      <c r="D62" s="3362"/>
      <c r="E62" s="3362"/>
      <c r="F62" s="3362"/>
      <c r="G62" s="3362"/>
      <c r="H62" s="2965">
        <f>SUM(H35:H61)</f>
        <v>4459.7400000000007</v>
      </c>
    </row>
    <row r="63" spans="1:10" ht="24" customHeight="1">
      <c r="C63" s="2968" t="s">
        <v>37</v>
      </c>
      <c r="H63" s="2958">
        <f>H34+H62</f>
        <v>14830.230000000003</v>
      </c>
    </row>
    <row r="66" spans="4:13">
      <c r="G66" s="2997" t="s">
        <v>3311</v>
      </c>
      <c r="H66" s="3004">
        <f>H37+H38+H39+H42+H43</f>
        <v>784.23</v>
      </c>
      <c r="I66" s="2966">
        <v>15</v>
      </c>
      <c r="J66" s="3004"/>
    </row>
    <row r="67" spans="4:13" hidden="1">
      <c r="D67" s="2958">
        <v>0.7</v>
      </c>
      <c r="G67" s="2997" t="s">
        <v>3312</v>
      </c>
      <c r="H67" s="2958">
        <v>0</v>
      </c>
      <c r="I67" s="2966">
        <f>I66*0.7</f>
        <v>10.5</v>
      </c>
      <c r="J67" s="3004"/>
    </row>
    <row r="68" spans="4:13">
      <c r="D68" s="2958">
        <v>0.5</v>
      </c>
      <c r="G68" s="2997" t="s">
        <v>3313</v>
      </c>
      <c r="H68" s="2958">
        <f>H9+H10+H20+H21+H22</f>
        <v>1742.1799999999998</v>
      </c>
      <c r="I68" s="2966">
        <f>I66*D68</f>
        <v>7.5</v>
      </c>
      <c r="J68" s="3004"/>
    </row>
    <row r="70" spans="4:13">
      <c r="H70" s="3004">
        <f>H66+H67+H68</f>
        <v>2526.41</v>
      </c>
      <c r="I70" s="3032">
        <f>ROUND(SUMPRODUCT(H66:H68,I66:I68/H70),1)</f>
        <v>9.8000000000000007</v>
      </c>
      <c r="J70" s="3004"/>
      <c r="L70" s="3004"/>
    </row>
    <row r="71" spans="4:13">
      <c r="J71" s="3004"/>
    </row>
    <row r="75" spans="4:13">
      <c r="H75" s="2997" t="s">
        <v>3343</v>
      </c>
      <c r="I75" s="2966">
        <f>H68+[1]清单!$H$68+[2]清单!$H$68</f>
        <v>4740.92</v>
      </c>
      <c r="J75" s="2958">
        <v>0.45</v>
      </c>
      <c r="K75" s="2958">
        <f>K76*J75</f>
        <v>40275</v>
      </c>
    </row>
    <row r="76" spans="4:13">
      <c r="H76" s="2997" t="s">
        <v>3344</v>
      </c>
      <c r="I76" s="2966">
        <f>系统读取表!B1-清单!I75-清单!I77</f>
        <v>3454.01</v>
      </c>
      <c r="J76" s="2958">
        <v>1</v>
      </c>
      <c r="K76" s="2958">
        <v>89500</v>
      </c>
    </row>
    <row r="77" spans="4:13">
      <c r="H77" s="2958">
        <v>-1</v>
      </c>
      <c r="I77" s="2966">
        <f>[1]清单!$H$65</f>
        <v>747.32999999999993</v>
      </c>
      <c r="J77" s="2958">
        <v>0.5</v>
      </c>
      <c r="K77" s="2958">
        <f>K76*J77</f>
        <v>44750</v>
      </c>
    </row>
    <row r="78" spans="4:13">
      <c r="I78" s="3031">
        <f>SUM(I75:I77)</f>
        <v>8942.26</v>
      </c>
      <c r="J78" s="3031">
        <f>(I75*J75+I76*J76+I77*J77)/I78</f>
        <v>0.66661995960752662</v>
      </c>
      <c r="K78" s="3031">
        <f>(I75*K75+I76*K76+I77*K77)/I78</f>
        <v>59662.48638487362</v>
      </c>
      <c r="L78" s="3031">
        <f ca="1">结果表!D19+[1]结果表!$D$19+[2]结果表!$D$19</f>
        <v>46335</v>
      </c>
      <c r="M78" s="3031">
        <f ca="1">K78/L78</f>
        <v>1.2876332445208507</v>
      </c>
    </row>
    <row r="79" spans="4:13">
      <c r="J79" s="2958">
        <f ca="1">系统读取表!C5/清单!J78</f>
        <v>84101.892228081124</v>
      </c>
      <c r="L79" s="2958">
        <f ca="1">K78*0.6+L78*0.4</f>
        <v>54331.491830924169</v>
      </c>
    </row>
  </sheetData>
  <mergeCells count="13">
    <mergeCell ref="H52:H55"/>
    <mergeCell ref="A34:G34"/>
    <mergeCell ref="B47:B48"/>
    <mergeCell ref="C47:C48"/>
    <mergeCell ref="D47:D48"/>
    <mergeCell ref="G47:G48"/>
    <mergeCell ref="H47:H48"/>
    <mergeCell ref="A62:G62"/>
    <mergeCell ref="A52:A55"/>
    <mergeCell ref="B52:B55"/>
    <mergeCell ref="C52:C55"/>
    <mergeCell ref="D52:D55"/>
    <mergeCell ref="G52:G5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5"/>
  <sheetViews>
    <sheetView workbookViewId="0">
      <selection activeCell="I36" sqref="I36"/>
    </sheetView>
  </sheetViews>
  <sheetFormatPr defaultColWidth="9" defaultRowHeight="12"/>
  <cols>
    <col min="1" max="1" width="4.125" style="2969" customWidth="1"/>
    <col min="2" max="2" width="8.125" style="2969" hidden="1" customWidth="1"/>
    <col min="3" max="3" width="18.25" style="2969" customWidth="1"/>
    <col min="4" max="4" width="20" style="2970" customWidth="1"/>
    <col min="5" max="5" width="9.75" style="2969" customWidth="1"/>
    <col min="6" max="6" width="11.375" style="2969" customWidth="1"/>
    <col min="7" max="8" width="11.625" style="2969" bestFit="1" customWidth="1"/>
    <col min="9" max="9" width="11.625" style="2969" customWidth="1"/>
    <col min="10" max="10" width="13.25" style="2969" customWidth="1"/>
    <col min="11" max="11" width="11.625" style="2969" customWidth="1"/>
    <col min="12" max="12" width="15.625" style="2969" customWidth="1"/>
    <col min="13" max="13" width="8.5" style="2969" bestFit="1" customWidth="1"/>
    <col min="14" max="14" width="7.625" style="2969" customWidth="1"/>
    <col min="15" max="15" width="11.125" style="2969" customWidth="1"/>
    <col min="16" max="16" width="14.875" style="2969" hidden="1" customWidth="1"/>
    <col min="17" max="18" width="22.125" style="2969" hidden="1" customWidth="1"/>
    <col min="19" max="16151" width="22.125" style="2969" customWidth="1"/>
    <col min="16152" max="16384" width="9" style="2969"/>
  </cols>
  <sheetData>
    <row r="1" spans="1:19" ht="20.25" customHeight="1">
      <c r="F1" s="2971"/>
    </row>
    <row r="2" spans="1:19" s="2972" customFormat="1">
      <c r="A2" s="3374" t="s">
        <v>3068</v>
      </c>
      <c r="B2" s="3374" t="s">
        <v>3070</v>
      </c>
      <c r="C2" s="3374" t="s">
        <v>3173</v>
      </c>
      <c r="D2" s="3374" t="s">
        <v>3174</v>
      </c>
      <c r="E2" s="3374" t="s">
        <v>3175</v>
      </c>
      <c r="F2" s="3375" t="s">
        <v>3176</v>
      </c>
      <c r="G2" s="3373" t="s">
        <v>3177</v>
      </c>
      <c r="H2" s="3373"/>
      <c r="I2" s="3373"/>
      <c r="J2" s="3373"/>
      <c r="K2" s="3373"/>
      <c r="L2" s="3373"/>
    </row>
    <row r="3" spans="1:19" s="2972" customFormat="1">
      <c r="A3" s="3374"/>
      <c r="B3" s="3374"/>
      <c r="C3" s="3374"/>
      <c r="D3" s="3374"/>
      <c r="E3" s="3374"/>
      <c r="F3" s="3375"/>
      <c r="G3" s="2973" t="s">
        <v>3178</v>
      </c>
      <c r="H3" s="2973" t="s">
        <v>3179</v>
      </c>
      <c r="I3" s="2973" t="s">
        <v>3180</v>
      </c>
      <c r="J3" s="2973" t="s">
        <v>3181</v>
      </c>
      <c r="K3" s="2973" t="s">
        <v>3182</v>
      </c>
      <c r="L3" s="2974" t="s">
        <v>3183</v>
      </c>
      <c r="N3" s="2972" t="s">
        <v>3184</v>
      </c>
      <c r="O3" s="2972" t="s">
        <v>3185</v>
      </c>
    </row>
    <row r="4" spans="1:19" ht="24" hidden="1">
      <c r="A4" s="2981">
        <v>1</v>
      </c>
      <c r="B4" s="2981" t="s">
        <v>3186</v>
      </c>
      <c r="C4" s="2982" t="s">
        <v>3187</v>
      </c>
      <c r="D4" s="2964" t="s">
        <v>3124</v>
      </c>
      <c r="E4" s="2977" t="s">
        <v>3188</v>
      </c>
      <c r="F4" s="2978">
        <v>145.62</v>
      </c>
      <c r="G4" s="2976" t="s">
        <v>3189</v>
      </c>
      <c r="H4" s="2976" t="s">
        <v>3190</v>
      </c>
      <c r="I4" s="2978">
        <v>46233</v>
      </c>
      <c r="J4" s="2978"/>
      <c r="K4" s="2978"/>
      <c r="L4" s="2978">
        <v>554796</v>
      </c>
      <c r="M4" s="2971">
        <f>I4/F4/30</f>
        <v>10.583024309847548</v>
      </c>
      <c r="O4" s="2998">
        <v>44126</v>
      </c>
      <c r="S4" s="2998">
        <v>43522</v>
      </c>
    </row>
    <row r="5" spans="1:19" ht="20.25" hidden="1" customHeight="1">
      <c r="A5" s="2981">
        <v>2</v>
      </c>
      <c r="B5" s="2981" t="s">
        <v>3186</v>
      </c>
      <c r="C5" s="2983" t="s">
        <v>3191</v>
      </c>
      <c r="D5" s="2964" t="s">
        <v>3192</v>
      </c>
      <c r="E5" s="2964" t="s">
        <v>3193</v>
      </c>
      <c r="F5" s="2978">
        <v>107.88</v>
      </c>
      <c r="G5" s="2960" t="s">
        <v>3194</v>
      </c>
      <c r="H5" s="2960" t="s">
        <v>3195</v>
      </c>
      <c r="I5" s="2978">
        <v>33650</v>
      </c>
      <c r="J5" s="2978">
        <v>35333</v>
      </c>
      <c r="K5" s="2978">
        <v>37100</v>
      </c>
      <c r="L5" s="2978">
        <v>1272996</v>
      </c>
      <c r="M5" s="2971">
        <f>I5/F5/30</f>
        <v>10.397355085897912</v>
      </c>
      <c r="N5" s="2969">
        <f>ROUND(J5/30/F5,2)</f>
        <v>10.92</v>
      </c>
      <c r="O5" s="2999">
        <f>ROUND((O4-S4)/365,2)</f>
        <v>1.65</v>
      </c>
    </row>
    <row r="6" spans="1:19" ht="24" hidden="1">
      <c r="A6" s="2981">
        <v>3</v>
      </c>
      <c r="B6" s="2981" t="s">
        <v>3186</v>
      </c>
      <c r="C6" s="2983" t="s">
        <v>3196</v>
      </c>
      <c r="D6" s="2964" t="s">
        <v>3135</v>
      </c>
      <c r="E6" s="2964" t="s">
        <v>3197</v>
      </c>
      <c r="F6" s="2978">
        <v>394.71</v>
      </c>
      <c r="G6" s="2960" t="s">
        <v>3198</v>
      </c>
      <c r="H6" s="2960" t="s">
        <v>3199</v>
      </c>
      <c r="I6" s="2978">
        <v>37797.878333333334</v>
      </c>
      <c r="J6" s="2978"/>
      <c r="K6" s="2978"/>
      <c r="L6" s="2978" t="s">
        <v>3200</v>
      </c>
      <c r="M6" s="2971">
        <f t="shared" ref="M6:M26" si="0">I6/F6/30</f>
        <v>3.192037895613939</v>
      </c>
    </row>
    <row r="7" spans="1:19" ht="24">
      <c r="A7" s="2984">
        <v>4</v>
      </c>
      <c r="B7" s="2984" t="s">
        <v>3186</v>
      </c>
      <c r="C7" s="2985" t="s">
        <v>3201</v>
      </c>
      <c r="D7" s="2964" t="s">
        <v>3202</v>
      </c>
      <c r="E7" s="2964" t="s">
        <v>3203</v>
      </c>
      <c r="F7" s="2978">
        <v>181.72</v>
      </c>
      <c r="G7" s="2960" t="s">
        <v>3204</v>
      </c>
      <c r="H7" s="2960" t="s">
        <v>3205</v>
      </c>
      <c r="I7" s="2979">
        <v>42174</v>
      </c>
      <c r="J7" s="2978">
        <v>44716</v>
      </c>
      <c r="K7" s="2978">
        <v>47425</v>
      </c>
      <c r="L7" s="2978">
        <v>1611780</v>
      </c>
      <c r="M7" s="2971">
        <f>I7/F7/30</f>
        <v>7.7360774818401943</v>
      </c>
      <c r="N7" s="2969">
        <f>ROUND(L7/365/F7/3,2)</f>
        <v>8.1</v>
      </c>
    </row>
    <row r="8" spans="1:19">
      <c r="A8" s="2984">
        <v>5</v>
      </c>
      <c r="B8" s="2984" t="s">
        <v>3186</v>
      </c>
      <c r="C8" s="2985" t="s">
        <v>3206</v>
      </c>
      <c r="D8" s="2964" t="s">
        <v>3207</v>
      </c>
      <c r="E8" s="2964" t="s">
        <v>3208</v>
      </c>
      <c r="F8" s="2978">
        <v>90.42</v>
      </c>
      <c r="G8" s="2960" t="s">
        <v>3209</v>
      </c>
      <c r="H8" s="2960" t="s">
        <v>3210</v>
      </c>
      <c r="I8" s="2978">
        <v>26125</v>
      </c>
      <c r="J8" s="2978">
        <v>27434</v>
      </c>
      <c r="K8" s="2978">
        <v>28806</v>
      </c>
      <c r="L8" s="2978">
        <v>936130</v>
      </c>
      <c r="M8" s="2971">
        <f t="shared" si="0"/>
        <v>9.6309813463098131</v>
      </c>
      <c r="N8" s="2969">
        <f t="shared" ref="N8:N21" si="1">ROUND(L8/365/F8/3,2)</f>
        <v>9.4499999999999993</v>
      </c>
    </row>
    <row r="9" spans="1:19" ht="24" hidden="1">
      <c r="A9" s="2986">
        <v>6</v>
      </c>
      <c r="B9" s="2986" t="s">
        <v>3186</v>
      </c>
      <c r="C9" s="2987" t="s">
        <v>3211</v>
      </c>
      <c r="D9" s="2964" t="s">
        <v>3212</v>
      </c>
      <c r="E9" s="2964" t="s">
        <v>3213</v>
      </c>
      <c r="F9" s="2978">
        <v>120.42</v>
      </c>
      <c r="G9" s="2960" t="s">
        <v>3214</v>
      </c>
      <c r="H9" s="2960" t="s">
        <v>3215</v>
      </c>
      <c r="I9" s="2978">
        <v>32306</v>
      </c>
      <c r="J9" s="2978">
        <v>32306</v>
      </c>
      <c r="K9" s="2978">
        <v>33276</v>
      </c>
      <c r="L9" s="2978">
        <v>3293612</v>
      </c>
      <c r="M9" s="2971">
        <f t="shared" si="0"/>
        <v>8.9425898245031288</v>
      </c>
      <c r="N9" s="2969">
        <f t="shared" si="1"/>
        <v>24.98</v>
      </c>
      <c r="O9" s="2969">
        <v>35302</v>
      </c>
    </row>
    <row r="10" spans="1:19" ht="24" hidden="1">
      <c r="A10" s="2986">
        <v>7</v>
      </c>
      <c r="B10" s="2986" t="s">
        <v>3186</v>
      </c>
      <c r="C10" s="2987" t="s">
        <v>3216</v>
      </c>
      <c r="D10" s="2964" t="s">
        <v>3212</v>
      </c>
      <c r="E10" s="2964" t="s">
        <v>3213</v>
      </c>
      <c r="F10" s="2978">
        <v>702.58</v>
      </c>
      <c r="G10" s="2960" t="s">
        <v>3214</v>
      </c>
      <c r="H10" s="2960" t="s">
        <v>3215</v>
      </c>
      <c r="I10" s="2978">
        <v>152174</v>
      </c>
      <c r="J10" s="2978">
        <v>152174</v>
      </c>
      <c r="K10" s="2978">
        <v>156738</v>
      </c>
      <c r="L10" s="2978">
        <v>15513824</v>
      </c>
      <c r="M10" s="2971">
        <f t="shared" si="0"/>
        <v>7.2197709394896901</v>
      </c>
      <c r="N10" s="2969">
        <f t="shared" si="1"/>
        <v>20.170000000000002</v>
      </c>
      <c r="O10" s="2969">
        <v>166282</v>
      </c>
    </row>
    <row r="11" spans="1:19" ht="24" hidden="1">
      <c r="A11" s="2986">
        <v>8</v>
      </c>
      <c r="B11" s="2986" t="s">
        <v>3186</v>
      </c>
      <c r="C11" s="2987" t="s">
        <v>3217</v>
      </c>
      <c r="D11" s="2964" t="s">
        <v>3218</v>
      </c>
      <c r="E11" s="2964" t="s">
        <v>3219</v>
      </c>
      <c r="F11" s="2978">
        <v>156.91</v>
      </c>
      <c r="G11" s="2960" t="s">
        <v>3220</v>
      </c>
      <c r="H11" s="2960" t="s">
        <v>3221</v>
      </c>
      <c r="I11" s="2978">
        <v>47727</v>
      </c>
      <c r="J11" s="2978">
        <v>50591</v>
      </c>
      <c r="K11" s="2978">
        <v>53627</v>
      </c>
      <c r="L11" s="2978">
        <v>1775613</v>
      </c>
      <c r="M11" s="2971">
        <f t="shared" si="0"/>
        <v>10.13893314638965</v>
      </c>
      <c r="N11" s="2969">
        <f t="shared" si="1"/>
        <v>10.33</v>
      </c>
    </row>
    <row r="12" spans="1:19" ht="24" hidden="1">
      <c r="A12" s="2986">
        <v>9</v>
      </c>
      <c r="B12" s="2986" t="s">
        <v>3186</v>
      </c>
      <c r="C12" s="2987" t="s">
        <v>3222</v>
      </c>
      <c r="D12" s="2980" t="s">
        <v>3223</v>
      </c>
      <c r="E12" s="2980" t="s">
        <v>3224</v>
      </c>
      <c r="F12" s="2978">
        <v>326.35000000000002</v>
      </c>
      <c r="G12" s="2960" t="s">
        <v>3225</v>
      </c>
      <c r="H12" s="2960" t="s">
        <v>3226</v>
      </c>
      <c r="I12" s="2978">
        <v>82586</v>
      </c>
      <c r="J12" s="2978">
        <v>85889</v>
      </c>
      <c r="K12" s="2978">
        <v>89322</v>
      </c>
      <c r="L12" s="2978">
        <v>3093564</v>
      </c>
      <c r="M12" s="2971">
        <f t="shared" si="0"/>
        <v>8.4353199530156768</v>
      </c>
      <c r="N12" s="2969">
        <f t="shared" si="1"/>
        <v>8.66</v>
      </c>
    </row>
    <row r="13" spans="1:19" ht="36" hidden="1">
      <c r="A13" s="2986">
        <v>10</v>
      </c>
      <c r="B13" s="2986" t="s">
        <v>3186</v>
      </c>
      <c r="C13" s="2987" t="s">
        <v>3227</v>
      </c>
      <c r="D13" s="2964" t="s">
        <v>3228</v>
      </c>
      <c r="E13" s="2964" t="s">
        <v>3229</v>
      </c>
      <c r="F13" s="2978">
        <v>118.81</v>
      </c>
      <c r="G13" s="2960" t="s">
        <v>3230</v>
      </c>
      <c r="H13" s="2960" t="s">
        <v>3231</v>
      </c>
      <c r="I13" s="2978">
        <v>31161</v>
      </c>
      <c r="J13" s="2978">
        <v>32719</v>
      </c>
      <c r="K13" s="2978"/>
      <c r="L13" s="2978">
        <v>766560</v>
      </c>
      <c r="M13" s="2971">
        <f t="shared" si="0"/>
        <v>8.7425300900597573</v>
      </c>
      <c r="N13" s="2969">
        <f t="shared" si="1"/>
        <v>5.89</v>
      </c>
    </row>
    <row r="14" spans="1:19" ht="24" hidden="1">
      <c r="A14" s="2988">
        <v>11</v>
      </c>
      <c r="B14" s="2988" t="s">
        <v>3186</v>
      </c>
      <c r="C14" s="2989" t="s">
        <v>3232</v>
      </c>
      <c r="D14" s="2964" t="s">
        <v>3233</v>
      </c>
      <c r="E14" s="2964" t="s">
        <v>3234</v>
      </c>
      <c r="F14" s="2978">
        <v>134.03</v>
      </c>
      <c r="G14" s="2960" t="s">
        <v>3235</v>
      </c>
      <c r="H14" s="2960" t="s">
        <v>3236</v>
      </c>
      <c r="I14" s="2978">
        <v>43211</v>
      </c>
      <c r="J14" s="2978">
        <v>43211</v>
      </c>
      <c r="K14" s="2978">
        <v>45804</v>
      </c>
      <c r="L14" s="2978">
        <v>1500290</v>
      </c>
      <c r="M14" s="2971">
        <f t="shared" si="0"/>
        <v>10.746599020119874</v>
      </c>
      <c r="N14" s="2969">
        <f t="shared" si="1"/>
        <v>10.220000000000001</v>
      </c>
    </row>
    <row r="15" spans="1:19" ht="24" hidden="1">
      <c r="A15" s="2988">
        <v>12</v>
      </c>
      <c r="B15" s="2988" t="s">
        <v>3186</v>
      </c>
      <c r="C15" s="2989" t="s">
        <v>3237</v>
      </c>
      <c r="D15" s="2964" t="s">
        <v>3238</v>
      </c>
      <c r="E15" s="2964" t="s">
        <v>3239</v>
      </c>
      <c r="F15" s="2978">
        <v>66.180000000000007</v>
      </c>
      <c r="G15" s="2960" t="s">
        <v>3240</v>
      </c>
      <c r="H15" s="2960" t="s">
        <v>3241</v>
      </c>
      <c r="I15" s="2978">
        <v>20128</v>
      </c>
      <c r="J15" s="2978">
        <v>20732</v>
      </c>
      <c r="K15" s="2978">
        <v>21354</v>
      </c>
      <c r="L15" s="2978">
        <v>746568</v>
      </c>
      <c r="M15" s="2971">
        <f t="shared" si="0"/>
        <v>10.138007454417245</v>
      </c>
      <c r="N15" s="2969">
        <f t="shared" si="1"/>
        <v>10.3</v>
      </c>
    </row>
    <row r="16" spans="1:19" ht="24" hidden="1">
      <c r="A16" s="2988">
        <v>13</v>
      </c>
      <c r="B16" s="2988" t="s">
        <v>3186</v>
      </c>
      <c r="C16" s="2989" t="s">
        <v>3242</v>
      </c>
      <c r="D16" s="2964" t="s">
        <v>3243</v>
      </c>
      <c r="E16" s="2964" t="s">
        <v>3244</v>
      </c>
      <c r="F16" s="2978">
        <v>333.94</v>
      </c>
      <c r="G16" s="2960" t="s">
        <v>3245</v>
      </c>
      <c r="H16" s="2960" t="s">
        <v>3246</v>
      </c>
      <c r="I16" s="2978">
        <v>106654</v>
      </c>
      <c r="J16" s="2978">
        <v>111987</v>
      </c>
      <c r="K16" s="2978">
        <v>117587</v>
      </c>
      <c r="L16" s="2978">
        <v>6826605</v>
      </c>
      <c r="M16" s="2971">
        <f t="shared" si="0"/>
        <v>10.646024235890678</v>
      </c>
      <c r="N16" s="2969">
        <f t="shared" si="1"/>
        <v>18.670000000000002</v>
      </c>
      <c r="O16" s="2969">
        <v>129642</v>
      </c>
    </row>
    <row r="17" spans="1:14" ht="24" hidden="1">
      <c r="A17" s="2988">
        <v>14</v>
      </c>
      <c r="B17" s="2988" t="s">
        <v>3186</v>
      </c>
      <c r="C17" s="2989" t="s">
        <v>3247</v>
      </c>
      <c r="D17" s="2964" t="s">
        <v>3248</v>
      </c>
      <c r="E17" s="2964" t="s">
        <v>3249</v>
      </c>
      <c r="F17" s="2978">
        <v>147.33000000000001</v>
      </c>
      <c r="G17" s="2960" t="s">
        <v>3250</v>
      </c>
      <c r="H17" s="2960" t="s">
        <v>3251</v>
      </c>
      <c r="I17" s="2978">
        <v>41892</v>
      </c>
      <c r="J17" s="2978">
        <v>43567</v>
      </c>
      <c r="K17" s="2978"/>
      <c r="L17" s="2978">
        <v>1025508</v>
      </c>
      <c r="M17" s="2971">
        <f t="shared" si="0"/>
        <v>9.478042489649086</v>
      </c>
      <c r="N17" s="2969">
        <f t="shared" si="1"/>
        <v>6.36</v>
      </c>
    </row>
    <row r="18" spans="1:14" hidden="1">
      <c r="A18" s="2988">
        <v>15</v>
      </c>
      <c r="B18" s="2988" t="s">
        <v>3186</v>
      </c>
      <c r="C18" s="2989" t="s">
        <v>3252</v>
      </c>
      <c r="D18" s="2964" t="s">
        <v>3253</v>
      </c>
      <c r="E18" s="2964" t="s">
        <v>3254</v>
      </c>
      <c r="F18" s="2978">
        <v>305.31</v>
      </c>
      <c r="G18" s="2960" t="s">
        <v>3255</v>
      </c>
      <c r="H18" s="2960" t="s">
        <v>3256</v>
      </c>
      <c r="I18" s="2978">
        <v>65007</v>
      </c>
      <c r="J18" s="2978">
        <v>68908</v>
      </c>
      <c r="K18" s="2978">
        <v>73042</v>
      </c>
      <c r="L18" s="2978">
        <v>2353470</v>
      </c>
      <c r="M18" s="2971">
        <f t="shared" si="0"/>
        <v>7.0973764370639678</v>
      </c>
      <c r="N18" s="2969">
        <f t="shared" si="1"/>
        <v>7.04</v>
      </c>
    </row>
    <row r="19" spans="1:14" ht="24" hidden="1">
      <c r="A19" s="2984">
        <v>16</v>
      </c>
      <c r="B19" s="2984" t="s">
        <v>3186</v>
      </c>
      <c r="C19" s="2985" t="s">
        <v>3257</v>
      </c>
      <c r="D19" s="2964" t="s">
        <v>3258</v>
      </c>
      <c r="E19" s="2964" t="s">
        <v>3259</v>
      </c>
      <c r="F19" s="2978">
        <v>35.840000000000003</v>
      </c>
      <c r="G19" s="2960" t="s">
        <v>3260</v>
      </c>
      <c r="H19" s="2961" t="s">
        <v>3261</v>
      </c>
      <c r="I19" s="2978">
        <v>11044</v>
      </c>
      <c r="J19" s="2978"/>
      <c r="K19" s="2978"/>
      <c r="L19" s="2978">
        <v>132528</v>
      </c>
      <c r="M19" s="2971">
        <f t="shared" si="0"/>
        <v>10.27157738095238</v>
      </c>
      <c r="N19" s="2969">
        <f t="shared" si="1"/>
        <v>3.38</v>
      </c>
    </row>
    <row r="20" spans="1:14" ht="24">
      <c r="A20" s="2984">
        <v>17</v>
      </c>
      <c r="B20" s="2984" t="s">
        <v>3186</v>
      </c>
      <c r="C20" s="2985" t="s">
        <v>3262</v>
      </c>
      <c r="D20" s="2964" t="s">
        <v>3263</v>
      </c>
      <c r="E20" s="2964" t="s">
        <v>3264</v>
      </c>
      <c r="F20" s="2978">
        <v>312.37</v>
      </c>
      <c r="G20" s="2960" t="s">
        <v>3265</v>
      </c>
      <c r="H20" s="2969" t="s">
        <v>3266</v>
      </c>
      <c r="I20" s="2978">
        <v>74110</v>
      </c>
      <c r="J20" s="2978">
        <v>77074</v>
      </c>
      <c r="K20" s="2978">
        <v>80157</v>
      </c>
      <c r="L20" s="2978">
        <v>2553762</v>
      </c>
      <c r="M20" s="2971">
        <f t="shared" si="0"/>
        <v>7.9083565429885505</v>
      </c>
      <c r="N20" s="2969">
        <f t="shared" si="1"/>
        <v>7.47</v>
      </c>
    </row>
    <row r="21" spans="1:14" ht="24">
      <c r="A21" s="2984">
        <v>18</v>
      </c>
      <c r="B21" s="2984" t="s">
        <v>3186</v>
      </c>
      <c r="C21" s="2985" t="s">
        <v>3267</v>
      </c>
      <c r="D21" s="2964" t="s">
        <v>3268</v>
      </c>
      <c r="E21" s="2964" t="s">
        <v>3254</v>
      </c>
      <c r="F21" s="2978">
        <f>75.1*2</f>
        <v>150.19999999999999</v>
      </c>
      <c r="G21" s="2960" t="s">
        <v>3269</v>
      </c>
      <c r="H21" s="2960" t="s">
        <v>3270</v>
      </c>
      <c r="I21" s="2978">
        <v>20533</v>
      </c>
      <c r="J21" s="2978">
        <v>20533</v>
      </c>
      <c r="K21" s="2978">
        <v>20533</v>
      </c>
      <c r="L21" s="2978">
        <v>739188</v>
      </c>
      <c r="M21" s="2971">
        <f t="shared" si="0"/>
        <v>4.5568131380381711</v>
      </c>
      <c r="N21" s="2969">
        <f t="shared" si="1"/>
        <v>4.49</v>
      </c>
    </row>
    <row r="22" spans="1:14" ht="24" hidden="1">
      <c r="A22" s="2986">
        <v>19</v>
      </c>
      <c r="B22" s="2986" t="s">
        <v>3186</v>
      </c>
      <c r="C22" s="2987" t="s">
        <v>3271</v>
      </c>
      <c r="D22" s="2964" t="s">
        <v>3272</v>
      </c>
      <c r="E22" s="2964" t="s">
        <v>3273</v>
      </c>
      <c r="F22" s="2978">
        <v>105.7</v>
      </c>
      <c r="G22" s="2960" t="s">
        <v>3274</v>
      </c>
      <c r="H22" s="2960" t="s">
        <v>3275</v>
      </c>
      <c r="I22" s="2978">
        <v>26500</v>
      </c>
      <c r="J22" s="2978"/>
      <c r="K22" s="2978"/>
      <c r="L22" s="2978">
        <f>I22*12</f>
        <v>318000</v>
      </c>
      <c r="M22" s="2971">
        <f t="shared" si="0"/>
        <v>8.3569851781772311</v>
      </c>
    </row>
    <row r="23" spans="1:14" ht="24" hidden="1">
      <c r="A23" s="2986">
        <v>20</v>
      </c>
      <c r="B23" s="2986" t="s">
        <v>3186</v>
      </c>
      <c r="C23" s="2987" t="s">
        <v>3276</v>
      </c>
      <c r="D23" s="2964" t="s">
        <v>3277</v>
      </c>
      <c r="E23" s="2964"/>
      <c r="F23" s="2978">
        <v>60</v>
      </c>
      <c r="G23" s="2960" t="s">
        <v>3278</v>
      </c>
      <c r="H23" s="2960" t="s">
        <v>3279</v>
      </c>
      <c r="I23" s="2978">
        <v>11607</v>
      </c>
      <c r="J23" s="2978"/>
      <c r="K23" s="2978"/>
      <c r="L23" s="2978">
        <f>I23*6</f>
        <v>69642</v>
      </c>
      <c r="M23" s="2971">
        <f>I23/F23/30</f>
        <v>6.4483333333333333</v>
      </c>
    </row>
    <row r="24" spans="1:14" hidden="1">
      <c r="A24" s="2986">
        <v>21</v>
      </c>
      <c r="B24" s="2986" t="s">
        <v>3186</v>
      </c>
      <c r="C24" s="2987" t="s">
        <v>3280</v>
      </c>
      <c r="D24" s="2964" t="s">
        <v>3281</v>
      </c>
      <c r="E24" s="2964" t="s">
        <v>27</v>
      </c>
      <c r="F24" s="2978">
        <v>60</v>
      </c>
      <c r="G24" s="2960" t="s">
        <v>3282</v>
      </c>
      <c r="H24" s="2960" t="s">
        <v>3283</v>
      </c>
      <c r="I24" s="2978">
        <v>4562</v>
      </c>
      <c r="J24" s="2978">
        <v>4836</v>
      </c>
      <c r="K24" s="2978">
        <v>5126</v>
      </c>
      <c r="L24" s="2978">
        <v>174288</v>
      </c>
      <c r="M24" s="2971">
        <f t="shared" si="0"/>
        <v>2.5344444444444445</v>
      </c>
    </row>
    <row r="25" spans="1:14" ht="24" hidden="1">
      <c r="A25" s="2986">
        <v>22</v>
      </c>
      <c r="B25" s="2986" t="s">
        <v>3186</v>
      </c>
      <c r="C25" s="2987" t="s">
        <v>3284</v>
      </c>
      <c r="D25" s="2964" t="s">
        <v>3285</v>
      </c>
      <c r="E25" s="2964"/>
      <c r="F25" s="2978">
        <v>196.89</v>
      </c>
      <c r="G25" s="2960" t="s">
        <v>3286</v>
      </c>
      <c r="H25" s="2960" t="s">
        <v>3287</v>
      </c>
      <c r="I25" s="2978">
        <v>53899</v>
      </c>
      <c r="J25" s="2978"/>
      <c r="K25" s="2978"/>
      <c r="L25" s="2978">
        <v>592889</v>
      </c>
      <c r="M25" s="2971">
        <f t="shared" si="0"/>
        <v>9.1250613709854917</v>
      </c>
    </row>
    <row r="26" spans="1:14" ht="24" hidden="1">
      <c r="A26" s="2986"/>
      <c r="B26" s="2986" t="s">
        <v>3186</v>
      </c>
      <c r="C26" s="2987" t="s">
        <v>3288</v>
      </c>
      <c r="D26" s="2964" t="s">
        <v>3289</v>
      </c>
      <c r="E26" s="2964" t="s">
        <v>3290</v>
      </c>
      <c r="F26" s="2978">
        <v>172.56</v>
      </c>
      <c r="G26" s="2960" t="s">
        <v>3291</v>
      </c>
      <c r="H26" s="2960" t="s">
        <v>3292</v>
      </c>
      <c r="I26" s="2978">
        <v>52488</v>
      </c>
      <c r="J26" s="2978">
        <v>54588</v>
      </c>
      <c r="K26" s="2978">
        <v>56772</v>
      </c>
      <c r="L26" s="2978">
        <v>1888523</v>
      </c>
      <c r="M26" s="2971">
        <f t="shared" si="0"/>
        <v>10.139082058414465</v>
      </c>
    </row>
    <row r="27" spans="1:14">
      <c r="A27" s="2975"/>
      <c r="B27" s="2975"/>
      <c r="C27" s="2960"/>
      <c r="D27" s="2960"/>
      <c r="E27" s="2960"/>
      <c r="F27" s="2978">
        <f>SUM(F4:F26)</f>
        <v>4425.7700000000004</v>
      </c>
      <c r="G27" s="2960"/>
      <c r="H27" s="2960"/>
      <c r="I27" s="2978"/>
      <c r="J27" s="2978"/>
      <c r="K27" s="2978"/>
      <c r="L27" s="2978">
        <f>SUM(L4:L25)</f>
        <v>45851613</v>
      </c>
    </row>
    <row r="28" spans="1:14">
      <c r="F28" s="2971">
        <f>F1-[4]抵押物清单!H60</f>
        <v>-4459.7400000000007</v>
      </c>
    </row>
    <row r="31" spans="1:14">
      <c r="F31" s="2971">
        <f>F27+F28</f>
        <v>-33.970000000000255</v>
      </c>
      <c r="H31" s="2998">
        <v>44408</v>
      </c>
      <c r="I31" s="2998">
        <v>43522</v>
      </c>
    </row>
    <row r="32" spans="1:14" ht="20.25" customHeight="1">
      <c r="I32" s="2969">
        <f>H31-I31</f>
        <v>886</v>
      </c>
    </row>
    <row r="33" spans="6:14" ht="20.25" customHeight="1">
      <c r="F33" s="2971">
        <f>F7+F8+F20+F21</f>
        <v>734.71</v>
      </c>
      <c r="I33" s="2969">
        <f>ROUND(I32/365,2)</f>
        <v>2.4300000000000002</v>
      </c>
      <c r="N33" s="2969">
        <f>ROUND((N7*F7+N8*F8+N20*F20+N21*F21)/F33,2)</f>
        <v>7.26</v>
      </c>
    </row>
    <row r="34" spans="6:14" ht="20.25" customHeight="1"/>
    <row r="35" spans="6:14">
      <c r="F35" s="2971"/>
    </row>
  </sheetData>
  <mergeCells count="7">
    <mergeCell ref="G2:L2"/>
    <mergeCell ref="A2:A3"/>
    <mergeCell ref="B2:B3"/>
    <mergeCell ref="C2:C3"/>
    <mergeCell ref="D2:D3"/>
    <mergeCell ref="E2:E3"/>
    <mergeCell ref="F2:F3"/>
  </mergeCells>
  <phoneticPr fontId="143" type="noConversion"/>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9" sqref="G4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1637</v>
      </c>
      <c r="B2" s="3046" t="s">
        <v>1638</v>
      </c>
      <c r="C2" s="3046" t="s">
        <v>1639</v>
      </c>
      <c r="D2" s="3046" t="str">
        <f>结果表!D116</f>
        <v>出让国有建设用地使用权价值</v>
      </c>
      <c r="E2" s="3046"/>
      <c r="F2" s="3046" t="str">
        <f>结果表!F116</f>
        <v>在建建筑物价值</v>
      </c>
      <c r="G2" s="3046"/>
      <c r="H2" s="3046" t="str">
        <f>IF(项目基本情况!B9="房地产市场价值","房地产市场价值","房地产价值")</f>
        <v>房地产价值</v>
      </c>
      <c r="I2" s="3046"/>
    </row>
    <row r="3" spans="1:9" ht="15">
      <c r="A3" s="3047"/>
      <c r="B3" s="3047"/>
      <c r="C3" s="3047"/>
      <c r="D3" s="1046" t="s">
        <v>1634</v>
      </c>
      <c r="E3" s="1046" t="s">
        <v>1640</v>
      </c>
      <c r="F3" s="1046" t="s">
        <v>1634</v>
      </c>
      <c r="G3" s="1046" t="s">
        <v>1635</v>
      </c>
      <c r="H3" s="1046" t="s">
        <v>1634</v>
      </c>
      <c r="I3" s="1046" t="s">
        <v>1635</v>
      </c>
    </row>
    <row r="4" spans="1:9" ht="45">
      <c r="A4" s="1967" t="str">
        <f>项目基本情况!S2</f>
        <v>北京市东城区香河园街1号院5、10号楼出让国有建设用地使用权及在建建筑物房地产</v>
      </c>
      <c r="B4" s="1046">
        <f>项目基本情况!C17</f>
        <v>2526.41</v>
      </c>
      <c r="C4" s="1046">
        <f>项目基本情况!C18</f>
        <v>711.96</v>
      </c>
      <c r="D4" s="1046">
        <f ca="1">结果表!D118</f>
        <v>11683</v>
      </c>
      <c r="E4" s="1046">
        <f ca="1">结果表!E118</f>
        <v>46243</v>
      </c>
      <c r="F4" s="1046">
        <f ca="1">结果表!F118</f>
        <v>1638</v>
      </c>
      <c r="G4" s="1046">
        <f ca="1">结果表!G118</f>
        <v>6484</v>
      </c>
      <c r="H4" s="1046">
        <f ca="1">结果表!H118</f>
        <v>13321</v>
      </c>
      <c r="I4" s="1046">
        <f ca="1">结果表!I118</f>
        <v>52727</v>
      </c>
    </row>
    <row r="5" spans="1:9" ht="30" customHeight="1">
      <c r="A5" s="3047" t="s">
        <v>1636</v>
      </c>
      <c r="B5" s="3047"/>
      <c r="C5" s="3047"/>
      <c r="D5" s="3048" t="str">
        <f ca="1">结果表!D119</f>
        <v>壹亿壹仟陆佰捌拾叁万元整</v>
      </c>
      <c r="E5" s="3048"/>
      <c r="F5" s="3048" t="str">
        <f ca="1">结果表!F119</f>
        <v>壹仟陆佰叁拾捌万元整</v>
      </c>
      <c r="G5" s="3048"/>
      <c r="H5" s="3048" t="str">
        <f ca="1">结果表!H119</f>
        <v>壹亿叁仟叁佰贰拾壹万元整</v>
      </c>
      <c r="I5" s="3048"/>
    </row>
    <row r="6" spans="1:9" ht="15.75">
      <c r="A6" s="3049" t="str">
        <f>结果表!A120</f>
        <v>估价师知悉的法定优先受偿款</v>
      </c>
      <c r="B6" s="3049"/>
      <c r="C6" s="3049"/>
      <c r="D6" s="3049">
        <f>结果表!D120</f>
        <v>0</v>
      </c>
      <c r="E6" s="3049"/>
      <c r="F6" s="3049"/>
      <c r="G6" s="3049"/>
      <c r="H6" s="3049"/>
      <c r="I6" s="3049"/>
    </row>
    <row r="7" spans="1:9" ht="15">
      <c r="A7" s="3047" t="s">
        <v>1636</v>
      </c>
      <c r="B7" s="3047"/>
      <c r="C7" s="3047"/>
      <c r="D7" s="3050" t="str">
        <f>结果表!D121</f>
        <v>零元整</v>
      </c>
      <c r="E7" s="3051"/>
      <c r="F7" s="3051"/>
      <c r="G7" s="3051"/>
      <c r="H7" s="3051"/>
      <c r="I7" s="3052"/>
    </row>
    <row r="8" spans="1:9" ht="15.75">
      <c r="A8" s="3049" t="str">
        <f>结果表!A122</f>
        <v>房地产抵押价值</v>
      </c>
      <c r="B8" s="3049"/>
      <c r="C8" s="3049"/>
      <c r="D8" s="3049">
        <f ca="1">结果表!D122</f>
        <v>13321</v>
      </c>
      <c r="E8" s="3049"/>
      <c r="F8" s="3049"/>
      <c r="G8" s="3049"/>
      <c r="H8" s="3049"/>
      <c r="I8" s="3049"/>
    </row>
    <row r="9" spans="1:9" ht="15">
      <c r="A9" s="3047" t="s">
        <v>1636</v>
      </c>
      <c r="B9" s="3047"/>
      <c r="C9" s="3047"/>
      <c r="D9" s="3048" t="str">
        <f ca="1">结果表!D123</f>
        <v>壹亿叁仟叁佰贰拾壹万元整</v>
      </c>
      <c r="E9" s="3048"/>
      <c r="F9" s="3048"/>
      <c r="G9" s="3048"/>
      <c r="H9" s="3048"/>
      <c r="I9" s="3048"/>
    </row>
    <row r="10" spans="1:9" ht="15.75">
      <c r="A10" s="3049" t="str">
        <f>结果表!A124</f>
        <v/>
      </c>
      <c r="B10" s="3049"/>
      <c r="C10" s="3049"/>
      <c r="D10" s="3049" t="str">
        <f>结果表!D124</f>
        <v>——</v>
      </c>
      <c r="E10" s="3049"/>
      <c r="F10" s="3049"/>
      <c r="G10" s="3049"/>
      <c r="H10" s="3049"/>
      <c r="I10" s="3049"/>
    </row>
    <row r="11" spans="1:9" ht="15">
      <c r="A11" s="3047" t="s">
        <v>1636</v>
      </c>
      <c r="B11" s="3047"/>
      <c r="C11" s="3047"/>
      <c r="D11" s="3048" t="e">
        <f>结果表!D125</f>
        <v>#VALUE!</v>
      </c>
      <c r="E11" s="3048"/>
      <c r="F11" s="3048"/>
      <c r="G11" s="3048"/>
      <c r="H11" s="3048"/>
      <c r="I11" s="3048"/>
    </row>
    <row r="12" spans="1:9" ht="15.75">
      <c r="A12" s="3049" t="str">
        <f>结果表!A126</f>
        <v/>
      </c>
      <c r="B12" s="3049"/>
      <c r="C12" s="3049"/>
      <c r="D12" s="3049" t="str">
        <f>结果表!D126</f>
        <v>——</v>
      </c>
      <c r="E12" s="3049"/>
      <c r="F12" s="3049"/>
      <c r="G12" s="3049"/>
      <c r="H12" s="3049"/>
      <c r="I12" s="3049"/>
    </row>
    <row r="13" spans="1:9" ht="15.75" thickBot="1">
      <c r="A13" s="3053" t="s">
        <v>1636</v>
      </c>
      <c r="B13" s="3053"/>
      <c r="C13" s="3053"/>
      <c r="D13" s="3054" t="e">
        <f>结果表!D127</f>
        <v>#VALUE!</v>
      </c>
      <c r="E13" s="3054"/>
      <c r="F13" s="3054"/>
      <c r="G13" s="3054"/>
      <c r="H13" s="3054"/>
      <c r="I13" s="3054"/>
    </row>
    <row r="14" spans="1:9" ht="15" thickTop="1">
      <c r="A14" s="3055" t="s">
        <v>1641</v>
      </c>
      <c r="B14" s="3055"/>
      <c r="C14" s="3055"/>
      <c r="D14" s="3055"/>
      <c r="E14" s="3055"/>
      <c r="F14" s="3055"/>
      <c r="G14" s="3055"/>
      <c r="H14" s="3055"/>
      <c r="I14" s="3055"/>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56" t="s">
        <v>1658</v>
      </c>
      <c r="B1" s="3056"/>
      <c r="C1" s="3056"/>
      <c r="D1" s="3056"/>
    </row>
    <row r="2" spans="1:4" ht="18">
      <c r="A2" s="3057" t="s">
        <v>1642</v>
      </c>
      <c r="B2" s="3057"/>
      <c r="C2" s="3057"/>
      <c r="D2" s="3057"/>
    </row>
    <row r="3" spans="1:4" ht="18.75">
      <c r="A3" s="1971" t="s">
        <v>1643</v>
      </c>
      <c r="B3" s="1971" t="s">
        <v>1644</v>
      </c>
      <c r="C3" s="1971" t="s">
        <v>1645</v>
      </c>
      <c r="D3" s="1971" t="s">
        <v>1646</v>
      </c>
    </row>
    <row r="4" spans="1:4" ht="56.25" customHeight="1">
      <c r="A4" s="1972" t="str">
        <f>项目基本情况!B4</f>
        <v>崔锴</v>
      </c>
      <c r="B4" s="1973">
        <f ca="1">项目基本情况!C4</f>
        <v>0</v>
      </c>
      <c r="C4" s="1974"/>
      <c r="D4" s="1975" t="s">
        <v>1647</v>
      </c>
    </row>
    <row r="5" spans="1:4" ht="56.25" customHeight="1">
      <c r="A5" s="1972" t="str">
        <f>项目基本情况!D4</f>
        <v>欧红伟</v>
      </c>
      <c r="B5" s="1973">
        <f ca="1">项目基本情况!E4</f>
        <v>0</v>
      </c>
      <c r="C5" s="1976"/>
      <c r="D5" s="1975" t="s">
        <v>1647</v>
      </c>
    </row>
    <row r="6" spans="1:4" ht="18">
      <c r="A6" s="3057" t="s">
        <v>1648</v>
      </c>
      <c r="B6" s="3057"/>
      <c r="C6" s="3057"/>
      <c r="D6" s="3057"/>
    </row>
    <row r="7" spans="1:4" ht="18.75">
      <c r="A7" s="1971" t="s">
        <v>1643</v>
      </c>
      <c r="B7" s="1973" t="s">
        <v>1649</v>
      </c>
      <c r="C7" s="1971" t="s">
        <v>1645</v>
      </c>
      <c r="D7" s="1971" t="s">
        <v>1646</v>
      </c>
    </row>
    <row r="8" spans="1:4" ht="56.25" customHeight="1">
      <c r="A8" s="1977" t="s">
        <v>866</v>
      </c>
      <c r="B8" s="1977" t="s">
        <v>1</v>
      </c>
      <c r="C8" s="1974"/>
      <c r="D8" s="1975" t="s">
        <v>1647</v>
      </c>
    </row>
    <row r="9" spans="1:4">
      <c r="A9" s="727"/>
      <c r="B9" s="727"/>
      <c r="C9" s="727"/>
      <c r="D9" s="727"/>
    </row>
    <row r="10" spans="1:4" ht="18.75">
      <c r="A10" s="1978" t="s">
        <v>1650</v>
      </c>
      <c r="B10" s="727"/>
      <c r="C10" s="727"/>
      <c r="D10" s="727"/>
    </row>
    <row r="11" spans="1:4" ht="30" customHeight="1">
      <c r="A11" s="3058" t="s">
        <v>1651</v>
      </c>
      <c r="B11" s="3059"/>
      <c r="C11" s="3059"/>
      <c r="D11" s="3059"/>
    </row>
    <row r="12" spans="1:4" ht="15.75">
      <c r="A12" s="30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9" t="str">
        <f>IF(项目基本情况!B8="抵押","4.本次评估估价师所知悉的法定优先受偿款情况说明如下：","——")</f>
        <v>4.本次评估估价师所知悉的法定优先受偿款情况说明如下：</v>
      </c>
      <c r="B14" s="3060"/>
      <c r="C14" s="3060"/>
      <c r="D14" s="3060"/>
    </row>
    <row r="15" spans="1:4" ht="42" customHeight="1">
      <c r="A15" s="305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59"/>
      <c r="C15" s="3059"/>
      <c r="D15" s="3059"/>
    </row>
    <row r="16" spans="1:4" ht="30" customHeight="1">
      <c r="A16" s="3062" t="s">
        <v>1652</v>
      </c>
      <c r="B16" s="3062"/>
      <c r="C16" s="3062"/>
      <c r="D16" s="3062"/>
    </row>
    <row r="17" spans="1:4" ht="144" customHeight="1">
      <c r="A17" s="3062" t="s">
        <v>1653</v>
      </c>
      <c r="B17" s="3062"/>
      <c r="C17" s="3062"/>
      <c r="D17" s="3062"/>
    </row>
    <row r="18" spans="1:4" ht="15.75" customHeight="1">
      <c r="A18" s="3059" t="str">
        <f>IF(项目基本情况!B8="抵押",结果表!K120,"——")</f>
        <v>故，本次评估不存在估价师知悉的法定优先受偿款</v>
      </c>
      <c r="B18" s="3059"/>
      <c r="C18" s="3059"/>
      <c r="D18" s="3059"/>
    </row>
    <row r="19" spans="1:4" ht="46.5" customHeight="1">
      <c r="A19" s="30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9"/>
      <c r="C19" s="3059"/>
      <c r="D19" s="3059"/>
    </row>
    <row r="20" spans="1:4" ht="57.75" customHeight="1">
      <c r="A20" s="30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9"/>
      <c r="C20" s="3059"/>
      <c r="D20" s="3059"/>
    </row>
    <row r="21" spans="1:4" ht="57.75" customHeight="1">
      <c r="A21" s="30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3"/>
      <c r="C21" s="3063"/>
      <c r="D21" s="3063"/>
    </row>
    <row r="22" spans="1:4" ht="18.75" customHeight="1">
      <c r="A22" s="3064" t="s">
        <v>1654</v>
      </c>
      <c r="B22" s="3064"/>
      <c r="C22" s="3064"/>
      <c r="D22" s="3064"/>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61">
        <v>42551</v>
      </c>
      <c r="D31" s="30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70" t="s">
        <v>1665</v>
      </c>
      <c r="B15" s="3065" t="s">
        <v>136</v>
      </c>
      <c r="C15" s="3066"/>
    </row>
    <row r="16" spans="1:7" ht="13.5">
      <c r="A16" s="3071"/>
      <c r="B16" s="3065" t="s">
        <v>69</v>
      </c>
      <c r="C16" s="3066"/>
    </row>
    <row r="17" spans="1:3" ht="13.5">
      <c r="A17" s="3071"/>
      <c r="B17" s="3068" t="s">
        <v>1666</v>
      </c>
      <c r="C17" s="1994" t="s">
        <v>1665</v>
      </c>
    </row>
    <row r="18" spans="1:3" ht="13.5">
      <c r="A18" s="3071"/>
      <c r="B18" s="3068"/>
      <c r="C18" s="1994" t="s">
        <v>1667</v>
      </c>
    </row>
    <row r="19" spans="1:3" ht="13.5">
      <c r="A19" s="3071"/>
      <c r="B19" s="3068"/>
      <c r="C19" s="1994" t="s">
        <v>1668</v>
      </c>
    </row>
    <row r="20" spans="1:3" ht="13.5">
      <c r="A20" s="3072"/>
      <c r="B20" s="3067" t="s">
        <v>1669</v>
      </c>
      <c r="C20" s="3066"/>
    </row>
    <row r="21" spans="1:3" ht="13.5">
      <c r="A21" s="1995" t="s">
        <v>1670</v>
      </c>
      <c r="B21" s="1996"/>
      <c r="C21" s="1997"/>
    </row>
    <row r="22" spans="1:3" ht="13.5">
      <c r="A22" s="3069" t="s">
        <v>1671</v>
      </c>
      <c r="B22" s="3067" t="s">
        <v>1672</v>
      </c>
      <c r="C22" s="3066"/>
    </row>
    <row r="23" spans="1:3" ht="13.5">
      <c r="A23" s="3069"/>
      <c r="B23" s="3067" t="s">
        <v>1673</v>
      </c>
      <c r="C23" s="3066"/>
    </row>
    <row r="24" spans="1:3" ht="13.5">
      <c r="A24" s="3069"/>
      <c r="B24" s="3067" t="s">
        <v>1674</v>
      </c>
      <c r="C24" s="3066"/>
    </row>
    <row r="25" spans="1:3" ht="13.5">
      <c r="A25" s="3069"/>
      <c r="B25" s="3068" t="s">
        <v>1675</v>
      </c>
      <c r="C25" s="1994" t="s">
        <v>1676</v>
      </c>
    </row>
    <row r="26" spans="1:3" ht="13.5">
      <c r="A26" s="3069"/>
      <c r="B26" s="3068"/>
      <c r="C26" s="1994" t="s">
        <v>1677</v>
      </c>
    </row>
    <row r="27" spans="1:3" ht="13.5">
      <c r="A27" s="3069"/>
      <c r="B27" s="3068"/>
      <c r="C27" s="1994" t="s">
        <v>1678</v>
      </c>
    </row>
    <row r="28" spans="1:3" ht="13.5">
      <c r="A28" s="3069"/>
      <c r="B28" s="3068"/>
      <c r="C28" s="1994" t="s">
        <v>1679</v>
      </c>
    </row>
    <row r="29" spans="1:3" ht="13.5">
      <c r="A29" s="3069"/>
      <c r="B29" s="3068"/>
      <c r="C29" s="1994" t="s">
        <v>1680</v>
      </c>
    </row>
    <row r="30" spans="1:3" ht="13.5">
      <c r="A30" s="3069"/>
      <c r="B30" s="3068"/>
      <c r="C30" s="1994" t="s">
        <v>1681</v>
      </c>
    </row>
    <row r="31" spans="1:3" ht="13.5">
      <c r="A31" s="3069"/>
      <c r="B31" s="3068"/>
      <c r="C31" s="1994" t="s">
        <v>1682</v>
      </c>
    </row>
    <row r="32" spans="1:3" ht="13.5">
      <c r="A32" s="3069"/>
      <c r="B32" s="3068"/>
      <c r="C32" s="1994" t="s">
        <v>1683</v>
      </c>
    </row>
    <row r="33" spans="1:3" ht="13.5">
      <c r="A33" s="3069"/>
      <c r="B33" s="3068"/>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43966</v>
      </c>
      <c r="C2" s="1021" t="s">
        <v>826</v>
      </c>
      <c r="D2" s="1021"/>
    </row>
    <row r="3" spans="1:6" ht="24" customHeight="1">
      <c r="A3" s="1022" t="s">
        <v>827</v>
      </c>
      <c r="B3" s="1023" t="s">
        <v>828</v>
      </c>
      <c r="C3" s="2340" t="s">
        <v>829</v>
      </c>
      <c r="D3" s="2343" t="s">
        <v>830</v>
      </c>
      <c r="E3" s="1024" t="s">
        <v>831</v>
      </c>
      <c r="F3" s="1023" t="s">
        <v>829</v>
      </c>
    </row>
    <row r="4" spans="1:6" ht="24" customHeight="1">
      <c r="A4" s="1702" t="s">
        <v>832</v>
      </c>
      <c r="B4" s="1024" t="str">
        <f ca="1">IF(C4&lt;B2,"已过期",1119970066)</f>
        <v>已过期</v>
      </c>
      <c r="C4" s="2341">
        <v>43849</v>
      </c>
      <c r="D4" s="2344" t="s">
        <v>832</v>
      </c>
      <c r="E4" s="1024">
        <f ca="1">IF(F4&lt;B2,"已过期",96010014)</f>
        <v>96010014</v>
      </c>
      <c r="F4" s="1032">
        <v>47118</v>
      </c>
    </row>
    <row r="5" spans="1:6" ht="24" customHeight="1">
      <c r="A5" s="1702" t="s">
        <v>833</v>
      </c>
      <c r="B5" s="1024" t="str">
        <f ca="1">IF(C5&lt;B2,"已过期",1119970074)</f>
        <v>已过期</v>
      </c>
      <c r="C5" s="2341">
        <v>43849</v>
      </c>
      <c r="D5" s="2344" t="s">
        <v>833</v>
      </c>
      <c r="E5" s="1024">
        <f ca="1">IF(F5&lt;B2,"已过期",2002110027)</f>
        <v>2002110027</v>
      </c>
      <c r="F5" s="1032">
        <v>46752</v>
      </c>
    </row>
    <row r="6" spans="1:6" ht="24" customHeight="1">
      <c r="A6" s="1702" t="s">
        <v>834</v>
      </c>
      <c r="B6" s="1024" t="str">
        <f ca="1">IF(C6&lt;B2,"已过期",1119970111)</f>
        <v>已过期</v>
      </c>
      <c r="C6" s="2341">
        <v>43849</v>
      </c>
      <c r="D6" s="2344" t="s">
        <v>834</v>
      </c>
      <c r="E6" s="1024">
        <f ca="1">IF(F6&lt;B2,"已过期",94010078)</f>
        <v>94010078</v>
      </c>
      <c r="F6" s="1032">
        <v>46387</v>
      </c>
    </row>
    <row r="7" spans="1:6" ht="24" customHeight="1">
      <c r="A7" s="1702" t="s">
        <v>835</v>
      </c>
      <c r="B7" s="1024">
        <f ca="1">IF(C7&lt;B2,"已过期",1120050019)</f>
        <v>1120050019</v>
      </c>
      <c r="C7" s="2341">
        <v>44395</v>
      </c>
      <c r="D7" s="2344" t="s">
        <v>835</v>
      </c>
      <c r="E7" s="1024">
        <f ca="1">IF(F7&lt;B2,"已过期",2002110030)</f>
        <v>2002110030</v>
      </c>
      <c r="F7" s="1032">
        <v>46387</v>
      </c>
    </row>
    <row r="8" spans="1:6" ht="24" customHeight="1">
      <c r="A8" s="1702" t="s">
        <v>836</v>
      </c>
      <c r="B8" s="1024" t="str">
        <f ca="1">IF(C8&lt;B2,"已过期",1120000080)</f>
        <v>已过期</v>
      </c>
      <c r="C8" s="2341">
        <v>43849</v>
      </c>
      <c r="D8" s="2344" t="s">
        <v>836</v>
      </c>
      <c r="E8" s="1024">
        <f ca="1">IF(F8&lt;B2,"已过期",2000110082)</f>
        <v>2000110082</v>
      </c>
      <c r="F8" s="1032">
        <v>46387</v>
      </c>
    </row>
    <row r="9" spans="1:6" ht="24" customHeight="1">
      <c r="A9" s="1702" t="s">
        <v>837</v>
      </c>
      <c r="B9" s="1024" t="str">
        <f ca="1">IF(C9&lt;B2,"已过期",1419970001)</f>
        <v>已过期</v>
      </c>
      <c r="C9" s="2341">
        <v>43867</v>
      </c>
      <c r="D9" s="2344" t="s">
        <v>837</v>
      </c>
      <c r="E9" s="1024">
        <f ca="1">IF(F9&lt;B2,"已过期",2002110125)</f>
        <v>2002110125</v>
      </c>
      <c r="F9" s="1032">
        <v>47118</v>
      </c>
    </row>
    <row r="10" spans="1:6" ht="24" customHeight="1">
      <c r="A10" s="1702" t="s">
        <v>838</v>
      </c>
      <c r="B10" s="1024" t="str">
        <f ca="1">IF(C10&lt;B2,"已过期",1120060040)</f>
        <v>已过期</v>
      </c>
      <c r="C10" s="2341">
        <v>43483</v>
      </c>
      <c r="D10" s="2344" t="s">
        <v>838</v>
      </c>
      <c r="E10" s="1024">
        <f ca="1">IF(F10&lt;B2,"已过期",2004110096)</f>
        <v>2004110096</v>
      </c>
      <c r="F10" s="1032">
        <v>47118</v>
      </c>
    </row>
    <row r="11" spans="1:6" ht="24" customHeight="1">
      <c r="A11" s="1702" t="s">
        <v>839</v>
      </c>
      <c r="B11" s="1024" t="str">
        <f ca="1">IF(C11&lt;B2,"已过期",1120100036)</f>
        <v>已过期</v>
      </c>
      <c r="C11" s="2341">
        <v>43622</v>
      </c>
      <c r="D11" s="2344" t="s">
        <v>839</v>
      </c>
      <c r="E11" s="1024">
        <f ca="1">IF(F11&lt;B2,"已过期",2010110070)</f>
        <v>2010110070</v>
      </c>
      <c r="F11" s="1032">
        <v>47907</v>
      </c>
    </row>
    <row r="12" spans="1:6" ht="24" customHeight="1">
      <c r="A12" s="1702"/>
      <c r="B12" s="1024"/>
      <c r="C12" s="2930"/>
      <c r="D12" s="1702"/>
      <c r="E12" s="1024"/>
      <c r="F12" s="1032"/>
    </row>
    <row r="13" spans="1:6" ht="24" customHeight="1">
      <c r="A13" s="1702" t="s">
        <v>840</v>
      </c>
      <c r="B13" s="1024" t="str">
        <f ca="1">IF(C13&lt;B2,"已过期",1120070131)</f>
        <v>已过期</v>
      </c>
      <c r="C13" s="2341">
        <v>43814</v>
      </c>
      <c r="D13" s="2344" t="s">
        <v>840</v>
      </c>
      <c r="E13" s="1024">
        <f ca="1">IF(F13&lt;B2,"已过期",2014110011)</f>
        <v>2014110011</v>
      </c>
      <c r="F13" s="1032">
        <v>49302</v>
      </c>
    </row>
    <row r="14" spans="1:6" ht="24" customHeight="1">
      <c r="A14" s="1702" t="s">
        <v>3043</v>
      </c>
      <c r="B14" s="1024" t="str">
        <f ca="1">IF(C14&lt;B2,"已过期",1120040230)</f>
        <v>已过期</v>
      </c>
      <c r="C14" s="2341">
        <v>43835</v>
      </c>
      <c r="D14" s="2344" t="s">
        <v>3043</v>
      </c>
      <c r="E14" s="1024">
        <f ca="1">IF(F14&lt;B2,"已过期",98030020)</f>
        <v>98030020</v>
      </c>
      <c r="F14" s="1032">
        <v>47118</v>
      </c>
    </row>
    <row r="15" spans="1:6" ht="24" customHeight="1">
      <c r="A15" s="1703" t="s">
        <v>3044</v>
      </c>
      <c r="B15" s="1024" t="str">
        <f ca="1">IF(C15&lt;B2,"已过期",1120070085)</f>
        <v>已过期</v>
      </c>
      <c r="C15" s="2341">
        <v>43814</v>
      </c>
      <c r="D15" s="2345" t="s">
        <v>3044</v>
      </c>
      <c r="E15" s="1024">
        <f ca="1">IF(F15&lt;B2,"已过期",2004110128)</f>
        <v>2004110128</v>
      </c>
      <c r="F15" s="1025">
        <v>47118</v>
      </c>
    </row>
    <row r="16" spans="1:6" ht="24" customHeight="1">
      <c r="A16" s="1702" t="s">
        <v>3045</v>
      </c>
      <c r="B16" s="1024">
        <f ca="1">IF(C16&lt;B2,"已过期",1120140022)</f>
        <v>1120140022</v>
      </c>
      <c r="C16" s="2930">
        <v>44029</v>
      </c>
      <c r="D16" s="2344" t="s">
        <v>3045</v>
      </c>
      <c r="E16" s="1024">
        <f ca="1">IF(F16&lt;B2,"已过期",2008110059)</f>
        <v>2008110059</v>
      </c>
      <c r="F16" s="1032">
        <v>47177</v>
      </c>
    </row>
    <row r="17" spans="1:7" ht="24" customHeight="1">
      <c r="A17" s="1702"/>
      <c r="B17" s="1024"/>
      <c r="C17" s="2341"/>
      <c r="D17" s="2344" t="s">
        <v>3046</v>
      </c>
      <c r="E17" s="1024">
        <f ca="1">IF(F17&lt;B2,"已过期",2014110076)</f>
        <v>2014110076</v>
      </c>
      <c r="F17" s="1032">
        <v>49302</v>
      </c>
    </row>
    <row r="18" spans="1:7" ht="24" customHeight="1">
      <c r="A18" s="1702"/>
      <c r="B18" s="1024"/>
      <c r="C18" s="2341"/>
      <c r="D18" s="2344"/>
      <c r="E18" s="1024"/>
      <c r="F18" s="1032"/>
    </row>
    <row r="19" spans="1:7" ht="24" customHeight="1">
      <c r="A19" s="1702"/>
      <c r="B19" s="1024"/>
      <c r="C19" s="2341"/>
      <c r="D19" s="2344"/>
      <c r="E19" s="1024"/>
      <c r="F19" s="1024"/>
    </row>
    <row r="20" spans="1:7" ht="24" customHeight="1">
      <c r="A20" s="1702"/>
      <c r="B20" s="1024"/>
      <c r="C20" s="2341"/>
      <c r="D20" s="2344"/>
      <c r="E20" s="1024"/>
      <c r="F20" s="1024"/>
    </row>
    <row r="21" spans="1:7" ht="24" customHeight="1">
      <c r="A21" s="1702"/>
      <c r="B21" s="1024"/>
      <c r="C21" s="2341"/>
      <c r="D21" s="2344" t="s">
        <v>841</v>
      </c>
      <c r="E21" s="1024">
        <f ca="1">IF(F21&lt;B2,"已过期",2011110090)</f>
        <v>2011110090</v>
      </c>
      <c r="F21" s="1032">
        <v>48302</v>
      </c>
    </row>
    <row r="22" spans="1:7" ht="24" customHeight="1">
      <c r="A22" s="1702" t="s">
        <v>842</v>
      </c>
      <c r="B22" s="1024">
        <f ca="1">IF(C22&lt;B2,"已过期",1120020033)</f>
        <v>1120020033</v>
      </c>
      <c r="C22" s="2930">
        <v>44339</v>
      </c>
      <c r="D22" s="2344" t="s">
        <v>842</v>
      </c>
      <c r="E22" s="1024">
        <f ca="1">IF(F22&lt;B2,"已过期",2000110137)</f>
        <v>2000110137</v>
      </c>
      <c r="F22" s="1032">
        <v>46387</v>
      </c>
    </row>
    <row r="23" spans="1:7" ht="24" customHeight="1">
      <c r="A23" s="1702"/>
      <c r="B23" s="1024"/>
      <c r="C23" s="2341"/>
      <c r="D23" s="2344"/>
      <c r="E23" s="1024"/>
      <c r="F23" s="1024"/>
    </row>
    <row r="24" spans="1:7" s="1026" customFormat="1" ht="24" customHeight="1">
      <c r="A24" s="1703" t="s">
        <v>1329</v>
      </c>
      <c r="B24" s="1703" t="s">
        <v>1329</v>
      </c>
      <c r="C24" s="2342" t="s">
        <v>1329</v>
      </c>
      <c r="D24" s="2345" t="s">
        <v>1329</v>
      </c>
      <c r="E24" s="1703" t="s">
        <v>1329</v>
      </c>
      <c r="F24" s="1703" t="s">
        <v>1329</v>
      </c>
    </row>
    <row r="25" spans="1:7" ht="24" customHeight="1">
      <c r="A25" s="3073" t="s">
        <v>843</v>
      </c>
      <c r="B25" s="3073"/>
      <c r="C25" s="3073"/>
      <c r="D25" s="3073"/>
      <c r="E25" s="3073"/>
      <c r="F25" s="3073"/>
      <c r="G25" s="3073"/>
    </row>
    <row r="26" spans="1:7" s="1027" customFormat="1" ht="24" customHeight="1">
      <c r="A26" s="3074" t="s">
        <v>844</v>
      </c>
      <c r="B26" s="3074"/>
      <c r="C26" s="3075"/>
      <c r="D26" s="3076" t="s">
        <v>845</v>
      </c>
      <c r="E26" s="3074"/>
      <c r="F26" s="3074"/>
    </row>
    <row r="27" spans="1:7" s="1029" customFormat="1" ht="24" customHeight="1">
      <c r="A27" s="1028" t="s">
        <v>846</v>
      </c>
      <c r="B27" s="1023" t="s">
        <v>847</v>
      </c>
      <c r="C27" s="2340" t="s">
        <v>848</v>
      </c>
      <c r="D27" s="2348" t="s">
        <v>846</v>
      </c>
      <c r="E27" s="1023" t="s">
        <v>847</v>
      </c>
      <c r="F27" s="1023" t="s">
        <v>848</v>
      </c>
    </row>
    <row r="28" spans="1:7" s="1029" customFormat="1" ht="24" customHeight="1">
      <c r="A28" s="1030" t="s">
        <v>849</v>
      </c>
      <c r="B28" s="1031" t="s">
        <v>850</v>
      </c>
      <c r="C28" s="2346">
        <v>43725</v>
      </c>
      <c r="D28" s="2349" t="s">
        <v>851</v>
      </c>
      <c r="E28" s="1030" t="s">
        <v>852</v>
      </c>
      <c r="F28" s="1060">
        <v>44377</v>
      </c>
    </row>
    <row r="29" spans="1:7" s="1029" customFormat="1" ht="24" customHeight="1">
      <c r="A29" s="1030"/>
      <c r="B29" s="1030"/>
      <c r="C29" s="2347"/>
      <c r="D29" s="2349"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收益法-自用</vt:lpstr>
      <vt:lpstr>收益法-出租</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清单</vt:lpstr>
      <vt:lpstr>租金</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2020-05-15T03:24:45Z</dcterms:modified>
</cp:coreProperties>
</file>