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3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D33" i="43"/>
  <c r="H23" i="4"/>
  <c r="H22" i="4"/>
  <c r="N17" i="1"/>
  <c r="N6" i="1" s="1"/>
  <c r="U20" i="1"/>
  <c r="U19" i="1"/>
  <c r="E105" i="34"/>
  <c r="F105" i="34"/>
  <c r="D105" i="34"/>
  <c r="Y6" i="1" l="1"/>
  <c r="C37" i="34"/>
  <c r="D3" i="4"/>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s="1"/>
  <c r="H23" i="34"/>
  <c r="U23" i="34" s="1"/>
  <c r="J23" i="34"/>
  <c r="AC23" i="34" s="1"/>
  <c r="F19" i="34"/>
  <c r="H17" i="34"/>
  <c r="U17" i="34" s="1"/>
  <c r="F15" i="34"/>
  <c r="S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s="1"/>
  <c r="J25" i="34"/>
  <c r="AC25" i="34" s="1"/>
  <c r="F23" i="34"/>
  <c r="AA23" i="34" s="1"/>
  <c r="J19" i="34"/>
  <c r="AC19" i="34" s="1"/>
  <c r="F17" i="34"/>
  <c r="AA17" i="34"/>
  <c r="J17" i="34"/>
  <c r="W17" i="34"/>
  <c r="AA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AB8" i="34"/>
  <c r="U44" i="34"/>
  <c r="U43" i="34"/>
  <c r="AC39" i="34"/>
  <c r="W41" i="34"/>
  <c r="AC42" i="34"/>
  <c r="AB35" i="34"/>
  <c r="U39" i="34"/>
  <c r="S43" i="34"/>
  <c r="AB41" i="34"/>
  <c r="AA45" i="34"/>
  <c r="AA25" i="34"/>
  <c r="U28" i="34"/>
  <c r="S17" i="34"/>
  <c r="AA29" i="34"/>
  <c r="U27"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F19" i="6"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20" i="31"/>
  <c r="F6" i="67"/>
  <c r="E8" i="76"/>
  <c r="E7" i="76"/>
  <c r="F8" i="15"/>
  <c r="F6" i="15"/>
  <c r="F26" i="67"/>
  <c r="F26" i="15"/>
  <c r="F38" i="15"/>
  <c r="M8" i="67"/>
  <c r="M26" i="15"/>
  <c r="M26" i="67"/>
  <c r="J15" i="67"/>
  <c r="E12" i="76"/>
  <c r="L47" i="15"/>
  <c r="F6" i="73"/>
  <c r="M24" i="15"/>
  <c r="J15" i="15"/>
  <c r="C76" i="67"/>
  <c r="F16" i="67"/>
  <c r="F40" i="67"/>
  <c r="E10" i="76"/>
  <c r="M9" i="67"/>
  <c r="F9" i="67"/>
  <c r="F36" i="15"/>
  <c r="AO13" i="1"/>
  <c r="E2" i="68"/>
  <c r="F7" i="15"/>
  <c r="D7" i="73"/>
  <c r="L47" i="67"/>
  <c r="E11" i="76"/>
  <c r="F43" i="15"/>
  <c r="F9" i="15"/>
  <c r="F13" i="67"/>
  <c r="M28" i="67"/>
  <c r="M23" i="67"/>
  <c r="B13" i="76"/>
  <c r="D5" i="73"/>
  <c r="F7" i="73"/>
  <c r="E2" i="69"/>
  <c r="M6" i="15"/>
  <c r="M29" i="15"/>
  <c r="E9" i="76"/>
  <c r="F40" i="15"/>
  <c r="M22" i="67"/>
  <c r="M23" i="15"/>
  <c r="D4" i="73"/>
  <c r="B10" i="76"/>
  <c r="M28" i="15"/>
  <c r="M9" i="15"/>
  <c r="F5" i="73"/>
  <c r="F36" i="67"/>
  <c r="F37" i="67"/>
  <c r="B12" i="76"/>
  <c r="F38" i="67"/>
  <c r="C76" i="15"/>
  <c r="B11" i="76"/>
  <c r="F8" i="67"/>
  <c r="B7" i="76"/>
  <c r="F42" i="67"/>
  <c r="F16" i="15"/>
  <c r="F37" i="15"/>
  <c r="D3" i="73"/>
  <c r="F13" i="15"/>
  <c r="D6" i="73"/>
  <c r="M8" i="15"/>
  <c r="E13" i="76"/>
  <c r="M24" i="67"/>
  <c r="F4" i="73"/>
  <c r="B8" i="76"/>
  <c r="M22" i="15"/>
  <c r="M6" i="67"/>
  <c r="L48" i="67"/>
  <c r="F42" i="15"/>
  <c r="F3" i="73"/>
  <c r="S37" i="34" l="1"/>
  <c r="AB33" i="34"/>
  <c r="W33" i="34"/>
  <c r="AA33" i="34"/>
  <c r="W25" i="34"/>
  <c r="S23" i="34"/>
  <c r="AB23" i="34"/>
  <c r="U19" i="34"/>
  <c r="S21" i="34"/>
  <c r="U15" i="34"/>
  <c r="AB17" i="34"/>
  <c r="E510" i="3"/>
  <c r="G6" i="1"/>
  <c r="I24" i="43"/>
  <c r="F7" i="1"/>
  <c r="G44" i="43"/>
  <c r="B41" i="1"/>
  <c r="D93" i="9"/>
  <c r="C21" i="68"/>
  <c r="C40" i="69"/>
  <c r="G28" i="6"/>
  <c r="F29" i="6"/>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E28" i="6"/>
  <c r="L19" i="6"/>
  <c r="L27" i="6"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C27" i="15"/>
  <c r="F65" i="15"/>
  <c r="N59" i="67"/>
  <c r="L59" i="67"/>
  <c r="L58" i="67"/>
  <c r="M59" i="67"/>
  <c r="B13" i="70"/>
  <c r="F68" i="67"/>
  <c r="F64" i="67"/>
  <c r="F68" i="15"/>
  <c r="C36" i="68"/>
  <c r="D9" i="69"/>
  <c r="D9" i="68"/>
  <c r="L48" i="15"/>
  <c r="G1" i="73"/>
  <c r="C16" i="15"/>
  <c r="D1" i="43" l="1"/>
  <c r="H37" i="43"/>
  <c r="E19" i="6"/>
  <c r="K6" i="1" s="1"/>
  <c r="G27" i="6"/>
  <c r="G31" i="6" s="1"/>
  <c r="J53" i="15"/>
  <c r="L56" i="15" s="1"/>
  <c r="I54" i="15"/>
  <c r="L58" i="15"/>
  <c r="Q60" i="15" s="1"/>
  <c r="J57" i="15"/>
  <c r="J55" i="15" s="1"/>
  <c r="J58" i="15" s="1"/>
  <c r="Q50" i="15" s="1"/>
  <c r="G7" i="1"/>
  <c r="G16" i="1" s="1"/>
  <c r="F10" i="39" s="1"/>
  <c r="S10" i="39" s="1"/>
  <c r="F48" i="9"/>
  <c r="O52" i="9" s="1"/>
  <c r="F30" i="11"/>
  <c r="F31" i="12"/>
  <c r="C31" i="12" s="1"/>
  <c r="M18" i="67"/>
  <c r="F30" i="69"/>
  <c r="M18" i="15"/>
  <c r="J18" i="15" s="1"/>
  <c r="D68" i="9"/>
  <c r="F30" i="68"/>
  <c r="F28" i="67"/>
  <c r="C28" i="67" s="1"/>
  <c r="F52" i="9"/>
  <c r="F32" i="67"/>
  <c r="F60" i="67" s="1"/>
  <c r="F32" i="15"/>
  <c r="F60" i="15" s="1"/>
  <c r="F28" i="15"/>
  <c r="C28" i="15" s="1"/>
  <c r="F54"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C32" i="67"/>
  <c r="Q60" i="67"/>
  <c r="Q73" i="67"/>
  <c r="M11" i="67"/>
  <c r="J10" i="67" s="1"/>
  <c r="F11" i="15"/>
  <c r="M11" i="15"/>
  <c r="J10" i="15" s="1"/>
  <c r="J5" i="15" s="1"/>
  <c r="J24" i="15" s="1"/>
  <c r="F11" i="67"/>
  <c r="F1" i="67"/>
  <c r="Q52" i="67"/>
  <c r="Q61" i="67"/>
  <c r="Q74" i="67"/>
  <c r="Q74" i="15"/>
  <c r="Q61" i="15"/>
  <c r="AE11" i="1"/>
  <c r="AE9" i="1"/>
  <c r="AE7" i="1"/>
  <c r="AE8" i="1"/>
  <c r="AE12" i="1"/>
  <c r="AE10" i="1"/>
  <c r="F43" i="67"/>
  <c r="M29" i="67"/>
  <c r="F7" i="67"/>
  <c r="AE6" i="1"/>
  <c r="F41" i="67" s="1"/>
  <c r="C16" i="67"/>
  <c r="Q73" i="15" l="1"/>
  <c r="Q52" i="15"/>
  <c r="F1" i="15"/>
  <c r="E65" i="39"/>
  <c r="F31" i="67"/>
  <c r="F50" i="67"/>
  <c r="C6" i="67"/>
  <c r="M7" i="67"/>
  <c r="F71" i="67"/>
  <c r="AP6" i="1"/>
  <c r="C36" i="69" s="1"/>
  <c r="Q16" i="1"/>
  <c r="H16" i="1"/>
  <c r="M6" i="1"/>
  <c r="O6" i="1" s="1"/>
  <c r="K16" i="1"/>
  <c r="AA10" i="39"/>
  <c r="J10" i="39"/>
  <c r="W10" i="39" s="1"/>
  <c r="H10" i="39"/>
  <c r="U10" i="39" s="1"/>
  <c r="H10" i="40"/>
  <c r="AB10" i="40" s="1"/>
  <c r="F10" i="40"/>
  <c r="S10" i="40" s="1"/>
  <c r="J10" i="40"/>
  <c r="AC10" i="40" s="1"/>
  <c r="F48" i="68"/>
  <c r="C30" i="68"/>
  <c r="C48" i="68"/>
  <c r="C48" i="11"/>
  <c r="C30" i="11"/>
  <c r="C32" i="15"/>
  <c r="F48" i="69"/>
  <c r="C30" i="69"/>
  <c r="C48" i="6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7" i="69" s="1"/>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M27" i="67"/>
  <c r="F41" i="15"/>
  <c r="M27" i="15"/>
  <c r="R50" i="34" l="1"/>
  <c r="C49" i="34" s="1"/>
  <c r="G54" i="34"/>
  <c r="H54" i="34" s="1"/>
  <c r="J6" i="67"/>
  <c r="M17" i="67"/>
  <c r="C49" i="67"/>
  <c r="F59" i="67"/>
  <c r="C48" i="67"/>
  <c r="C66" i="67" s="1"/>
  <c r="F27" i="69"/>
  <c r="F27" i="11"/>
  <c r="F28" i="12"/>
  <c r="C29" i="12" s="1"/>
  <c r="D28" i="12" s="1"/>
  <c r="F27" i="68"/>
  <c r="AC10" i="39"/>
  <c r="U10" i="40"/>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0" i="67"/>
  <c r="D10" i="69"/>
  <c r="C34" i="69"/>
  <c r="D10" i="68"/>
  <c r="C17" i="15"/>
  <c r="C17" i="67"/>
  <c r="C14" i="67"/>
  <c r="C47" i="69" l="1"/>
  <c r="D45" i="69" s="1"/>
  <c r="C29" i="69"/>
  <c r="D27" i="69" s="1"/>
  <c r="F45" i="69"/>
  <c r="F45" i="68"/>
  <c r="C29" i="68"/>
  <c r="D27" i="68" s="1"/>
  <c r="C47" i="68"/>
  <c r="D45" i="68" s="1"/>
  <c r="C29" i="11"/>
  <c r="D27" i="11" s="1"/>
  <c r="C47" i="11"/>
  <c r="D45" i="11" s="1"/>
  <c r="J18" i="67"/>
  <c r="J5" i="67"/>
  <c r="J24" i="67"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C20" i="9"/>
  <c r="D34" i="9"/>
  <c r="Q69" i="67" l="1"/>
  <c r="Q68" i="67" s="1"/>
  <c r="H39" i="67"/>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Q57" i="67" l="1"/>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12" i="1"/>
  <c r="AO11" i="1"/>
  <c r="AO8" i="1"/>
  <c r="AO10" i="1"/>
  <c r="AO7" i="1"/>
  <c r="AO9" i="1"/>
  <c r="AO6"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C104" i="9" s="1"/>
  <c r="H101" i="9" l="1"/>
  <c r="M48" i="9" s="1"/>
  <c r="I118" i="9"/>
  <c r="C105" i="9" s="1"/>
  <c r="D119" i="9"/>
  <c r="D5" i="52" s="1"/>
  <c r="B49" i="72" s="1"/>
  <c r="G118" i="9"/>
  <c r="G4" i="52" s="1"/>
  <c r="B52" i="72" s="1"/>
  <c r="D45" i="9"/>
  <c r="F119" i="9"/>
  <c r="F5" i="52" s="1"/>
  <c r="B53" i="72" s="1"/>
  <c r="H119" i="9"/>
  <c r="H5" i="52" s="1"/>
  <c r="H4" i="52"/>
  <c r="D5" i="53" l="1"/>
  <c r="B20" i="72" s="1"/>
  <c r="H107" i="9"/>
  <c r="D122" i="9" s="1"/>
  <c r="I4" i="52"/>
  <c r="H102" i="9"/>
  <c r="D7" i="53" s="1"/>
  <c r="B21" i="72" s="1"/>
  <c r="E118" i="9"/>
  <c r="E4" i="52" s="1"/>
  <c r="B48" i="72" s="1"/>
  <c r="D53" i="9"/>
  <c r="C64" i="9"/>
  <c r="C63" i="9" s="1"/>
  <c r="C67" i="9" s="1"/>
  <c r="D52" i="9"/>
  <c r="C78" i="9"/>
  <c r="C73" i="9" s="1"/>
  <c r="D55" i="9"/>
  <c r="M53" i="9" s="1"/>
  <c r="C72" i="9"/>
  <c r="C79" i="9" s="1"/>
  <c r="C93" i="9"/>
  <c r="C86" i="9" s="1"/>
  <c r="C85" i="9"/>
  <c r="D6" i="53" l="1"/>
  <c r="B22" i="72" s="1"/>
  <c r="M49" i="9"/>
  <c r="L64" i="9" s="1"/>
  <c r="M64" i="9" s="1"/>
  <c r="D13" i="53"/>
  <c r="B30" i="72" s="1"/>
  <c r="C5" i="74"/>
  <c r="H108" i="9"/>
  <c r="D15" i="53" s="1"/>
  <c r="B31" i="72" s="1"/>
  <c r="C95" i="9"/>
  <c r="C80" i="9"/>
  <c r="E80" i="9" s="1"/>
  <c r="E81" i="9" s="1"/>
  <c r="C68" i="9"/>
  <c r="D54" i="9" s="1"/>
  <c r="D59" i="9"/>
  <c r="M55" i="9" s="1"/>
  <c r="L68" i="9"/>
  <c r="M68" i="9" s="1"/>
  <c r="D123" i="9"/>
  <c r="D9" i="52" s="1"/>
  <c r="D8" i="52"/>
  <c r="L65" i="9" l="1"/>
  <c r="M65" i="9" s="1"/>
  <c r="C96" i="9"/>
  <c r="E96" i="9" s="1"/>
  <c r="E97" i="9" s="1"/>
  <c r="L66" i="9"/>
  <c r="M66" i="9" s="1"/>
  <c r="L63" i="9"/>
  <c r="M63" i="9" s="1"/>
  <c r="M69" i="9" s="1"/>
  <c r="N69" i="9" s="1"/>
  <c r="L67" i="9"/>
  <c r="M67" i="9" s="1"/>
  <c r="C6" i="74"/>
  <c r="D14" i="53"/>
  <c r="B32" i="72" s="1"/>
  <c r="C81" i="9"/>
  <c r="C97" i="9" l="1"/>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<sst xmlns="http://schemas.openxmlformats.org/spreadsheetml/2006/main" count="7854" uniqueCount="3419">
  <si>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</si>
  <si>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</si>
  <si>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</si>
  <si>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</si>
  <si>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</si>
  <si>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</si>
  <si>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</si>
  <si>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</si>
  <si>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</si>
  <si>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</si>
  <si>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</si>
  <si>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</si>
  <si>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</si>
  <si>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</si>
  <si>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</si>
  <si>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</si>
  <si>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</si>
  <si>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</si>
  <si>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</si>
  <si>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</si>
  <si>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</si>
  <si>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</si>
  <si>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</si>
  <si>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</si>
  <si>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</si>
  <si>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</si>
  <si>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</si>
  <si>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</si>
  <si>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</si>
  <si>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</si>
  <si>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</si>
  <si>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</si>
  <si>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</si>
  <si>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</si>
  <si>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</si>
  <si>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</si>
  <si>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</si>
  <si>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</si>
  <si>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</si>
  <si>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</si>
  <si>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</si>
  <si>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</si>
  <si>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</si>
  <si>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</si>
  <si>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</si>
  <si>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</si>
  <si>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</si>
  <si>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</si>
  <si>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</si>
  <si>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</si>
  <si>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</si>
  <si>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</si>
  <si>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</si>
  <si>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</si>
  <si>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</si>
  <si>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</si>
  <si>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</si>
  <si>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</si>
  <si>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</si>
  <si>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</si>
  <si>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</si>
  <si>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</si>
  <si>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</si>
  <si>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</si>
  <si>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</si>
  <si>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</si>
  <si>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</si>
  <si>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</si>
  <si>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</si>
  <si>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</si>
  <si>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</si>
  <si>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</si>
  <si>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</si>
  <si>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</si>
  <si>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</si>
  <si>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</si>
  <si>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</si>
  <si>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</si>
  <si>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</si>
  <si>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</si>
  <si>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</si>
  <si>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</si>
  <si>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</si>
  <si>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</si>
  <si>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</si>
  <si>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</si>
  <si>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</si>
  <si>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</si>
  <si>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</si>
  <si>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</si>
  <si>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</si>
  <si>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</si>
  <si>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</si>
  <si>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</si>
  <si>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</si>
  <si>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</si>
  <si>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</si>
  <si>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</si>
  <si>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</si>
  <si>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</si>
  <si>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</si>
  <si>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</si>
  <si>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</si>
  <si>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</si>
  <si>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</si>
  <si>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</si>
  <si>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</si>
  <si>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</si>
  <si>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</si>
  <si>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</si>
  <si>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</si>
  <si>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</si>
  <si>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</si>
  <si>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</si>
  <si>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</si>
  <si>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</si>
  <si>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</si>
  <si>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</si>
  <si>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</si>
  <si>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</si>
  <si>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</si>
  <si>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</si>
  <si>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</si>
  <si>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</si>
  <si>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</si>
  <si>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</si>
  <si>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</si>
  <si>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</si>
  <si>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</si>
  <si>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</si>
  <si>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</si>
  <si>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</si>
  <si>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</si>
  <si>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</si>
  <si>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</si>
  <si>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</si>
  <si>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</si>
  <si>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</si>
  <si>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</si>
  <si>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</si>
  <si>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</si>
  <si>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</si>
  <si>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</si>
  <si>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</si>
  <si>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</si>
  <si>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</si>
  <si>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</si>
  <si>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</si>
  <si>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</si>
  <si>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</si>
  <si>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</si>
  <si>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</si>
  <si>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</si>
  <si>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</si>
  <si>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</si>
  <si>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</si>
  <si>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</si>
  <si>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</si>
  <si>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</si>
  <si>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</si>
  <si>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</si>
  <si>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</si>
  <si>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</si>
  <si>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</si>
  <si>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</si>
  <si>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</si>
  <si>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</si>
  <si>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</si>
  <si>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</si>
  <si>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</si>
  <si>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</si>
  <si>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</si>
  <si>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</si>
  <si>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</si>
  <si>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</si>
  <si>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</si>
  <si>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</si>
  <si>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</si>
  <si>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</si>
  <si>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</si>
  <si>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</si>
  <si>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</si>
  <si>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</si>
  <si>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</si>
  <si>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</si>
  <si>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</si>
  <si>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</si>
  <si>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</si>
  <si>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</si>
  <si>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</si>
  <si>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</si>
  <si>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</si>
  <si>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</si>
  <si>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</si>
  <si>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</si>
  <si>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</si>
  <si>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</si>
  <si>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</si>
  <si>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</si>
  <si>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</si>
  <si>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</si>
  <si>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</si>
  <si>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</si>
  <si>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</si>
  <si>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</si>
  <si>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</si>
  <si>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</si>
  <si>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</si>
  <si>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</si>
  <si>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</si>
  <si>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</si>
  <si>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</si>
  <si>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</si>
  <si>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</si>
  <si>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</si>
  <si>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</si>
  <si>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</si>
  <si>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</si>
  <si>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</si>
  <si>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</si>
  <si>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</si>
  <si>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</si>
  <si>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</si>
  <si>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</si>
  <si>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</si>
  <si>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</si>
  <si>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</si>
  <si>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</si>
  <si>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</si>
  <si>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</si>
  <si>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</si>
  <si>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</si>
  <si>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</si>
  <si>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</si>
  <si>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</si>
  <si>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</si>
  <si>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</si>
  <si>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</si>
  <si>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</si>
  <si>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</si>
  <si>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</si>
  <si>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</si>
  <si>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</si>
  <si>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</si>
  <si>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</si>
  <si>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</si>
  <si>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</si>
  <si>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</si>
  <si>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</si>
  <si>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</si>
  <si>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</si>
  <si>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</si>
  <si>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</si>
  <si>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</si>
  <si>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</si>
  <si>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</si>
  <si>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</si>
  <si>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</si>
  <si>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</si>
  <si>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</si>
  <si>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</si>
  <si>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</si>
  <si>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</si>
  <si>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</si>
  <si>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</si>
  <si>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</si>
  <si>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</si>
  <si>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</si>
  <si>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</si>
  <si>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</si>
  <si>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</si>
  <si>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</si>
  <si>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</si>
  <si>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</si>
  <si>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</si>
  <si>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</si>
  <si>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</si>
  <si>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</si>
  <si>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</si>
  <si>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</si>
  <si>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</si>
  <si>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</si>
  <si>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</si>
  <si>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</si>
  <si>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</si>
  <si>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</si>
  <si>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</si>
  <si>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</si>
  <si>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</si>
  <si>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</si>
  <si>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</si>
  <si>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</si>
  <si>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</si>
  <si>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</si>
  <si>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</si>
  <si>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</si>
  <si>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</si>
  <si>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</si>
  <si>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</si>
  <si>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</si>
  <si>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</si>
  <si>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</si>
  <si>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</si>
  <si>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</si>
  <si>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</si>
  <si>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</si>
  <si>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</si>
  <si>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</si>
  <si>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</si>
  <si>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</si>
  <si>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</si>
  <si>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</si>
  <si>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</si>
  <si>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</si>
  <si>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</si>
  <si>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</si>
  <si>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</si>
  <si>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</si>
  <si>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</si>
  <si>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</si>
  <si>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</si>
  <si>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</si>
  <si>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</si>
  <si>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</si>
  <si>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</si>
  <si>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</si>
  <si>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</si>
  <si>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</si>
  <si>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</si>
  <si>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</si>
  <si>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</si>
  <si>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</si>
  <si>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</si>
  <si>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</si>
  <si>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</si>
  <si>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</si>
  <si>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</si>
  <si>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</si>
  <si>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</si>
  <si>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</si>
  <si>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</si>
  <si>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</si>
  <si>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</si>
  <si>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</si>
  <si>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</si>
  <si>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</si>
  <si>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</si>
  <si>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</si>
  <si>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</si>
  <si>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</si>
  <si>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</si>
  <si>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</si>
  <si>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</si>
  <si>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</si>
  <si>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</si>
  <si>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</si>
  <si>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</si>
  <si>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</si>
  <si>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</si>
  <si>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</si>
  <si>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</si>
  <si>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</si>
  <si>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</si>
  <si>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</si>
  <si>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</si>
  <si>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</si>
  <si>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</si>
  <si>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</si>
  <si>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</si>
  <si>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</si>
  <si>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</si>
  <si>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</si>
  <si>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</si>
  <si>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</si>
  <si>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</si>
  <si>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</si>
  <si>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</si>
  <si>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</si>
  <si>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</si>
  <si>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</si>
  <si>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</si>
  <si>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</si>
  <si>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</si>
  <si>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</si>
  <si>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</si>
  <si>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</si>
  <si>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</si>
  <si>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</si>
  <si>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</si>
  <si>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</si>
  <si>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</si>
  <si>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</si>
  <si>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</si>
  <si>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</si>
  <si>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</si>
  <si>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</si>
  <si>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</si>
  <si>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</si>
  <si>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</si>
  <si>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</si>
  <si>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</si>
  <si>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</si>
  <si>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</si>
  <si>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</si>
  <si>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</si>
  <si>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</si>
  <si>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</si>
  <si>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</si>
  <si>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</si>
  <si>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</si>
  <si>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</si>
  <si>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</si>
  <si>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</si>
  <si>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</si>
  <si>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</si>
  <si>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</si>
  <si>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</si>
  <si>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</si>
  <si>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</si>
  <si>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</si>
  <si>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</si>
  <si>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</si>
  <si>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</si>
  <si>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</si>
  <si>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</si>
  <si>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</si>
  <si>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</si>
  <si>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</si>
  <si>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</si>
  <si>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</si>
  <si>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</si>
  <si>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</si>
  <si>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</si>
  <si>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</si>
  <si>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</si>
  <si>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</si>
  <si>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</si>
  <si>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</si>
  <si>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</si>
  <si>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</si>
  <si>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</si>
  <si>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</si>
  <si>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</si>
  <si>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</si>
  <si>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</si>
  <si>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</si>
  <si>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</si>
  <si>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</si>
  <si>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</si>
  <si>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</si>
  <si>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</si>
  <si>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</si>
  <si>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</si>
  <si>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</si>
  <si>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</si>
  <si>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</si>
  <si>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</si>
  <si>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</si>
  <si>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</si>
  <si>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</si>
  <si>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</si>
  <si>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</si>
  <si>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</si>
  <si>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</si>
  <si>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</si>
  <si>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</si>
  <si>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</si>
  <si>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</si>
  <si>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</si>
  <si>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</si>
  <si>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</si>
  <si>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</si>
  <si>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</si>
  <si>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</si>
  <si>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</si>
  <si>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</si>
  <si>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</si>
  <si>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</si>
  <si>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</si>
  <si>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</si>
  <si>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</si>
  <si>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</si>
  <si>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</si>
  <si>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</si>
  <si>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</si>
  <si>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</si>
  <si>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</si>
  <si>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</si>
  <si>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</si>
  <si>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</si>
  <si>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</si>
  <si>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</si>
  <si>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</si>
  <si>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</si>
  <si>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</si>
  <si>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</si>
  <si>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</si>
  <si>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</si>
  <si>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</si>
  <si>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</si>
  <si>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</si>
  <si>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</si>
  <si>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</si>
  <si>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</si>
  <si>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</si>
  <si>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</si>
  <si>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</si>
  <si>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</si>
  <si>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</si>
  <si>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</si>
  <si>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</si>
  <si>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</si>
  <si>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</si>
  <si>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</si>
  <si>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</si>
  <si>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</si>
  <si>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</si>
  <si>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</si>
  <si>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</si>
  <si>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</si>
  <si>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</si>
  <si>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</si>
  <si>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</si>
  <si>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</si>
  <si>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</si>
  <si>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</si>
  <si>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</si>
  <si>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</si>
  <si>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</si>
  <si>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</si>
  <si>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</si>
  <si>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</si>
  <si>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</si>
  <si>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</si>
  <si>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</si>
  <si>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</si>
  <si>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</si>
  <si>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</si>
  <si>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</si>
  <si>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</si>
  <si>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</si>
  <si>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</si>
  <si>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</si>
  <si>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</si>
  <si>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</si>
  <si>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</si>
  <si>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</si>
  <si>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</si>
  <si>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</si>
  <si>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</si>
  <si>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</si>
  <si>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</si>
  <si>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</si>
  <si>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</si>
  <si>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</si>
  <si>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</si>
  <si>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</si>
  <si>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</si>
  <si>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</si>
  <si>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</si>
  <si>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</si>
  <si>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</si>
  <si>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</si>
  <si>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</si>
  <si>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</si>
  <si>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</si>
  <si>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</si>
  <si>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</si>
  <si>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</si>
  <si>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</si>
  <si>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</si>
  <si>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</si>
  <si>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</si>
  <si>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</si>
  <si>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</si>
  <si>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</si>
  <si>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</si>
  <si>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</si>
  <si>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</si>
  <si>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</si>
  <si>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</si>
  <si>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</si>
  <si>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</si>
  <si>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</si>
  <si>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</si>
  <si>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</si>
  <si>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</si>
  <si>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</si>
  <si>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</si>
  <si>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</si>
  <si>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</si>
  <si>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</si>
  <si>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</si>
  <si>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</si>
  <si>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</si>
  <si>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</si>
  <si>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</si>
  <si>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</si>
  <si>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</si>
  <si>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</si>
  <si>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</si>
  <si>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</si>
  <si>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</si>
  <si>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</si>
  <si>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</si>
  <si>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</si>
  <si>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</si>
  <si>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</si>
  <si>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</si>
  <si>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</si>
  <si>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</si>
  <si>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</si>
  <si>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</si>
  <si>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</si>
  <si>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</si>
  <si>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</si>
  <si>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</si>
  <si>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</si>
  <si>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</si>
  <si>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</si>
  <si>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</si>
  <si>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</si>
  <si>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</si>
  <si>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</si>
  <si>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</si>
  <si>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</si>
  <si>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</si>
  <si>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</si>
  <si>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</si>
  <si>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</si>
  <si>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</si>
  <si>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</si>
  <si>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</si>
  <si>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</si>
  <si>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</si>
  <si>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</si>
  <si>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</si>
  <si>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</si>
  <si>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</si>
  <si>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</si>
  <si>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</si>
  <si>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</si>
  <si>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</si>
  <si>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</si>
  <si>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</si>
  <si>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</si>
  <si>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</si>
  <si>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</si>
  <si>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</si>
  <si>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</si>
  <si>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</si>
  <si>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</si>
  <si>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</si>
  <si>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</si>
  <si>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</si>
  <si>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</si>
  <si>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</si>
  <si>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</si>
  <si>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</si>
  <si>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</si>
  <si>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</si>
  <si>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</si>
  <si>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</si>
  <si>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</si>
  <si>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</si>
  <si>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</si>
  <si>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</si>
  <si>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</si>
  <si>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</si>
  <si>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</si>
  <si>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</si>
  <si>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</si>
  <si>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</si>
  <si>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</si>
  <si>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</si>
  <si>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</si>
  <si>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</si>
  <si>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</si>
  <si>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</si>
  <si>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</si>
  <si>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</si>
  <si>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</si>
  <si>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</si>
  <si>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</si>
  <si>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</si>
  <si>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</si>
  <si>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</si>
  <si>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</si>
  <si>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</si>
  <si>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</si>
  <si>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</si>
  <si>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</si>
  <si>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</si>
  <si>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</si>
  <si>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</si>
  <si>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</si>
  <si>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</si>
  <si>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</si>
  <si>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</si>
  <si>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</si>
  <si>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</si>
  <si>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</si>
  <si>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</si>
  <si>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</si>
  <si>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</si>
  <si>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</si>
  <si>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</si>
  <si>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</si>
  <si>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</si>
  <si>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</si>
  <si>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</si>
  <si>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</si>
  <si>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</si>
  <si>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</si>
  <si>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</si>
  <si>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</si>
  <si>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</si>
  <si>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</si>
  <si>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</si>
  <si>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</si>
  <si>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</si>
  <si>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</si>
  <si>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</si>
  <si>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</si>
  <si>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</si>
  <si>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</si>
  <si>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</si>
  <si>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</si>
  <si>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</si>
  <si>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</si>
  <si>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</si>
  <si>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</si>
  <si>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</si>
  <si>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</si>
  <si>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</si>
  <si>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</si>
  <si>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</si>
  <si>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</si>
  <si>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</si>
  <si>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</si>
  <si>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</si>
  <si>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</si>
  <si>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</si>
  <si>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</si>
  <si>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</si>
  <si>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</si>
  <si>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</si>
  <si>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</si>
  <si>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</si>
  <si>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</si>
  <si>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</si>
  <si>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</si>
  <si>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</si>
  <si>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</si>
  <si>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</si>
  <si>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</si>
  <si>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</si>
  <si>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</si>
  <si>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</si>
  <si>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</si>
  <si>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</si>
  <si>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</si>
  <si>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</si>
  <si>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</si>
  <si>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</si>
  <si>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</si>
  <si>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</si>
  <si>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</si>
  <si>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</si>
  <si>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</si>
  <si>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</si>
  <si>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</si>
  <si>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</si>
  <si>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</si>
  <si>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</si>
  <si>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</si>
  <si>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</si>
  <si>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</si>
  <si>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</si>
  <si>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</si>
  <si>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</si>
  <si>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</si>
  <si>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</si>
  <si>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</si>
  <si>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</si>
  <si>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</si>
  <si>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</si>
  <si>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</si>
  <si>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</si>
  <si>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</si>
  <si>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</si>
  <si>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</si>
  <si>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</si>
  <si>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</si>
  <si>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</si>
  <si>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</si>
  <si>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</si>
  <si>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</si>
  <si>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</si>
  <si>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</si>
  <si>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</si>
  <si>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</si>
  <si>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</si>
  <si>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</si>
  <si>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</si>
  <si>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</si>
  <si>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</si>
  <si>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</si>
  <si>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</si>
  <si>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</si>
  <si>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</si>
  <si>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</si>
  <si>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</si>
  <si>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</si>
  <si>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</si>
  <si>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</si>
  <si>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</si>
  <si>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</si>
  <si>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</si>
  <si>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</si>
  <si>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</si>
  <si>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</si>
  <si>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</si>
  <si>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</si>
  <si>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</si>
  <si>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</si>
  <si>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</si>
  <si>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</si>
  <si>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</si>
  <si>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</si>
  <si>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</si>
  <si>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</si>
  <si>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</si>
  <si>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</si>
  <si>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</si>
  <si>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</si>
  <si>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</si>
  <si>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</si>
  <si>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</si>
  <si>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</si>
  <si>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</si>
  <si>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</si>
  <si>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</si>
  <si>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</si>
  <si>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</si>
  <si>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</si>
  <si>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</si>
  <si>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</si>
  <si>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</si>
  <si>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</si>
  <si>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</si>
  <si>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</si>
  <si>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</si>
  <si>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</si>
  <si>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</si>
  <si>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</si>
  <si>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</si>
  <si>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</si>
  <si>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</si>
  <si>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</si>
  <si>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</si>
  <si>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</si>
  <si>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</si>
  <si>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</si>
  <si>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</si>
  <si>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</si>
  <si>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</si>
  <si>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</si>
  <si>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</si>
  <si>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</si>
  <si>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</si>
  <si>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</si>
  <si>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</si>
  <si>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</si>
  <si>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</si>
  <si>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</si>
  <si>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</si>
  <si>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</si>
  <si>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</si>
  <si>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</si>
  <si>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</si>
  <si>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</si>
  <si>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</si>
  <si>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</si>
  <si>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</si>
  <si>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</si>
  <si>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</si>
  <si>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</si>
  <si>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</si>
  <si>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</si>
  <si>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</si>
  <si>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</si>
  <si>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</si>
  <si>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</si>
  <si>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</si>
  <si>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</si>
  <si>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</si>
  <si>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</si>
  <si>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</si>
  <si>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</si>
  <si>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</si>
  <si>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</si>
  <si>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</si>
  <si>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</si>
  <si>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</si>
  <si>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</si>
  <si>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</si>
  <si>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</si>
  <si>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</si>
  <si>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</si>
  <si>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</si>
  <si>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</si>
  <si>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</si>
  <si>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</si>
  <si>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</si>
  <si>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</si>
  <si>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</si>
  <si>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</si>
  <si>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</si>
  <si>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</si>
  <si>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</si>
  <si>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</si>
  <si>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</si>
  <si>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</si>
  <si>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</si>
  <si>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</si>
  <si>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</si>
  <si>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</si>
  <si>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</si>
  <si>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</si>
  <si>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</si>
  <si>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</si>
  <si>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</si>
  <si>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</si>
  <si>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</si>
  <si>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</si>
  <si>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</si>
  <si>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</si>
  <si>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</si>
  <si>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</si>
  <si>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</si>
  <si>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</si>
  <si>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</si>
  <si>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</si>
  <si>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</si>
  <si>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</si>
  <si>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</si>
  <si>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</si>
  <si>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</si>
  <si>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</si>
  <si>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</si>
  <si>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</si>
  <si>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</si>
  <si>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</si>
  <si>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</si>
  <si>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</si>
  <si>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</si>
  <si>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</si>
  <si>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</si>
  <si>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</si>
  <si>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</si>
  <si>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</si>
  <si>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</si>
  <si>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</si>
  <si>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</si>
  <si>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</si>
  <si>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</si>
  <si>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</si>
  <si>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</si>
  <si>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</si>
  <si>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</si>
  <si>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</si>
  <si>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</si>
  <si>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</si>
  <si>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</si>
  <si>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</si>
  <si>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</si>
  <si>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</si>
  <si>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</si>
  <si>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</si>
  <si>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</si>
  <si>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</si>
  <si>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</si>
  <si>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</si>
  <si>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</si>
  <si>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</si>
  <si>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</si>
  <si>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</si>
  <si>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</si>
  <si>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</si>
  <si>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</si>
  <si>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</si>
  <si>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</si>
  <si>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</si>
  <si>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</si>
  <si>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</si>
  <si>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</si>
  <si>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</si>
  <si>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</si>
  <si>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</si>
  <si>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</si>
  <si>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</si>
  <si>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</si>
  <si>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</si>
  <si>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</si>
  <si>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</si>
  <si>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</si>
  <si>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</si>
  <si>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</si>
  <si>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</si>
  <si>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</si>
  <si>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</si>
  <si>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</si>
  <si>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</si>
  <si>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</si>
  <si>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</si>
  <si>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</si>
  <si>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</si>
  <si>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</si>
  <si>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</si>
  <si>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</si>
  <si>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</si>
  <si>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</si>
  <si>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</si>
  <si>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</si>
  <si>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</si>
  <si>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</si>
  <si>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</si>
  <si>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</si>
  <si>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</si>
  <si>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</si>
  <si>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</si>
  <si>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</si>
  <si>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</si>
  <si>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</si>
  <si>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</si>
  <si>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</si>
  <si>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</si>
  <si>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</si>
  <si>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</si>
  <si>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</si>
  <si>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</si>
  <si>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</si>
  <si>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</si>
  <si>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</si>
  <si>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</si>
  <si>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</si>
  <si>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</si>
  <si>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</si>
  <si>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</si>
  <si>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</si>
  <si>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</si>
  <si>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</si>
  <si>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</si>
  <si>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</si>
  <si>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</si>
  <si>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</si>
  <si>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</si>
  <si>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</si>
  <si>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</si>
  <si>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</si>
  <si>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</si>
  <si>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</si>
  <si>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</si>
  <si>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</si>
  <si>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</si>
  <si>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</si>
  <si>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</si>
  <si>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</si>
  <si>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</si>
  <si>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</si>
  <si>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</si>
  <si>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</si>
  <si>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</si>
  <si>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</si>
  <si>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</si>
  <si>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</si>
  <si>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</si>
  <si>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</si>
  <si>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</si>
  <si>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</si>
  <si>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</si>
  <si>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</si>
  <si>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</si>
  <si>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</si>
  <si>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</si>
  <si>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</si>
  <si>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</si>
  <si>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</si>
  <si>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</si>
  <si>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</si>
  <si>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</si>
  <si>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</si>
  <si>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</si>
  <si>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</si>
  <si>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</si>
  <si>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</si>
  <si>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</si>
  <si>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</si>
  <si>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</si>
  <si>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</si>
  <si>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</si>
  <si>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</si>
  <si>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</si>
  <si>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</si>
  <si>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</si>
  <si>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</si>
  <si>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</si>
  <si>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</si>
  <si>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</si>
  <si>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</si>
  <si>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</si>
  <si>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</si>
  <si>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</si>
  <si>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</si>
  <si>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</si>
  <si>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</si>
  <si>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</si>
  <si>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</si>
  <si>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</si>
  <si>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</si>
  <si>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</si>
  <si>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</si>
  <si>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</si>
  <si>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</si>
  <si>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</si>
  <si>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</si>
  <si>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</si>
  <si>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</si>
  <si>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</si>
  <si>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</si>
  <si>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</si>
  <si>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</si>
  <si>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</si>
  <si>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</si>
  <si>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</si>
  <si>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</si>
  <si>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</si>
  <si>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</si>
  <si>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</si>
  <si>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</si>
  <si>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</si>
  <si>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</si>
  <si>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</si>
  <si>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</si>
  <si>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</si>
  <si>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</si>
  <si>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</si>
  <si>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</si>
  <si>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</si>
  <si>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</si>
  <si>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</si>
  <si>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</si>
  <si>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</si>
  <si>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</si>
  <si>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</si>
  <si>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</si>
  <si>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</si>
  <si>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</si>
  <si>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</si>
  <si>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</si>
  <si>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</si>
  <si>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</si>
  <si>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</si>
  <si>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</si>
  <si>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</si>
  <si>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</si>
  <si>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</si>
  <si>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</si>
  <si>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</si>
  <si>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</si>
  <si>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</si>
  <si>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</si>
  <si>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</si>
  <si>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</si>
  <si>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</si>
  <si>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</si>
  <si>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</si>
  <si>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</si>
  <si>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</si>
  <si>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</si>
  <si>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</si>
  <si>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</si>
  <si>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</si>
  <si>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</si>
  <si>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</si>
  <si>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</si>
  <si>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</si>
  <si>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</si>
  <si>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</si>
  <si>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</si>
  <si>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</si>
  <si>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</si>
  <si>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</si>
  <si>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</si>
  <si>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</si>
  <si>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</si>
  <si>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</si>
  <si>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</si>
  <si>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</si>
  <si>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</si>
  <si>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</si>
  <si>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</si>
  <si>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</si>
  <si>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</si>
  <si>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</si>
  <si>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</si>
  <si>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</si>
  <si>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</si>
  <si>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</si>
  <si>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</si>
  <si>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</si>
  <si>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</si>
  <si>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</si>
  <si>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</si>
  <si>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</si>
  <si>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</si>
  <si>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</si>
  <si>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</si>
  <si>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</si>
  <si>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</si>
  <si>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</si>
  <si>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</si>
  <si>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</si>
  <si>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</si>
  <si>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</si>
  <si>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</si>
  <si>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</si>
  <si>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</si>
  <si>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</si>
  <si>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</si>
  <si>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</si>
  <si>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</si>
  <si>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</si>
  <si>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</si>
  <si>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</si>
  <si>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</si>
  <si>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</si>
  <si>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</si>
  <si>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</si>
  <si>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</si>
  <si>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</si>
  <si>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</si>
  <si>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</si>
  <si>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</si>
  <si>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</si>
  <si>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</si>
  <si>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</si>
  <si>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</si>
  <si>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</si>
  <si>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</si>
  <si>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</si>
  <si>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</si>
  <si>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</si>
  <si>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</si>
  <si>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</si>
  <si>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</si>
  <si>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</si>
  <si>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</si>
  <si>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</si>
  <si>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</si>
  <si>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</si>
  <si>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</si>
  <si>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</si>
  <si>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</si>
  <si>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</si>
  <si>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</si>
  <si>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</si>
  <si>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</si>
  <si>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</si>
  <si>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</si>
  <si>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</si>
  <si>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</si>
  <si>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</si>
  <si>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</si>
  <si>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</si>
  <si>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</si>
  <si>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</si>
  <si>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</si>
  <si>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</si>
  <si>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</si>
  <si>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</si>
  <si>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</si>
  <si>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</si>
  <si>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</si>
  <si>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</si>
  <si>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</si>
  <si>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</si>
  <si>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</si>
  <si>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</si>
  <si>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</si>
  <si>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</si>
  <si>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</si>
  <si>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</si>
  <si>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</si>
  <si>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</si>
  <si>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</si>
  <si>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</si>
  <si>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</si>
  <si>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</si>
  <si>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</si>
  <si>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</si>
  <si>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</si>
  <si>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</si>
  <si>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</si>
  <si>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</si>
  <si>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</si>
  <si>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</si>
  <si>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</si>
  <si>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</si>
  <si>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</si>
  <si>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</si>
  <si>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</si>
  <si>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</si>
  <si>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</si>
  <si>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</si>
  <si>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</si>
  <si>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</si>
  <si>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</si>
  <si>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</si>
  <si>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</si>
  <si>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</si>
  <si>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</si>
  <si>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</si>
  <si>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</si>
  <si>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</si>
  <si>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</si>
  <si>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</si>
  <si>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</si>
  <si>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</si>
  <si>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</si>
  <si>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</si>
  <si>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</si>
  <si>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</si>
  <si>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</si>
  <si>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</si>
  <si>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</si>
  <si>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</si>
  <si>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</si>
  <si>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</si>
  <si>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</si>
  <si>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</si>
  <si>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</si>
  <si>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</si>
  <si>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</si>
  <si>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</si>
  <si>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</si>
  <si>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</si>
  <si>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</si>
  <si>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</si>
  <si>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</si>
  <si>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</si>
  <si>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</si>
  <si>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</si>
  <si>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</si>
  <si>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</si>
  <si>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</si>
  <si>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</si>
  <si>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</si>
  <si>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</si>
  <si>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</si>
  <si>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</si>
  <si>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</si>
  <si>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</si>
  <si>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</si>
  <si>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</si>
  <si>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</si>
  <si>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</si>
  <si>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</si>
  <si>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</si>
  <si>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</si>
  <si>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</si>
  <si>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</si>
  <si>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</si>
  <si>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</si>
  <si>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</si>
  <si>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</si>
  <si>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</si>
  <si>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</si>
  <si>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</si>
  <si>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</si>
  <si>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</si>
  <si>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</si>
  <si>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</si>
  <si>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</si>
  <si>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</si>
  <si>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</si>
  <si>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</si>
  <si>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</si>
  <si>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</si>
  <si>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</si>
  <si>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</si>
  <si>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</si>
  <si>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</si>
  <si>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</si>
  <si>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</si>
  <si>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</si>
  <si>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</si>
  <si>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</si>
  <si>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</si>
  <si>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</si>
  <si>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</si>
  <si>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</si>
  <si>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</si>
  <si>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</si>
  <si>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</si>
  <si>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</si>
  <si>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</si>
  <si>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</si>
  <si>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</si>
  <si>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</si>
  <si>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</si>
  <si>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</si>
  <si>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</si>
  <si>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</si>
  <si>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</si>
  <si>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</si>
  <si>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</si>
  <si>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</si>
  <si>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</si>
  <si>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</si>
  <si>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</si>
  <si>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</si>
  <si>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</si>
  <si>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</si>
  <si>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</si>
  <si>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</si>
  <si>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</si>
  <si>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</si>
  <si>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</si>
  <si>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</si>
  <si>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</si>
  <si>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</si>
  <si>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</si>
  <si>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</si>
  <si>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</si>
  <si>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</si>
  <si>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</si>
  <si>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</si>
  <si>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</si>
  <si>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</si>
  <si>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</si>
  <si>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</si>
  <si>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</si>
  <si>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</si>
  <si>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</si>
  <si>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</si>
  <si>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</si>
  <si>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</si>
  <si>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</si>
  <si>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</si>
  <si>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</si>
  <si>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</si>
  <si>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</si>
  <si>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</si>
  <si>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</si>
  <si>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</si>
  <si>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</si>
  <si>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</si>
  <si>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</si>
  <si>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</si>
  <si>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</si>
  <si>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</si>
  <si>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</si>
  <si>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</si>
  <si>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</si>
  <si>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</si>
  <si>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</si>
  <si>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</si>
  <si>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</si>
  <si>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</si>
  <si>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</si>
  <si>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</si>
  <si>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</si>
  <si>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</si>
  <si>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</si>
  <si>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</si>
  <si>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</si>
  <si>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</si>
  <si>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</si>
  <si>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</si>
  <si>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</si>
  <si>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</si>
  <si>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</si>
  <si>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</si>
  <si>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</si>
  <si>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</si>
  <si>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</si>
  <si>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</si>
  <si>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</si>
  <si>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</si>
  <si>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</si>
  <si>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</si>
  <si>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</si>
  <si>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</si>
  <si>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</si>
  <si>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</si>
  <si>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</si>
  <si>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</si>
  <si>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</si>
  <si>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</si>
  <si>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</si>
  <si>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</si>
  <si>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</si>
  <si>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</si>
  <si>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</si>
  <si>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</si>
  <si>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</si>
  <si>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</si>
  <si>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</si>
  <si>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</si>
  <si>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</si>
  <si>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</si>
  <si>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</si>
  <si>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</si>
  <si>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</si>
  <si>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</si>
  <si>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</si>
  <si>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</si>
  <si>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</si>
  <si>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</si>
  <si>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</si>
  <si>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</si>
  <si>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</si>
  <si>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</si>
  <si>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</si>
  <si>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</si>
  <si>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</si>
  <si>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</si>
  <si>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</si>
  <si>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</si>
  <si>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</si>
  <si>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</si>
  <si>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</si>
  <si>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</si>
  <si>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</si>
  <si>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</si>
  <si>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</si>
  <si>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</si>
  <si>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</si>
  <si>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</si>
  <si>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</si>
  <si>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</si>
  <si>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</si>
  <si>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</si>
  <si>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</si>
  <si>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</si>
  <si>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</si>
  <si>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</si>
  <si>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</si>
  <si>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</si>
  <si>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</si>
  <si>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</si>
  <si>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</si>
  <si>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</si>
  <si>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</si>
  <si>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</si>
  <si>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</si>
  <si>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</si>
  <si>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</si>
  <si>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</si>
  <si>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</si>
  <si>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</si>
  <si>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</si>
  <si>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</si>
  <si>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</si>
  <si>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</si>
  <si>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</si>
  <si>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</si>
  <si>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</si>
  <si>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</si>
  <si>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</si>
  <si>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</si>
  <si>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</si>
  <si>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</si>
  <si>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</si>
  <si>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</si>
  <si>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</si>
  <si>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</si>
  <si>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</si>
  <si>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</si>
  <si>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</si>
  <si>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</si>
  <si>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</si>
  <si>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</si>
  <si>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</si>
  <si>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</si>
  <si>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</si>
  <si>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</si>
  <si>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</si>
  <si>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</si>
  <si>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</si>
  <si>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</si>
  <si>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</si>
  <si>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</si>
  <si>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</si>
  <si>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</si>
  <si>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</si>
  <si>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</si>
  <si>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</si>
  <si>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</si>
  <si>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</si>
  <si>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</si>
  <si>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</si>
  <si>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</si>
  <si>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</si>
  <si>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</si>
  <si>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</si>
  <si>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</si>
  <si>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</si>
  <si>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</si>
  <si>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</si>
  <si>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</si>
  <si>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</si>
  <si>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</si>
  <si>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</si>
  <si>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</si>
  <si>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</si>
  <si>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</si>
  <si>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</si>
  <si>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</si>
  <si>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</si>
  <si>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</si>
  <si>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</si>
  <si>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</si>
  <si>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</si>
  <si>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</si>
  <si>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</si>
  <si>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</si>
  <si>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</si>
  <si>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</si>
  <si>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</si>
  <si>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</si>
  <si>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</si>
  <si>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</si>
  <si>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</si>
  <si>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</si>
  <si>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</si>
  <si>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</si>
  <si>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</si>
  <si>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</si>
  <si>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</si>
  <si>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</si>
  <si>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</si>
  <si>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</si>
  <si>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</si>
  <si>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</si>
  <si>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</si>
  <si>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</si>
  <si>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</si>
  <si>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</si>
  <si>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</si>
  <si>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</si>
  <si>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</si>
  <si>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</si>
  <si>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</si>
  <si>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</si>
  <si>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</si>
  <si>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</si>
  <si>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</si>
  <si>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</si>
  <si>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</si>
  <si>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</si>
  <si>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</si>
  <si>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</si>
  <si>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</si>
  <si>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</si>
  <si>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</si>
  <si>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</si>
  <si>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</si>
  <si>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</si>
  <si>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</si>
  <si>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</si>
  <si>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</si>
  <si>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</si>
  <si>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</si>
  <si>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</si>
  <si>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</si>
  <si>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</si>
  <si>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</si>
  <si>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</si>
  <si>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</si>
  <si>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</si>
  <si>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</si>
  <si>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</si>
  <si>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</si>
  <si>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</si>
  <si>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</si>
  <si>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</si>
  <si>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</si>
  <si>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</si>
  <si>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</si>
  <si>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</si>
  <si>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</si>
  <si>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</si>
  <si>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</si>
  <si>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</si>
  <si>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</si>
  <si>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</si>
  <si>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</si>
  <si>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</si>
  <si>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</si>
  <si>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</si>
  <si>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</si>
  <si>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</si>
  <si>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</si>
  <si>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</si>
  <si>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</si>
  <si>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</si>
  <si>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</si>
  <si>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</si>
  <si>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</si>
  <si>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</si>
  <si>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</si>
  <si>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</si>
  <si>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</si>
  <si>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</si>
  <si>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</si>
  <si>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</si>
  <si>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</si>
  <si>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</si>
  <si>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</si>
  <si>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</si>
  <si>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</si>
  <si>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</si>
  <si>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</si>
  <si>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</si>
  <si>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</si>
  <si>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</si>
  <si>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</si>
  <si>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</si>
  <si>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</si>
  <si>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</si>
  <si>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</si>
  <si>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</si>
  <si>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</si>
  <si>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</si>
  <si>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</si>
  <si>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</si>
  <si>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</si>
  <si>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</si>
  <si>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</si>
  <si>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</si>
  <si>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</si>
  <si>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</si>
  <si>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</si>
  <si>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</si>
  <si>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</si>
  <si>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</si>
  <si>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</si>
  <si>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</si>
  <si>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</si>
  <si>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</si>
  <si>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</si>
  <si>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</si>
  <si>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</si>
  <si>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</si>
  <si>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</si>
  <si>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</si>
  <si>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</si>
  <si>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</si>
  <si>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</si>
  <si>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</si>
  <si>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</si>
  <si>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</si>
  <si>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</si>
  <si>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</si>
  <si>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</si>
  <si>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</si>
  <si>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</si>
  <si>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</si>
  <si>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</si>
  <si>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</si>
  <si>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</si>
  <si>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</si>
  <si>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</si>
  <si>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</si>
  <si>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</si>
  <si>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</si>
  <si>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</si>
  <si>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</si>
  <si>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</si>
  <si>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</si>
  <si>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</si>
  <si>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</si>
  <si>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</si>
  <si>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</si>
  <si>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</si>
  <si>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</si>
  <si>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</si>
  <si>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</si>
  <si>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</si>
  <si>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</si>
  <si>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</si>
  <si>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</si>
  <si>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</si>
  <si>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</si>
  <si>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</si>
  <si>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</si>
  <si>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</si>
  <si>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</si>
  <si>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</si>
  <si>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</si>
  <si>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</si>
  <si>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</si>
  <si>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</si>
  <si>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</si>
  <si>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</si>
  <si>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</si>
  <si>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</si>
  <si>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</si>
  <si>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</si>
  <si>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</si>
  <si>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</si>
  <si>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</si>
  <si>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</si>
  <si>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</si>
  <si>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</si>
  <si>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</si>
  <si>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</si>
  <si>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</si>
  <si>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</si>
  <si>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</si>
  <si>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</si>
  <si>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</si>
  <si>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</si>
  <si>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</si>
  <si>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</si>
  <si>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</si>
  <si>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</si>
  <si>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</si>
  <si>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</si>
  <si>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</si>
  <si>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</si>
  <si>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</si>
  <si>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</si>
  <si>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</si>
  <si>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</si>
  <si>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</si>
  <si>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</si>
  <si>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</si>
  <si>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</si>
  <si>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</si>
  <si>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</si>
  <si>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</si>
  <si>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</si>
  <si>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</si>
  <si>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</si>
  <si>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</si>
  <si>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</si>
  <si>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</si>
  <si>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</si>
  <si>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</si>
  <si>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</si>
  <si>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</si>
  <si>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</si>
  <si>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</si>
  <si>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</si>
  <si>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</si>
  <si>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</si>
  <si>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</si>
  <si>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</si>
  <si>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</si>
  <si>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</si>
  <si>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</si>
  <si>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</si>
  <si>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</si>
  <si>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</si>
  <si>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</si>
  <si>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</si>
  <si>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</si>
  <si>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</si>
  <si>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</si>
  <si>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</si>
  <si>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</si>
  <si>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</si>
  <si>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</si>
  <si>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</si>
  <si>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</si>
  <si>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</si>
  <si>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</si>
  <si>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</si>
  <si>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</si>
  <si>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</si>
  <si>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</si>
  <si>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</si>
  <si>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</si>
  <si>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</si>
  <si>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</si>
  <si>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</si>
  <si>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</si>
  <si>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</si>
  <si>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</si>
  <si>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</si>
  <si>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</si>
  <si>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</si>
  <si>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</si>
  <si>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</si>
  <si>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</si>
  <si>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</si>
  <si>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</si>
  <si>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</si>
  <si>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</si>
  <si>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</si>
  <si>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</si>
  <si>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</si>
  <si>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</si>
  <si>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</si>
  <si>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</si>
  <si>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</si>
  <si>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</si>
  <si>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</si>
  <si>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</si>
  <si>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</si>
  <si>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</si>
  <si>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</si>
  <si>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</si>
  <si>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</si>
  <si>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</si>
  <si>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</si>
  <si>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</si>
  <si>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</si>
  <si>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</si>
  <si>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</si>
  <si>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</si>
  <si>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</si>
  <si>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</si>
  <si>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</si>
  <si>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</si>
  <si>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</si>
  <si>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</si>
  <si>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</si>
  <si>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</si>
  <si>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</si>
  <si>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</si>
  <si>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</si>
  <si>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</si>
  <si>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</si>
  <si>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</si>
  <si>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</si>
  <si>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</si>
  <si>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</si>
  <si>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</si>
  <si>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</si>
  <si>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</si>
  <si>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</si>
  <si>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</si>
  <si>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</si>
  <si>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</si>
  <si>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</si>
  <si>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</si>
  <si>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</si>
  <si>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</si>
  <si>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</si>
  <si>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</si>
  <si>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</si>
  <si>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</si>
  <si>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</si>
  <si>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</si>
  <si>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</si>
  <si>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</si>
  <si>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</si>
  <si>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</si>
  <si>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</si>
  <si>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</si>
  <si>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</si>
  <si>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</si>
  <si>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</si>
  <si>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</si>
  <si>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</si>
  <si>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</si>
  <si>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</si>
  <si>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</si>
  <si>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</si>
  <si>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</si>
  <si>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</si>
  <si>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</si>
  <si>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</si>
  <si>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</si>
  <si>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</si>
  <si>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</si>
  <si>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</si>
  <si>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</si>
  <si>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</si>
  <si>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</si>
  <si>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</si>
  <si>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</si>
  <si>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</si>
  <si>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</si>
  <si>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</si>
  <si>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</si>
  <si>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</si>
  <si>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</si>
  <si>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</si>
  <si>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</si>
  <si>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</si>
  <si>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</si>
  <si>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</si>
  <si>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</si>
  <si>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</si>
  <si>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</si>
  <si>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</si>
  <si>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</si>
  <si>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</si>
  <si>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</si>
  <si>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</si>
  <si>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</si>
  <si>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</si>
  <si>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</si>
  <si>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</si>
  <si>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</si>
  <si>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</si>
  <si>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</si>
  <si>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</si>
  <si>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</si>
  <si>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</si>
  <si>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</si>
  <si>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</si>
  <si>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</si>
  <si>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</si>
  <si>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</si>
  <si>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</si>
  <si>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</si>
  <si>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</si>
  <si>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</si>
  <si>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</si>
  <si>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</si>
  <si>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</si>
  <si>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</si>
  <si>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</si>
  <si>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</si>
  <si>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</si>
  <si>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</si>
  <si>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</si>
  <si>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</si>
  <si>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</si>
  <si>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</si>
  <si>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</si>
  <si>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</si>
  <si>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</si>
  <si>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</si>
  <si>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</si>
  <si>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</si>
  <si>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</si>
  <si>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</si>
  <si>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</si>
  <si>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</si>
  <si>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</si>
  <si>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</si>
  <si>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</si>
  <si>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</si>
  <si>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</si>
  <si>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</si>
  <si>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</si>
  <si>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</si>
  <si>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</si>
  <si>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</si>
  <si>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</si>
  <si>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</si>
  <si>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</si>
  <si>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</si>
  <si>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</si>
  <si>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</si>
  <si>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</si>
  <si>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</si>
  <si>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</si>
  <si>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</si>
  <si>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</si>
  <si>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</si>
  <si>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</si>
  <si>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</si>
  <si>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</si>
  <si>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</si>
  <si>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</si>
  <si>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</si>
  <si>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</si>
  <si>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</si>
  <si>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</si>
  <si>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</si>
  <si>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</si>
  <si>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</si>
  <si>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</si>
  <si>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</si>
  <si>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</si>
  <si>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</si>
  <si>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</si>
  <si>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</si>
  <si>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</si>
  <si>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</si>
  <si>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</si>
  <si>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</si>
  <si>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</si>
  <si>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</si>
  <si>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</si>
  <si>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</si>
  <si>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</si>
  <si>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</si>
  <si>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</si>
  <si>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</si>
  <si>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</si>
  <si>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</si>
  <si>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</si>
  <si>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</si>
  <si>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</si>
  <si>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</si>
  <si>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</si>
  <si>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</si>
  <si>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</si>
  <si>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</si>
  <si>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</si>
  <si>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</si>
  <si>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</si>
  <si>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</si>
  <si>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</si>
  <si>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</si>
  <si>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</si>
  <si>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</si>
  <si>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</si>
  <si>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</si>
  <si>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</si>
  <si>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</si>
  <si>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</si>
  <si>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</si>
  <si>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</si>
  <si>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</si>
  <si>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</si>
  <si>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</si>
  <si>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</si>
  <si>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</si>
  <si>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</si>
  <si>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</si>
  <si>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</si>
  <si>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</si>
  <si>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</si>
  <si>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</si>
  <si>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</si>
  <si>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</si>
  <si>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</si>
  <si>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</si>
  <si>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</si>
  <si>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</si>
  <si>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</si>
  <si>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</si>
  <si>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</si>
  <si>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</si>
  <si>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</si>
  <si>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</si>
  <si>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</si>
  <si>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</si>
  <si>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</si>
  <si>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</si>
  <si>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</si>
  <si>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</si>
  <si>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</si>
  <si>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</si>
  <si>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</si>
  <si>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</si>
  <si>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</si>
  <si>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</si>
  <si>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</si>
  <si>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</si>
  <si>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</si>
  <si>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</si>
  <si>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</si>
  <si>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</si>
  <si>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</si>
  <si>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</si>
  <si>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</si>
  <si>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</si>
  <si>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</si>
  <si>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</si>
  <si>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</si>
  <si>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</si>
  <si>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</si>
  <si>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</si>
  <si>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</si>
  <si>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</si>
  <si>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</si>
  <si>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</si>
  <si>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</si>
  <si>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</si>
  <si>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</si>
  <si>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</si>
  <si>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</si>
  <si>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</si>
  <si>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</si>
  <si>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</si>
  <si>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</si>
  <si>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</si>
  <si>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</si>
  <si>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</si>
  <si>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</si>
  <si>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</si>
  <si>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</si>
  <si>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</si>
  <si>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</si>
  <si>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</si>
  <si>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</si>
  <si>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</si>
  <si>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</si>
  <si>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</si>
  <si>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</si>
  <si>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</si>
  <si>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</si>
  <si>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</si>
  <si>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</si>
  <si>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</si>
  <si>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</si>
  <si>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</si>
  <si>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</si>
  <si>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</si>
  <si>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</si>
  <si>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</si>
  <si>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</si>
  <si>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</si>
  <si>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</si>
  <si>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</si>
  <si>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</si>
  <si>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</si>
  <si>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</si>
  <si>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</si>
  <si>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</si>
  <si>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</si>
  <si>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</si>
  <si>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</si>
  <si>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</si>
  <si>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</si>
  <si>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</si>
  <si>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</si>
  <si>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</si>
  <si>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</si>
  <si>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</si>
  <si>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</si>
  <si>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</si>
  <si>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</si>
  <si>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</si>
  <si>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</si>
  <si>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</si>
  <si>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</si>
  <si>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</si>
  <si>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</si>
  <si>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</si>
  <si>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</si>
  <si>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</si>
  <si>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</si>
  <si>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</si>
  <si>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</si>
  <si>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</si>
  <si>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</si>
  <si>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</si>
  <si>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</si>
  <si>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</si>
  <si>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</si>
  <si>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</si>
  <si>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</si>
  <si>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</si>
  <si>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</si>
  <si>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</si>
  <si>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</si>
  <si>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</si>
  <si>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</si>
  <si>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</si>
  <si>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</si>
  <si>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</si>
  <si>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</si>
  <si>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</si>
  <si>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</si>
  <si>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</si>
  <si>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</si>
  <si>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</si>
  <si>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</si>
  <si>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</si>
  <si>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</si>
  <si>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</si>
  <si>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</si>
  <si>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</si>
  <si>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</si>
  <si>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</si>
  <si>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</si>
  <si>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</si>
  <si>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</si>
  <si>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</si>
  <si>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</si>
  <si>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</si>
  <si>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</si>
  <si>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</si>
  <si>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</si>
  <si>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</si>
  <si>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</si>
  <si>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</si>
  <si>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</si>
  <si>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</si>
  <si>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</si>
  <si>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</si>
  <si>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</si>
  <si>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</si>
  <si>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</si>
  <si>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</si>
  <si>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</si>
  <si>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</si>
  <si>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</si>
  <si>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</si>
  <si>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</si>
  <si>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</si>
  <si>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</si>
  <si>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</si>
  <si>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</si>
  <si>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</si>
  <si>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</si>
  <si>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</si>
  <si>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</si>
  <si>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</si>
  <si>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</si>
  <si>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</si>
  <si>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</si>
  <si>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</si>
  <si>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</si>
  <si>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</si>
  <si>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</si>
  <si>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</si>
  <si>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</si>
  <si>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</si>
  <si>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</si>
  <si>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</si>
  <si>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</si>
  <si>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</si>
  <si>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</si>
  <si>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</si>
  <si>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</si>
  <si>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</si>
  <si>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</si>
  <si>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</si>
  <si>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</si>
  <si>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</si>
  <si>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</si>
  <si>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</si>
  <si>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</si>
  <si>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</si>
  <si>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</si>
  <si>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</si>
  <si>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</si>
  <si>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</si>
  <si>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</si>
  <si>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</si>
  <si>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</si>
  <si>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</si>
  <si>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</si>
  <si>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</si>
  <si>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</si>
  <si>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</si>
  <si>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</si>
  <si>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</si>
  <si>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</si>
  <si>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</si>
  <si>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</si>
  <si>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</si>
  <si>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</si>
  <si>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</si>
  <si>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</si>
  <si>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</si>
  <si>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</si>
  <si>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</si>
  <si>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</si>
  <si>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</si>
  <si>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</si>
  <si>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</si>
  <si>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</si>
  <si>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</si>
  <si>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</si>
  <si>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</si>
  <si>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</si>
  <si>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</si>
  <si>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</si>
  <si>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</si>
  <si>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</si>
  <si>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</si>
  <si>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</si>
  <si>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</si>
  <si>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</si>
  <si>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</si>
  <si>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</si>
  <si>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</si>
  <si>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</si>
  <si>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</si>
  <si>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</si>
  <si>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</si>
  <si>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</si>
  <si>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</si>
  <si>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</si>
  <si>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</si>
  <si>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</si>
  <si>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</si>
  <si>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</si>
  <si>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</si>
  <si>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</si>
  <si>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</si>
  <si>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</si>
  <si>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</si>
  <si>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</si>
  <si>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</si>
  <si>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</si>
  <si>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</si>
  <si>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</si>
  <si>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</si>
  <si>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</si>
  <si>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</si>
  <si>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</si>
  <si>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</si>
  <si>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</si>
  <si>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</si>
  <si>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</si>
  <si>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</si>
  <si>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</si>
  <si>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</si>
  <si>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</si>
  <si>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</si>
  <si>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</si>
  <si>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</si>
  <si>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</si>
  <si>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</si>
  <si>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</si>
  <si>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</si>
  <si>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</si>
  <si>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</si>
  <si>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</si>
  <si>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</si>
  <si>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</si>
  <si>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</si>
  <si>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</si>
  <si>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</si>
  <si>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</si>
  <si>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</si>
  <si>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</si>
  <si>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</si>
  <si>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</si>
  <si>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</si>
  <si>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</si>
  <si>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</si>
  <si>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</si>
  <si>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</si>
  <si>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</si>
  <si>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</si>
  <si>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</si>
  <si>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</si>
  <si>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</si>
  <si>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</si>
  <si>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</si>
  <si>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</si>
  <si>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</si>
  <si>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</si>
  <si>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</si>
  <si>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</si>
  <si>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</si>
  <si>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</si>
  <si>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</si>
  <si>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</si>
  <si>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</si>
  <si>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</si>
  <si>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</si>
  <si>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</si>
  <si>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</si>
  <si>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</si>
  <si>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</si>
  <si>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</si>
  <si>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</si>
  <si>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</si>
  <si>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</si>
  <si>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</si>
  <si>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</si>
  <si>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</si>
  <si>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</si>
  <si>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</si>
  <si>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</si>
  <si>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</si>
  <si>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</si>
  <si>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</si>
  <si>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</si>
  <si>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</si>
  <si>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</si>
  <si>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</si>
  <si>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</si>
  <si>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</si>
  <si>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</si>
  <si>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</si>
  <si>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</si>
  <si>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</si>
  <si>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</si>
  <si>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</si>
  <si>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</si>
  <si>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</si>
  <si>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</si>
  <si>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</si>
  <si>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</si>
  <si>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</si>
  <si>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</si>
  <si>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</si>
  <si>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</si>
  <si>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</si>
  <si>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</si>
  <si>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</si>
  <si>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</si>
  <si>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</si>
  <si>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</si>
  <si>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</si>
  <si>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</si>
  <si>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</si>
  <si>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</si>
  <si>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</si>
  <si>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</si>
  <si>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</si>
  <si>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</si>
  <si>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</si>
  <si>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</si>
  <si>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</si>
  <si>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</si>
  <si>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</si>
  <si>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</si>
  <si>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</si>
  <si>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</si>
  <si>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</si>
  <si>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</si>
  <si>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</si>
  <si>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</si>
  <si>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</si>
  <si>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</si>
  <si>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</si>
  <si>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</si>
  <si>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</si>
  <si>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</si>
  <si>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</si>
  <si>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</si>
  <si>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</si>
  <si>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</si>
  <si>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</si>
  <si>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</si>
  <si>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</si>
  <si>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</si>
  <si>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</si>
  <si>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</si>
  <si>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</si>
  <si>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</si>
  <si>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</si>
  <si>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</si>
  <si>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</si>
  <si>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</si>
  <si>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</si>
  <si>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</si>
  <si>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</si>
  <si>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</si>
  <si>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</si>
  <si>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</si>
  <si>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</si>
  <si>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</si>
  <si>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</si>
  <si>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</si>
  <si>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</si>
  <si>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</si>
  <si>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</si>
  <si>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</si>
  <si>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</si>
  <si>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</si>
  <si>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</si>
  <si>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</si>
  <si>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</si>
  <si>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</si>
  <si>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</si>
  <si>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</si>
  <si>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</si>
  <si>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</si>
  <si>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</si>
  <si>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</si>
  <si>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</si>
  <si>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</si>
  <si>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</si>
  <si>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</si>
  <si>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</si>
  <si>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</si>
  <si>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</si>
  <si>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</si>
  <si>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</si>
  <si>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</si>
  <si>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</si>
  <si>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</si>
  <si>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</si>
  <si>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</si>
  <si>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</si>
  <si>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</si>
  <si>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</si>
  <si>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</si>
  <si>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</si>
  <si>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</si>
  <si>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</si>
  <si>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</si>
  <si>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</si>
  <si>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</si>
  <si>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</si>
  <si>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</si>
  <si>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</si>
  <si>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</si>
  <si>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</si>
  <si>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</si>
  <si>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</si>
  <si>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</si>
  <si>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</si>
  <si>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</si>
  <si>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</si>
  <si>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</si>
  <si>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</si>
  <si>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</si>
  <si>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</si>
  <si>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</si>
  <si>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</si>
  <si>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</si>
  <si>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</si>
  <si>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</si>
  <si>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</si>
  <si>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</si>
  <si>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</si>
  <si>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</si>
  <si>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</si>
  <si>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</si>
  <si>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</si>
  <si>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</si>
  <si>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</si>
  <si>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</si>
  <si>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</si>
  <si>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</si>
  <si>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</si>
  <si>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</si>
  <si>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</si>
  <si>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</si>
  <si>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</si>
  <si>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</si>
  <si>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</si>
  <si>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</si>
  <si>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</si>
  <si>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</si>
  <si>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</si>
  <si>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</si>
  <si>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</si>
  <si>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</si>
  <si>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</si>
  <si>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</si>
  <si>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</si>
  <si>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</si>
  <si>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</si>
  <si>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</si>
  <si>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</si>
  <si>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</si>
  <si>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</si>
  <si>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</si>
  <si>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</si>
  <si>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</si>
  <si>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</si>
  <si>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</si>
  <si>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</si>
  <si>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</si>
  <si>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</si>
  <si>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</si>
  <si>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</si>
  <si>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</si>
  <si>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</si>
  <si>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</si>
  <si>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</si>
  <si>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</si>
  <si>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</si>
  <si>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</si>
  <si>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</si>
  <si>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</si>
  <si>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</si>
  <si>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</si>
  <si>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</si>
  <si>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</si>
  <si>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</si>
  <si>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</si>
  <si>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</si>
  <si>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</si>
  <si>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</si>
  <si>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</si>
  <si>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</si>
  <si>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</si>
  <si>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</si>
  <si>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</si>
  <si>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</si>
  <si>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</si>
  <si>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</si>
  <si>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</si>
  <si>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</si>
  <si>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</si>
  <si>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</si>
  <si>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</si>
  <si>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</si>
  <si>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</si>
  <si>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</si>
  <si>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</si>
  <si>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</si>
  <si>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</si>
  <si>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</si>
  <si>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</si>
  <si>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</si>
  <si>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</si>
  <si>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</si>
  <si>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</si>
  <si>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</si>
  <si>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</si>
  <si>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</si>
  <si>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</si>
  <si>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</si>
  <si>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</si>
  <si>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</si>
  <si>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</si>
  <si>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</si>
  <si>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</si>
  <si>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</si>
  <si>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</si>
  <si>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</si>
  <si>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</si>
  <si>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</si>
  <si>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</si>
  <si>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</si>
  <si>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</si>
  <si>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</si>
  <si>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</si>
  <si>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</si>
  <si>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</si>
  <si>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</si>
  <si>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</si>
  <si>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</si>
  <si>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</si>
  <si>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</si>
  <si>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</si>
  <si>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</si>
  <si>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</si>
  <si>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</si>
  <si>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</si>
  <si>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</si>
  <si>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</si>
  <si>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</si>
  <si>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</si>
  <si>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</si>
  <si>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</si>
  <si>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</si>
  <si>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</si>
  <si>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</si>
  <si>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</si>
  <si>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</si>
  <si>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</si>
  <si>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</si>
  <si>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</si>
  <si>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</si>
  <si>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</si>
  <si>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</si>
  <si>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</si>
  <si>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</si>
  <si>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</si>
  <si>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</si>
  <si>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</si>
  <si>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</si>
  <si>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</si>
  <si>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</si>
  <si>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</si>
  <si>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</si>
  <si>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</si>
  <si>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</si>
  <si>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</si>
  <si>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</si>
  <si>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</si>
  <si>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</si>
  <si>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</si>
  <si>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</si>
  <si>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</si>
  <si>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</si>
  <si>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</si>
  <si>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</si>
  <si>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</si>
  <si>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</si>
  <si>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</si>
  <si>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</si>
  <si>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</si>
  <si>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</si>
  <si>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</si>
  <si>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</si>
  <si>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</si>
  <si>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</si>
  <si>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</si>
  <si>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</si>
  <si>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</si>
  <si>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</si>
  <si>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</si>
  <si>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</si>
  <si>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</si>
  <si>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</si>
  <si>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</si>
  <si>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</si>
  <si>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</si>
  <si>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</si>
  <si>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</si>
  <si>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</si>
  <si>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</si>
  <si>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</si>
  <si>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</si>
  <si>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</si>
  <si>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</si>
  <si>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</si>
  <si>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</si>
  <si>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</si>
  <si>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</si>
  <si>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</si>
  <si>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</si>
  <si>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</si>
  <si>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</si>
  <si>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</si>
  <si>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</si>
  <si>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</si>
  <si>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</si>
  <si>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</si>
  <si>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</si>
  <si>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</si>
  <si>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</si>
  <si>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</si>
  <si>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</si>
  <si>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</si>
  <si>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</si>
  <si>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</si>
  <si>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</si>
  <si>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</si>
  <si>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</si>
  <si>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</si>
  <si>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</si>
  <si>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</si>
  <si>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</si>
  <si>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</si>
  <si>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</si>
  <si>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</si>
  <si>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</si>
  <si>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</si>
  <si>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</si>
  <si>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</si>
  <si>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</si>
  <si>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</si>
  <si>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</si>
  <si>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</si>
  <si>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</si>
  <si>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</si>
  <si>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</si>
  <si>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</si>
  <si>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</si>
  <si>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</si>
  <si>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</si>
  <si>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</si>
  <si>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</si>
  <si>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</si>
  <si>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</si>
  <si>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</si>
  <si>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</si>
  <si>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</si>
  <si>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</si>
  <si>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</si>
  <si>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</si>
  <si>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</si>
  <si>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</si>
  <si>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</si>
  <si>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</si>
  <si>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</si>
  <si>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</si>
  <si>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</si>
  <si>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</si>
  <si>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</si>
  <si>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</si>
  <si>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</si>
  <si>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</si>
  <si>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</si>
  <si>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</si>
  <si>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</si>
  <si>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</si>
  <si>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</si>
  <si>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</si>
  <si>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</si>
  <si>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</si>
  <si>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</si>
  <si>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</si>
  <si>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</si>
  <si>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</si>
  <si>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</si>
  <si>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</si>
  <si>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</si>
  <si>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</si>
  <si>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</si>
  <si>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</si>
  <si>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</si>
  <si>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</si>
  <si>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</si>
  <si>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</si>
  <si>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</si>
  <si>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</si>
  <si>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</si>
  <si>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</si>
  <si>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</si>
  <si>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</si>
  <si>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</si>
  <si>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</si>
  <si>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</si>
  <si>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</si>
  <si>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</si>
  <si>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</si>
  <si>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</si>
  <si>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</si>
  <si>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</si>
  <si>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</si>
  <si>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</si>
  <si>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</si>
  <si>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</si>
  <si>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</si>
  <si>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</si>
  <si>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</si>
  <si>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</si>
  <si>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</si>
  <si>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</si>
  <si>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</si>
  <si>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</si>
  <si>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</si>
  <si>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</si>
  <si>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</si>
  <si>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</si>
  <si>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</si>
  <si>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</si>
  <si>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</si>
  <si>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</si>
  <si>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</si>
  <si>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</si>
  <si>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</si>
  <si>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</si>
  <si>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</si>
  <si>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</si>
  <si>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</si>
  <si>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</si>
  <si>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</si>
  <si>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</si>
  <si>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</si>
  <si>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</si>
  <si>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</si>
  <si>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</si>
  <si>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</si>
  <si>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</si>
  <si>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</si>
  <si>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</si>
  <si>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</si>
  <si>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</si>
  <si>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</si>
  <si>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</si>
  <si>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</si>
  <si>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</si>
  <si>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</si>
  <si>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</si>
  <si>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</si>
  <si>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</si>
  <si>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</si>
  <si>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</si>
  <si>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</si>
  <si>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</si>
  <si>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</si>
  <si>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</si>
  <si>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</si>
  <si>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</si>
  <si>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</si>
  <si>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</si>
  <si>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</si>
  <si>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</si>
  <si>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</si>
  <si>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</si>
  <si>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</si>
  <si>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</si>
  <si>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</si>
  <si>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</si>
  <si>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</si>
  <si>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</si>
  <si>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</si>
  <si>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</si>
  <si>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</si>
  <si>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</si>
  <si>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</si>
  <si>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</si>
  <si>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</si>
  <si>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</si>
  <si>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</si>
  <si>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</si>
  <si>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</si>
  <si>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</si>
  <si>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</si>
  <si>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</si>
  <si>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</si>
  <si>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</si>
  <si>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</si>
  <si>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</si>
  <si>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</si>
  <si>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</si>
  <si>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</si>
  <si>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</si>
  <si>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</si>
  <si>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</si>
  <si>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</si>
  <si>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</si>
  <si>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</si>
  <si>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</si>
  <si>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</si>
  <si>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</si>
  <si>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</si>
  <si>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</si>
  <si>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</si>
  <si>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</si>
  <si>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</si>
  <si>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</si>
  <si>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</si>
  <si>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</si>
  <si>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</si>
  <si>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</si>
  <si>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</si>
  <si>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</si>
  <si>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</si>
  <si>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</si>
  <si>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</si>
  <si>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</si>
  <si>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</si>
  <si>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</si>
  <si>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</si>
  <si>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</si>
  <si>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</si>
  <si>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</si>
  <si>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</si>
  <si>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</si>
  <si>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</si>
  <si>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</si>
  <si>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</si>
  <si>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</si>
  <si>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</si>
  <si>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</si>
  <si>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</si>
  <si>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</si>
  <si>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</si>
  <si>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</si>
  <si>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</si>
  <si>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</si>
  <si>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</si>
  <si>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</si>
  <si>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</si>
  <si>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</si>
  <si>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</si>
  <si>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</si>
  <si>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</si>
  <si>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</si>
  <si>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</si>
  <si>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</si>
  <si>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</si>
  <si>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</si>
  <si>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</si>
  <si>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</si>
  <si>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</si>
  <si>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</si>
  <si>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</si>
  <si>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</si>
  <si>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</si>
  <si>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</si>
  <si>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</si>
  <si>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</si>
  <si>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</si>
  <si>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</si>
  <si>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</si>
  <si>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</si>
  <si>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</si>
  <si>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</si>
  <si>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</si>
  <si>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</si>
  <si>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</si>
  <si>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</si>
  <si>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</si>
  <si>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</si>
  <si>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</si>
  <si>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</si>
  <si>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</si>
  <si>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</si>
  <si>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</si>
  <si>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</si>
  <si>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</si>
  <si>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</si>
  <si>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</si>
  <si>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</si>
  <si>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</si>
  <si>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</si>
  <si>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</si>
  <si>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</si>
  <si>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</si>
  <si>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</si>
  <si>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</si>
  <si>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</si>
  <si>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</si>
  <si>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</si>
  <si>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</si>
  <si>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</si>
  <si>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</si>
  <si>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</si>
  <si>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</si>
  <si>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</si>
  <si>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</si>
  <si>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</si>
  <si>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</si>
  <si>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</si>
  <si>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</si>
  <si>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</si>
  <si>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</si>
  <si>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</si>
  <si>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</si>
  <si>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</si>
  <si>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</si>
  <si>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</si>
  <si>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</si>
  <si>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</si>
  <si>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</si>
  <si>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</si>
  <si>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</si>
  <si>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</si>
  <si>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</si>
  <si>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</si>
  <si>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</si>
  <si>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</si>
  <si>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</si>
  <si>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</si>
  <si>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</si>
  <si>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</si>
  <si>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</si>
  <si>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</si>
  <si>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</si>
  <si>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</si>
  <si>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</si>
  <si>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</si>
  <si>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</si>
  <si>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</si>
  <si>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</si>
  <si>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</si>
  <si>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</si>
  <si>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</si>
  <si>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</si>
  <si>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</si>
  <si>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</si>
  <si>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</si>
  <si>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</si>
  <si>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</si>
  <si>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</si>
  <si>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</si>
  <si>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</si>
  <si>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</si>
  <si>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</si>
  <si>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</si>
  <si>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</si>
  <si>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</si>
  <si>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</si>
  <si>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</si>
  <si>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</si>
  <si>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</si>
  <si>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</si>
  <si>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</si>
  <si>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</si>
  <si>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</si>
  <si>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</si>
  <si>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</si>
  <si>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</si>
  <si>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</si>
  <si>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</si>
  <si>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</si>
  <si>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</si>
  <si>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</si>
  <si>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</si>
  <si>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</si>
  <si>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</si>
  <si>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</si>
  <si>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</si>
  <si>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</si>
  <si>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</si>
  <si>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</si>
  <si>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</si>
  <si>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</si>
  <si>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</si>
  <si>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</si>
  <si>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</si>
  <si>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</si>
  <si>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</si>
  <si>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</si>
  <si>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</si>
  <si>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</si>
  <si>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</si>
  <si>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</si>
  <si>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</si>
  <si>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</si>
  <si>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</si>
  <si>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</si>
  <si>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</si>
  <si>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</si>
  <si>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</si>
  <si>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</si>
  <si>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</si>
  <si>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</si>
  <si>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</si>
  <si>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</si>
  <si>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</si>
  <si>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</si>
  <si>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</si>
  <si>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</si>
  <si>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</si>
  <si>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</si>
  <si>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</si>
  <si>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</si>
  <si>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</si>
  <si>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</si>
  <si>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</si>
  <si>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</si>
  <si>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</si>
  <si>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</si>
  <si>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</si>
  <si>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</si>
  <si>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</si>
  <si>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</si>
  <si>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</si>
  <si>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</si>
  <si>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</si>
  <si>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</si>
  <si>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</si>
  <si>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</si>
  <si>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</si>
  <si>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</si>
  <si>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</si>
  <si>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</si>
  <si>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</si>
  <si>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</si>
  <si>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</si>
  <si>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</si>
  <si>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</si>
  <si>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</si>
  <si>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</si>
  <si>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</si>
  <si>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</si>
  <si>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</si>
  <si>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</si>
  <si>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</si>
  <si>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</si>
  <si>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</si>
  <si>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</si>
  <si>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</si>
  <si>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</si>
  <si>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</si>
  <si>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</si>
  <si>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</si>
  <si>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</si>
  <si>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</si>
  <si>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</si>
  <si>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</si>
  <si>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</si>
  <si>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</si>
  <si>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</si>
  <si>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</si>
  <si>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</si>
  <si>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</si>
  <si>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</si>
  <si>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</si>
  <si>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</si>
  <si>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</si>
  <si>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</si>
  <si>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</si>
  <si>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</si>
  <si>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</si>
  <si>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</si>
  <si>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</si>
  <si>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</si>
  <si>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</si>
  <si>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</si>
  <si>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</si>
  <si>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</si>
  <si>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</si>
  <si>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</si>
  <si>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</si>
  <si>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</si>
  <si>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</si>
  <si>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</si>
  <si>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</si>
  <si>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</si>
  <si>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</si>
  <si>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</si>
  <si>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</si>
  <si>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</si>
  <si>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</si>
  <si>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</si>
  <si>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</si>
  <si>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</si>
  <si>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</si>
  <si>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</si>
  <si>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</si>
  <si>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</si>
  <si>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</si>
  <si>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</si>
  <si>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</si>
  <si>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</si>
  <si>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</si>
  <si>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</si>
  <si>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</si>
  <si>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</si>
  <si>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</si>
  <si>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</si>
  <si>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</si>
  <si>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</si>
  <si>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</si>
  <si>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</si>
  <si>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</si>
  <si>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</si>
  <si>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</si>
  <si>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</si>
  <si>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</si>
  <si>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</si>
  <si>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</si>
  <si>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</si>
  <si>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</si>
  <si>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</si>
  <si>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</si>
  <si>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</si>
  <si>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</si>
  <si>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</si>
  <si>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</si>
  <si>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</si>
  <si>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</si>
  <si>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</si>
  <si>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</si>
  <si>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</si>
  <si>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</si>
  <si>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</si>
  <si>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</si>
  <si>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</si>
  <si>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</si>
  <si>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</si>
  <si>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</si>
  <si>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</si>
  <si>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</si>
  <si>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</si>
  <si>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</si>
  <si>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</si>
  <si>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</si>
  <si>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</si>
  <si>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</si>
  <si>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</si>
  <si>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</si>
  <si>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</si>
  <si>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</si>
  <si>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</si>
  <si>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</si>
  <si>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</si>
  <si>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</si>
  <si>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</si>
  <si>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</si>
  <si>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</si>
  <si>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</si>
  <si>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</si>
  <si>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</si>
  <si>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</si>
  <si>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</si>
  <si>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</si>
  <si>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</si>
  <si>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</si>
  <si>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</si>
  <si>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</si>
  <si>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</si>
  <si>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</si>
  <si>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</si>
  <si>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</si>
  <si>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</si>
  <si>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</si>
  <si>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</si>
  <si>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</si>
  <si>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</si>
  <si>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</si>
  <si>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</si>
  <si>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</si>
  <si>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</si>
  <si>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</si>
  <si>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</si>
  <si>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无</t>
  </si>
  <si>
    <t>否</t>
  </si>
  <si>
    <t>现房</t>
  </si>
  <si>
    <t>是</t>
  </si>
  <si>
    <t>一般</t>
  </si>
  <si>
    <t>较好</t>
  </si>
  <si>
    <t>较差</t>
  </si>
  <si>
    <t>自定义容积率</t>
  </si>
  <si>
    <t>不临65条商业街</t>
  </si>
  <si>
    <t>成新度</t>
  </si>
  <si>
    <t>收益法 (元)</t>
  </si>
  <si>
    <t>押一</t>
  </si>
  <si>
    <t>钢混</t>
  </si>
  <si>
    <t>非生产用房</t>
  </si>
  <si>
    <t>抵押</t>
  </si>
  <si>
    <t>房地产抵押价值</t>
  </si>
  <si>
    <t>北京市</t>
  </si>
  <si>
    <t>好</t>
  </si>
  <si>
    <t>通路</t>
  </si>
  <si>
    <t>通电</t>
  </si>
  <si>
    <t>通讯</t>
  </si>
  <si>
    <t>通上水</t>
  </si>
  <si>
    <t>通下水</t>
  </si>
  <si>
    <t>平整</t>
  </si>
  <si>
    <t>通热</t>
  </si>
  <si>
    <t>未包含在土地购买价格中</t>
  </si>
  <si>
    <t>已包含在土地取得成本中</t>
  </si>
  <si>
    <t>成本法 (元)</t>
  </si>
  <si>
    <t>总价</t>
  </si>
  <si>
    <t>成本比率</t>
  </si>
  <si>
    <t>办公项目</t>
  </si>
  <si>
    <t>自然人</t>
  </si>
  <si>
    <t>地上</t>
  </si>
  <si>
    <t>办公</t>
    <phoneticPr fontId="7" type="noConversion"/>
  </si>
  <si>
    <t>售价</t>
  </si>
  <si>
    <t>正常</t>
  </si>
  <si>
    <t>办公</t>
    <phoneticPr fontId="31" type="noConversion"/>
  </si>
  <si>
    <t>商务金融用地</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</si>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</sst>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估价对象为北京市房地产，为所有。根据《国有土地使用证》[]，估价对象（分摊）出让国有建设用地使用权面积为0平方米，建筑面积为201.13平方米。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估价对象为北京市房地产,属开发建设的办公项目，该项目尚在开发建设中。根据《国有土地使用证》[]，估价对象（分摊）出让国有建设用地使用权面积为0平方米，规划建筑面积为201.13平方米。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2023年7月20日（评估专业人员实地查勘之日）</v>
      </c>
    </row>
    <row r="13" spans="1:2" s="1203" customFormat="1">
      <c r="A13" s="1201" t="s">
        <v>529</v>
      </c>
      <c r="B13" s="1202" t="str">
        <f>'预评函-1'!A18</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905</v>
      </c>
    </row>
    <row r="21" spans="1:2" s="1203" customFormat="1">
      <c r="A21" s="1201" t="s">
        <v>537</v>
      </c>
      <c r="B21" s="1202">
        <f ca="1">'预评函-2'!D7</f>
        <v>44996</v>
      </c>
    </row>
    <row r="22" spans="1:2" s="1203" customFormat="1">
      <c r="A22" s="1201" t="s">
        <v>538</v>
      </c>
      <c r="B22" s="1202" t="str">
        <f ca="1">'预评函-2'!D6</f>
        <v>玖佰零伍万元整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905</v>
      </c>
    </row>
    <row r="31" spans="1:2" s="1203" customFormat="1">
      <c r="A31" s="1201" t="s">
        <v>576</v>
      </c>
      <c r="B31" s="1202">
        <f ca="1">'预评函-2'!D15</f>
        <v>44996</v>
      </c>
    </row>
    <row r="32" spans="1:2" s="1203" customFormat="1">
      <c r="A32" s="1201" t="s">
        <v>543</v>
      </c>
      <c r="B32" s="1202" t="str">
        <f ca="1">'预评函-2'!D14</f>
        <v>玖佰零伍万元整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201.13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813</v>
      </c>
    </row>
    <row r="48" spans="1:2" s="1203" customFormat="1">
      <c r="A48" s="1201" t="s">
        <v>549</v>
      </c>
      <c r="B48" s="1202">
        <f ca="1">'预评函-3'!E4</f>
        <v>40422</v>
      </c>
    </row>
    <row r="49" spans="1:2" s="1203" customFormat="1">
      <c r="A49" s="1201" t="s">
        <v>550</v>
      </c>
      <c r="B49" s="1202" t="str">
        <f ca="1">'预评函-3'!D5</f>
        <v>捌佰壹拾叁万元整</v>
      </c>
    </row>
    <row r="50" spans="1:2" s="1203" customFormat="1">
      <c r="A50" s="1201" t="s">
        <v>574</v>
      </c>
      <c r="B50" s="1202" t="str">
        <f>'预评函-3'!F2</f>
        <v>在建建筑物价值</v>
      </c>
    </row>
    <row r="51" spans="1:2" s="1203" customFormat="1">
      <c r="A51" s="1201" t="s">
        <v>551</v>
      </c>
      <c r="B51" s="1202">
        <f ca="1">'预评函-3'!F4</f>
        <v>92</v>
      </c>
    </row>
    <row r="52" spans="1:2" s="1203" customFormat="1">
      <c r="A52" s="1201" t="s">
        <v>552</v>
      </c>
      <c r="B52" s="1202">
        <f ca="1">'预评函-3'!G4</f>
        <v>4574</v>
      </c>
    </row>
    <row r="53" spans="1:2" s="1203" customFormat="1">
      <c r="A53" s="1201" t="s">
        <v>580</v>
      </c>
      <c r="B53" s="1202" t="str">
        <f ca="1">'预评函-3'!F5</f>
        <v>玖拾贰万元整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0" t="s">
        <v>2584</v>
      </c>
      <c r="J2" s="3490"/>
      <c r="K2" s="3490"/>
      <c r="L2" s="3490"/>
      <c r="M2" s="3490"/>
      <c r="N2" s="3490"/>
      <c r="O2" s="3490"/>
      <c r="P2" s="3490"/>
      <c r="Q2" s="3490"/>
      <c r="R2" s="3490"/>
    </row>
    <row r="3" spans="1:18">
      <c r="A3" s="3019" t="s">
        <v>2505</v>
      </c>
      <c r="B3" s="3020">
        <f>项目基本情况!D3</f>
        <v>45127</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3.41</v>
      </c>
      <c r="D5" s="3024">
        <f>IF(ISERROR(ROUND(POWER(1+E5,A5-C5)*(POWER(1+E5,C5)-1)/(POWER(1+E5,A5)-1),3)),0,ROUND(POWER(1+E5,A5-C5)*(POWER(1+E5,C5)-1)/(POWER(1+E5,A5)-1),4))</f>
        <v>0.15809999999999999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13.42</v>
      </c>
      <c r="D6" s="3024">
        <f>IF(ISERROR(ROUND(POWER(1+E6,A6-C6)*(POWER(1+E6,C6)-1)/(POWER(1+E6,A6)-1),3)),0,ROUND(POWER(1+E6,A6-C6)*(POWER(1+E6,C6)-1)/(POWER(1+E6,A6)-1),4))</f>
        <v>0.4763</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33.44</v>
      </c>
      <c r="D7" s="3024">
        <f>IF(ISERROR(ROUND(POWER(1+E7,A7-C7)*(POWER(1+E7,C7)-1)/(POWER(1+E7,A7)-1),3)),0,ROUND(POWER(1+E7,A7-C7)*(POWER(1+E7,C7)-1)/(POWER(1+E7,A7)-1),4))</f>
        <v>0.78069999999999995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45127</v>
      </c>
      <c r="C3" s="2373" t="s">
        <v>2171</v>
      </c>
      <c r="D3" s="2372">
        <f>B3</f>
        <v>45127</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3394</v>
      </c>
      <c r="C8" s="2389"/>
      <c r="D8" s="3494" t="s">
        <v>2177</v>
      </c>
      <c r="E8" s="2390" t="s">
        <v>3395</v>
      </c>
      <c r="F8" s="2391"/>
      <c r="G8" s="2662"/>
      <c r="H8" s="2662"/>
      <c r="I8" s="2662"/>
      <c r="J8" s="2438"/>
      <c r="K8" s="2613"/>
      <c r="L8" s="2612"/>
      <c r="M8" s="2612"/>
      <c r="N8" s="2438"/>
      <c r="O8" s="2449"/>
      <c r="P8" s="2438"/>
      <c r="Q8" s="2438"/>
      <c r="R8" s="2438"/>
    </row>
    <row r="9" spans="1:30" ht="13.5" thickBot="1">
      <c r="A9" s="2392" t="s">
        <v>2178</v>
      </c>
      <c r="B9" s="2393" t="s">
        <v>3395</v>
      </c>
      <c r="C9" s="2394"/>
      <c r="D9" s="3495"/>
      <c r="E9" s="2393"/>
      <c r="F9" s="2395"/>
      <c r="G9" s="2664"/>
      <c r="H9" s="2664"/>
      <c r="I9" s="2664"/>
      <c r="J9" s="2438"/>
      <c r="K9" s="2615"/>
      <c r="L9" s="2612"/>
      <c r="M9" s="2612"/>
      <c r="N9" s="2438"/>
      <c r="O9" s="2449"/>
      <c r="P9" s="2438"/>
      <c r="Q9" s="2438"/>
      <c r="R9" s="2438"/>
    </row>
    <row r="10" spans="1:30" ht="13.5" thickTop="1">
      <c r="A10" s="2396" t="s">
        <v>2179</v>
      </c>
      <c r="B10" s="2397" t="s">
        <v>3396</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3338</v>
      </c>
      <c r="B13" s="2406" t="s">
        <v>2190</v>
      </c>
      <c r="C13" s="856"/>
      <c r="D13" s="856"/>
      <c r="E13" s="856">
        <v>56810</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32</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01"/>
      <c r="C16" s="3502"/>
      <c r="D16" s="3503"/>
      <c r="E16" s="2412" t="s">
        <v>2194</v>
      </c>
      <c r="F16" s="3504"/>
      <c r="G16" s="3505"/>
      <c r="H16" s="3505"/>
      <c r="I16" s="3506"/>
      <c r="J16" s="2438"/>
      <c r="K16" s="2616"/>
      <c r="L16" s="2450"/>
      <c r="M16" s="2450"/>
      <c r="N16" s="2508"/>
      <c r="O16" s="2450"/>
      <c r="P16" s="2508"/>
      <c r="Q16" s="2438"/>
      <c r="R16" s="2438"/>
    </row>
    <row r="17" spans="1:28">
      <c r="A17" s="313" t="s">
        <v>2195</v>
      </c>
      <c r="B17" s="302" t="s">
        <v>2196</v>
      </c>
      <c r="C17" s="8">
        <f>'数据-汇总表'!E3</f>
        <v>201.13</v>
      </c>
      <c r="D17" s="2321" t="s">
        <v>2197</v>
      </c>
      <c r="E17" s="3507" t="s">
        <v>2198</v>
      </c>
      <c r="F17" s="3508"/>
      <c r="G17" s="3508"/>
      <c r="H17" s="3508"/>
      <c r="I17" s="350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0" t="s">
        <v>2202</v>
      </c>
      <c r="F18" s="3511"/>
      <c r="G18" s="3511"/>
      <c r="H18" s="3511"/>
      <c r="I18" s="3512"/>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497" t="s">
        <v>2206</v>
      </c>
      <c r="C20" s="3498"/>
      <c r="D20" s="3499" t="s">
        <v>2207</v>
      </c>
      <c r="E20" s="3500"/>
      <c r="F20" s="2646" t="s">
        <v>1056</v>
      </c>
      <c r="G20" s="2663"/>
      <c r="H20" s="2663"/>
      <c r="I20" s="2663"/>
      <c r="J20" s="2438"/>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f>2005+50-2023</f>
        <v>32</v>
      </c>
      <c r="I22" s="2663"/>
      <c r="J22" s="2438"/>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f>2023-2005</f>
        <v>18</v>
      </c>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4" t="s">
        <v>2214</v>
      </c>
      <c r="B27" s="320" t="s">
        <v>2215</v>
      </c>
      <c r="C27" s="2415" t="s">
        <v>3410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2216</v>
      </c>
      <c r="C28" s="2417" t="s">
        <v>3380</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2217</v>
      </c>
      <c r="C29" s="2419" t="s">
        <v>3381</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2218</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2219</v>
      </c>
      <c r="B31" s="2421" t="s">
        <v>3382</v>
      </c>
      <c r="C31" s="2322"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3" t="s">
        <v>2228</v>
      </c>
      <c r="T34" s="2427" t="str">
        <f>NUMBERSTRING(7-K34,1)&amp;"通"</f>
        <v>七通</v>
      </c>
      <c r="U34" s="2438"/>
      <c r="V34" s="2438"/>
    </row>
    <row r="35" spans="1:30">
      <c r="A35" s="2428"/>
      <c r="B35" s="3520" t="s">
        <v>2229</v>
      </c>
      <c r="C35" s="3520"/>
      <c r="D35" s="3520"/>
      <c r="E35" s="352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184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t="s">
        <v>230</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201.13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201.13</v>
      </c>
      <c r="H5" s="13">
        <f t="shared" ref="H5:AT5" si="0">SUM(H13:H656)</f>
        <v>201.13</v>
      </c>
      <c r="I5" s="13">
        <f t="shared" si="0"/>
        <v>201.13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201.13</v>
      </c>
      <c r="BA5" s="15">
        <f t="shared" si="1"/>
        <v>201.13</v>
      </c>
      <c r="BB5" s="15">
        <f t="shared" si="1"/>
        <v>201.13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805</v>
      </c>
      <c r="D13" s="1625" t="s">
        <v>3383</v>
      </c>
      <c r="E13" s="13">
        <f>IF($C$3="是",ROUND($A$3*G13/$B$3,2),ROUND($A$3*(G13-AT13)/$B$3,2))</f>
        <v>0</v>
      </c>
      <c r="F13" s="29"/>
      <c r="G13" s="30">
        <f>H13+AC13+AT13</f>
        <v>101.99</v>
      </c>
      <c r="H13" s="17">
        <f>SUMIF(I$12:AB$12,"总值",I13:AB13)</f>
        <v>101.99</v>
      </c>
      <c r="I13" s="1626">
        <v>101.99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805</v>
      </c>
      <c r="AY13" s="1349">
        <f>ROUND($AY$6*AZ13/$AZ$5,2)</f>
        <v>0</v>
      </c>
      <c r="AZ13" s="13">
        <f>BA13+BL13</f>
        <v>101.99</v>
      </c>
      <c r="BA13" s="13">
        <f>SUM(BB13:BK13)</f>
        <v>101.99</v>
      </c>
      <c r="BB13" s="13">
        <f>IF($D13="是",I13-J13,0)</f>
        <v>101.99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806</v>
      </c>
      <c r="D14" s="1625" t="s">
        <v>3383</v>
      </c>
      <c r="E14" s="13">
        <f>IF($C$3="是",ROUND($A$3*G14/$B$3,2),ROUND($A$3*(G14-AT14)/$B$3,2))</f>
        <v>0</v>
      </c>
      <c r="F14" s="29"/>
      <c r="G14" s="30">
        <f>H14+AC14+AT14</f>
        <v>99.14</v>
      </c>
      <c r="H14" s="17">
        <f>SUMIF(I$12:AB$12,"总值",I14:AB14)</f>
        <v>99.14</v>
      </c>
      <c r="I14" s="1626">
        <v>99.14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806</v>
      </c>
      <c r="AY14" s="1349">
        <f>ROUND($AY$6*AZ14/$AZ$5,2)</f>
        <v>0</v>
      </c>
      <c r="AZ14" s="13">
        <f>BA14+BL14</f>
        <v>99.14</v>
      </c>
      <c r="BA14" s="13">
        <f>SUM(BB14:BK14)</f>
        <v>99.14</v>
      </c>
      <c r="BB14" s="13">
        <f>IF($D14="是",I14-J14,0)</f>
        <v>99.14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13" sqref="L1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8"/>
      <c r="G2" s="2649"/>
      <c r="H2" s="2650"/>
      <c r="I2" s="2324" t="s">
        <v>1132</v>
      </c>
      <c r="J2" s="2658"/>
      <c r="K2" s="2658"/>
      <c r="L2" s="2658"/>
      <c r="M2" s="2658"/>
      <c r="N2" s="2660"/>
      <c r="O2" s="2658"/>
      <c r="P2" s="2658"/>
    </row>
    <row r="3" spans="1:16" ht="15.75" thickBot="1">
      <c r="A3" s="3531" t="s">
        <v>1105</v>
      </c>
      <c r="B3" s="3531"/>
      <c r="C3" s="3531"/>
      <c r="D3" s="43">
        <f>'数据-基础表'!AY6</f>
        <v>0</v>
      </c>
      <c r="E3" s="43">
        <f>'数据-基础表'!AZ5</f>
        <v>201.13</v>
      </c>
      <c r="F3" s="2658"/>
      <c r="G3" s="1145"/>
      <c r="H3" s="1026" t="s">
        <v>1106</v>
      </c>
      <c r="I3" s="855" t="e">
        <f>ROUND('数据-基础表'!B3/'数据-基础表'!A3,2)</f>
        <v>#DIV/0!</v>
      </c>
      <c r="J3" s="2658"/>
      <c r="K3" s="2658"/>
      <c r="L3" s="2658"/>
      <c r="M3" s="2658"/>
      <c r="N3" s="2660"/>
      <c r="O3" s="2658"/>
      <c r="P3" s="2658"/>
    </row>
    <row r="4" spans="1:16" ht="15">
      <c r="A4" s="3532"/>
      <c r="B4" s="3533"/>
      <c r="C4" s="353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35" t="s">
        <v>1110</v>
      </c>
      <c r="C5" s="353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5" t="s">
        <v>1111</v>
      </c>
      <c r="C6" s="3535"/>
      <c r="D6" s="45">
        <f>ROUND($D$3*E6/$E$3,2)</f>
        <v>0</v>
      </c>
      <c r="E6" s="46">
        <f>E3-E5</f>
        <v>201.13</v>
      </c>
      <c r="F6" s="2658"/>
      <c r="G6" s="2652" t="s">
        <v>1112</v>
      </c>
      <c r="H6" s="1146" t="s">
        <v>1113</v>
      </c>
      <c r="I6" s="2653" t="e">
        <f>ROUND(F31/D31,2)</f>
        <v>#DIV/0!</v>
      </c>
      <c r="J6" s="2658"/>
      <c r="K6" s="2658"/>
      <c r="L6" s="2658"/>
      <c r="M6" s="2658"/>
      <c r="N6" s="2658"/>
      <c r="O6" s="2658"/>
      <c r="P6" s="2658"/>
    </row>
    <row r="7" spans="1:16" ht="15.75" thickBot="1">
      <c r="A7" s="3527"/>
      <c r="B7" s="3528"/>
      <c r="C7" s="3529"/>
      <c r="D7" s="1641" t="s">
        <v>1107</v>
      </c>
      <c r="E7" s="1645" t="s">
        <v>1114</v>
      </c>
      <c r="F7" s="2658"/>
      <c r="G7" s="2654" t="s">
        <v>1115</v>
      </c>
      <c r="H7" s="2655"/>
      <c r="I7" s="2656">
        <v>3.5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201.13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201.13</v>
      </c>
      <c r="F16" s="2658"/>
      <c r="G16" s="2659"/>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3413</v>
      </c>
      <c r="D19" s="45">
        <f>ROUND($D$3*E19/$E$3,2)</f>
        <v>0</v>
      </c>
      <c r="E19" s="53">
        <f t="shared" ref="E19:E26" si="1">SUM(F19:G19)</f>
        <v>201.13</v>
      </c>
      <c r="F19" s="2794">
        <f>'数据-基础表'!B3</f>
        <v>201.13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201.13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201.13</v>
      </c>
      <c r="F27" s="1140">
        <f>IF(SUM(F19:F26)=E8,SUM(F19:F26),"地上面积有误")</f>
        <v>201.13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201.13</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201.13</v>
      </c>
      <c r="F31" s="677">
        <f>F27+F30</f>
        <v>201.13</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56810</v>
      </c>
      <c r="F6" s="64">
        <f>SUMIF(项目基本情况!C$12:I$12,C6,项目基本情况!C$15:I$15)</f>
        <v>32</v>
      </c>
      <c r="G6" s="65">
        <f>IF(ISERROR(ROUND(POWER(1+H6,D6-F6)*(POWER(1+H6,F6)-1)/(POWER(1+H6,D6)-1),3)),0,ROUND(POWER(1+H6,D6-F6)*(POWER(1+H6,F6)-1)/(POWER(1+H6,D6)-1),3))</f>
        <v>0.86599999999999999</v>
      </c>
      <c r="H6" s="732">
        <v>0.05</v>
      </c>
      <c r="I6" s="732">
        <v>5.5E-2</v>
      </c>
      <c r="J6" s="66">
        <v>7.4999999999999997E-2</v>
      </c>
      <c r="K6" s="1030">
        <f>SUMIF('数据-汇总表'!C$19:C$33,A6,'数据-汇总表'!E$19:E$33)</f>
        <v>201.13</v>
      </c>
      <c r="L6" s="733">
        <v>4500</v>
      </c>
      <c r="M6" s="67">
        <f t="shared" ref="M6:M14" si="0">ROUND(K6*L6/10000,0)</f>
        <v>91</v>
      </c>
      <c r="N6" s="731">
        <f>ROUND(N17*0.5+N18*0.5,2)</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6.6</v>
      </c>
      <c r="V6" s="70">
        <v>2.5000000000000001E-2</v>
      </c>
      <c r="W6" s="70">
        <v>0.1</v>
      </c>
      <c r="X6" s="1040"/>
      <c r="Y6" s="71">
        <f>N6</f>
        <v>0.8</v>
      </c>
      <c r="Z6" s="72"/>
      <c r="AA6" s="66"/>
      <c r="AB6" s="66"/>
      <c r="AC6" s="1040"/>
      <c r="AD6" s="73"/>
      <c r="AE6" s="1041">
        <f ca="1">IF(AN6="",0,SUMIF(INDIRECT("'"&amp;AN6&amp;"'"&amp;"!E:E"),$AE$5,INDIRECT("'"&amp;AN6&amp;"'"&amp;"!F:F")))</f>
        <v>32</v>
      </c>
      <c r="AF6" s="1348"/>
      <c r="AG6" s="138">
        <f>IF(AF6="",0,AE6-AF6)</f>
        <v>0</v>
      </c>
      <c r="AH6" s="74"/>
      <c r="AI6" s="76">
        <v>365</v>
      </c>
      <c r="AJ6" s="77"/>
      <c r="AK6" s="78">
        <v>5.0000000000000001E-3</v>
      </c>
      <c r="AL6" s="79">
        <v>1E-3</v>
      </c>
      <c r="AM6" s="80">
        <v>5.0000000000000001E-3</v>
      </c>
      <c r="AN6" s="1715" t="s">
        <v>3390</v>
      </c>
      <c r="AO6" s="52">
        <f ca="1">SUMIF(INDIRECT("'"&amp;AN6&amp;"'"&amp;"!A:A"),"总价",INDIRECT("'"&amp;AN6&amp;"'"&amp;"!B:B"))</f>
        <v>799.3596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0.86599999999999999</v>
      </c>
      <c r="H16" s="90">
        <f>ROUND(SUMPRODUCT(H6:H13,K6:K13)/SUMPRODUCT((H6:H13&gt;0)*(K6:K13)),3)</f>
        <v>0.05</v>
      </c>
      <c r="I16" s="91"/>
      <c r="J16" s="91"/>
      <c r="K16" s="92">
        <f>SUM(K6:K15)</f>
        <v>201.13</v>
      </c>
      <c r="L16" s="93">
        <f>ROUND(M16*10000/SUM(K6:K14),0)</f>
        <v>4524</v>
      </c>
      <c r="M16" s="93">
        <f>SUM(M6:M14)</f>
        <v>91</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f>ROUND(1-(2023-'收益法 (元)'!J49)/60,2)</f>
        <v>0.7</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0.9</v>
      </c>
      <c r="O18" s="2670"/>
      <c r="P18" s="2670"/>
      <c r="Q18" s="2670"/>
      <c r="R18" s="2670"/>
      <c r="S18" s="2670"/>
      <c r="T18" s="2674"/>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f>20000*12/365/100</f>
        <v>6.5753424657534243</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f>22000*12/365/100</f>
        <v>7.2328767123287676</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45127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44996</v>
      </c>
      <c r="D5" s="2511" t="e">
        <f>ROUND(B5*10000/$B$2,0)</f>
        <v>#DIV/0!</v>
      </c>
      <c r="E5" s="2685"/>
      <c r="F5" s="2686"/>
      <c r="G5" s="2686"/>
      <c r="H5" s="2687"/>
      <c r="I5" s="2687"/>
      <c r="J5" s="2687"/>
      <c r="K5" s="2687"/>
    </row>
    <row r="6" spans="1:11" ht="16.5">
      <c r="A6" s="2511" t="s">
        <v>656</v>
      </c>
      <c r="B6" s="2511">
        <f>SUM(G14:G23)</f>
        <v>0</v>
      </c>
      <c r="C6" s="2511">
        <f ca="1">IF(B6=G14,结果表!H108,ROUND(B6*10000/$B$1,0))</f>
        <v>44996</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3407</v>
      </c>
      <c r="D4" s="1756" t="s">
        <v>3390</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5</v>
      </c>
      <c r="D14" s="3599">
        <v>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201.13</v>
      </c>
      <c r="M18" s="302">
        <f>IF(C1="",'数据-汇总表'!E3,SUMIF(项目类型,C1,'数据-汇总表'!E17:E26))</f>
        <v>201.13</v>
      </c>
    </row>
    <row r="19" spans="1:36" ht="15">
      <c r="A19" s="1761" t="s">
        <v>1290</v>
      </c>
      <c r="B19" s="1762" t="s">
        <v>1291</v>
      </c>
      <c r="C19" s="134">
        <f ca="1">SUMIF(INDIRECT("'"&amp;C4&amp;"'"&amp;"!A:A"),结果表!B19,INDIRECT("'"&amp;C4&amp;"'"&amp;"!B:B"))</f>
        <v>1010.6182</v>
      </c>
      <c r="D19" s="135">
        <f ca="1">SUMIF(INDIRECT("'"&amp;D4&amp;"'"&amp;"!A:A"),结果表!B19,INDIRECT("'"&amp;D4&amp;"'"&amp;"!B:B"))</f>
        <v>799.3596</v>
      </c>
      <c r="E19" s="1761" t="s">
        <v>1292</v>
      </c>
      <c r="F19" s="1762" t="s">
        <v>1291</v>
      </c>
      <c r="G19" s="136">
        <f ca="1">ROUND(C19*$C$18+D19*$D$18,0)</f>
        <v>905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50247</v>
      </c>
      <c r="D20" s="138">
        <f ca="1">SUMIF(INDIRECT("'"&amp;D4&amp;"'"&amp;"!A:A"),结果表!B20,INDIRECT("'"&amp;D4&amp;"'"&amp;"!B:B"))</f>
        <v>39743</v>
      </c>
      <c r="E20" s="1764"/>
      <c r="F20" s="1026" t="s">
        <v>1295</v>
      </c>
      <c r="G20" s="139">
        <f ca="1">ROUND(C20*$C$18+D20*$D$18,0)</f>
        <v>44995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0.26428480999039738</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905</v>
      </c>
      <c r="D32" s="1775" t="s">
        <v>3408</v>
      </c>
      <c r="E32" s="129"/>
      <c r="F32" s="129"/>
      <c r="G32" s="129"/>
      <c r="H32" s="129"/>
      <c r="I32" s="129"/>
    </row>
    <row r="33" spans="1:15" ht="15">
      <c r="A33" s="786" t="s">
        <v>1306</v>
      </c>
      <c r="B33" s="1776"/>
      <c r="C33" s="1777" t="s">
        <v>3409</v>
      </c>
      <c r="D33" s="1778" t="s">
        <v>3407</v>
      </c>
      <c r="E33" s="1779" t="s">
        <v>1307</v>
      </c>
      <c r="F33" s="1780" t="str">
        <f>IF(D32="楼面单价","取值（单价）","取值（总价）")</f>
        <v>取值（总价）</v>
      </c>
      <c r="G33" s="129"/>
      <c r="H33" s="129"/>
      <c r="I33" s="129"/>
    </row>
    <row r="34" spans="1:15" ht="15">
      <c r="A34" s="1781"/>
      <c r="B34" s="1782" t="s">
        <v>1308</v>
      </c>
      <c r="C34" s="148">
        <f ca="1">IF(C33="自定义",F34,C32-C35)</f>
        <v>813</v>
      </c>
      <c r="D34" s="861">
        <f ca="1">IF(C33="自定义",ROUND(C34/C32,3),IF(C33="收益比率",SUMIF(INDIRECT("'"&amp;D33&amp;"'"&amp;"!b:b"),"土地收益比率",INDIRECT("'"&amp;D33&amp;"'"&amp;"!c:c")),SUMIF(INDIRECT("'"&amp;D33&amp;"'"&amp;"!b:b"),"土地成本比率",INDIRECT("'"&amp;D33&amp;"'"&amp;"!c:c"))))</f>
        <v>0.89800000000000002</v>
      </c>
      <c r="E34" s="1783" t="s">
        <v>1309</v>
      </c>
      <c r="F34" s="1330"/>
      <c r="G34" s="129"/>
      <c r="H34" s="129"/>
      <c r="I34" s="129"/>
    </row>
    <row r="35" spans="1:15" ht="15.75" thickBot="1">
      <c r="A35" s="1784"/>
      <c r="B35" s="1785" t="s">
        <v>1310</v>
      </c>
      <c r="C35" s="1170">
        <f ca="1">IF(C33="自定义",F35,ROUND(C32*D35,0))</f>
        <v>92</v>
      </c>
      <c r="D35" s="1171">
        <f ca="1">IF(C33="自定义",ROUND(C35/C32,3),IF(C33="收益比率",SUMIF(INDIRECT("'"&amp;D33&amp;"'"&amp;"!b:b"),"建筑物收益比率",INDIRECT("'"&amp;D33&amp;"'"&amp;"!c:c")),SUMIF(INDIRECT("'"&amp;D33&amp;"'"&amp;"!b:b"),"建筑物成本比率",INDIRECT("'"&amp;D33&amp;"'"&amp;"!c:c"))))</f>
        <v>0.10199999999999999</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905</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2">
        <v>1</v>
      </c>
      <c r="K46" s="3541" t="s">
        <v>1331</v>
      </c>
      <c r="L46" s="3541"/>
      <c r="M46" s="3542"/>
      <c r="N46" s="3542"/>
      <c r="O46" s="3542"/>
    </row>
    <row r="47" spans="1:15" ht="12" customHeight="1">
      <c r="A47" s="160" t="s">
        <v>1332</v>
      </c>
      <c r="B47" s="161"/>
      <c r="C47" s="162"/>
      <c r="D47" s="1087" t="s">
        <v>1333</v>
      </c>
      <c r="E47" s="302" t="s">
        <v>1334</v>
      </c>
      <c r="F47" s="163" t="s">
        <v>1335</v>
      </c>
      <c r="G47" s="2545" t="s">
        <v>1336</v>
      </c>
      <c r="H47" s="2546"/>
      <c r="I47" s="159"/>
      <c r="J47" s="2522">
        <v>2</v>
      </c>
      <c r="K47" s="3541" t="s">
        <v>1337</v>
      </c>
      <c r="L47" s="3541"/>
      <c r="M47" s="3543">
        <f>'数据-取费表'!B2</f>
        <v>45127</v>
      </c>
      <c r="N47" s="3543"/>
      <c r="O47" s="3543"/>
    </row>
    <row r="48" spans="1:15" ht="25.5">
      <c r="A48" s="3603" t="s">
        <v>1338</v>
      </c>
      <c r="B48" s="3604"/>
      <c r="C48" s="360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541" t="s">
        <v>1340</v>
      </c>
      <c r="L48" s="3541"/>
      <c r="M48" s="3544">
        <f ca="1">H101</f>
        <v>905</v>
      </c>
      <c r="N48" s="3544"/>
      <c r="O48" s="3544"/>
    </row>
    <row r="49" spans="1:35" ht="25.5" customHeight="1">
      <c r="A49" s="2332" t="s">
        <v>1341</v>
      </c>
      <c r="B49" s="3589" t="s">
        <v>1342</v>
      </c>
      <c r="C49" s="3589"/>
      <c r="D49" s="1590">
        <v>0</v>
      </c>
      <c r="E49" s="324" t="s">
        <v>1343</v>
      </c>
      <c r="F49" s="2423" t="s">
        <v>28</v>
      </c>
      <c r="G49" s="3572"/>
      <c r="H49" s="2309" t="s">
        <v>2134</v>
      </c>
      <c r="I49" s="2310"/>
      <c r="J49" s="2522">
        <v>4</v>
      </c>
      <c r="K49" s="3541" t="str">
        <f>IF(项目基本情况!E8="房地产抵押价值","房地产抵押价值","抵押担保权已注销时的房地产抵押价值")</f>
        <v>房地产抵押价值</v>
      </c>
      <c r="L49" s="3541"/>
      <c r="M49" s="3544">
        <f ca="1">IF(项目基本情况!E8="房地产抵押价值",H107,H109)</f>
        <v>905</v>
      </c>
      <c r="N49" s="3544"/>
      <c r="O49" s="3544"/>
    </row>
    <row r="50" spans="1:35" ht="25.5" customHeight="1">
      <c r="A50" s="2550"/>
      <c r="B50" s="3589" t="s">
        <v>1344</v>
      </c>
      <c r="C50" s="3589"/>
      <c r="D50" s="2551"/>
      <c r="E50" s="332"/>
      <c r="F50" s="2423"/>
      <c r="G50" s="3573"/>
      <c r="H50" s="2311" t="s">
        <v>2135</v>
      </c>
      <c r="I50" s="2310"/>
      <c r="J50" s="3540" t="s">
        <v>1345</v>
      </c>
      <c r="K50" s="3540"/>
      <c r="L50" s="3540"/>
      <c r="M50" s="3540"/>
      <c r="N50" s="3540"/>
      <c r="O50" s="3540"/>
    </row>
    <row r="51" spans="1:35" ht="20.45" customHeight="1">
      <c r="A51" s="2552"/>
      <c r="B51" s="3589" t="s">
        <v>1346</v>
      </c>
      <c r="C51" s="3589"/>
      <c r="D51" s="1087"/>
      <c r="E51" s="327"/>
      <c r="F51" s="2423"/>
      <c r="G51" s="3574"/>
      <c r="H51" s="2311" t="s">
        <v>2136</v>
      </c>
      <c r="I51" s="2310"/>
      <c r="J51" s="2523" t="s">
        <v>1347</v>
      </c>
      <c r="K51" s="3541" t="s">
        <v>1348</v>
      </c>
      <c r="L51" s="3541"/>
      <c r="M51" s="2523" t="s">
        <v>1349</v>
      </c>
      <c r="N51" s="2523" t="s">
        <v>1350</v>
      </c>
      <c r="O51" s="2523" t="s">
        <v>1351</v>
      </c>
    </row>
    <row r="52" spans="1:35" ht="24" customHeight="1">
      <c r="A52" s="2334" t="s">
        <v>1352</v>
      </c>
      <c r="B52" s="3589" t="s">
        <v>1353</v>
      </c>
      <c r="C52" s="3589"/>
      <c r="D52" s="1087">
        <f ca="1">ROUND(D45*'数据-取费表'!B41/(1+'数据-取费表'!C42),0)</f>
        <v>48</v>
      </c>
      <c r="E52" s="2333" t="s">
        <v>1354</v>
      </c>
      <c r="F52" s="2553">
        <f>'数据-取费表'!B41</f>
        <v>5.6000000000000001E-2</v>
      </c>
      <c r="G52" s="2554"/>
      <c r="H52" s="2543"/>
      <c r="I52" s="1807"/>
      <c r="J52" s="2522">
        <v>1</v>
      </c>
      <c r="K52" s="3566" t="s">
        <v>1355</v>
      </c>
      <c r="L52" s="3566"/>
      <c r="M52" s="2524" t="b">
        <f>D48</f>
        <v>0</v>
      </c>
      <c r="N52" s="2522" t="str">
        <f>E48</f>
        <v>销售额×税（费）率</v>
      </c>
      <c r="O52" s="2525">
        <f>F48</f>
        <v>5.6000000000000001E-2</v>
      </c>
    </row>
    <row r="53" spans="1:35" ht="12" customHeight="1">
      <c r="A53" s="2334" t="s">
        <v>1356</v>
      </c>
      <c r="B53" s="3590" t="s">
        <v>2291</v>
      </c>
      <c r="C53" s="3591"/>
      <c r="D53" s="1087">
        <f ca="1">ROUND(D45*'数据-取费表'!B41/(1+'数据-取费表'!C42),0)</f>
        <v>48</v>
      </c>
      <c r="E53" s="2333" t="s">
        <v>1354</v>
      </c>
      <c r="F53" s="2553">
        <f>'数据-取费表'!B41</f>
        <v>5.6000000000000001E-2</v>
      </c>
      <c r="G53" s="2554"/>
      <c r="H53" s="2543"/>
      <c r="I53" s="1807"/>
      <c r="J53" s="2522">
        <v>2</v>
      </c>
      <c r="K53" s="3566" t="s">
        <v>1357</v>
      </c>
      <c r="L53" s="3566"/>
      <c r="M53" s="2524">
        <f t="shared" ref="M53:O54" ca="1" si="0">D55</f>
        <v>0</v>
      </c>
      <c r="N53" s="2522" t="str">
        <f t="shared" si="0"/>
        <v>销售额×税（费）率</v>
      </c>
      <c r="O53" s="2525" t="str">
        <f t="shared" si="0"/>
        <v>免征</v>
      </c>
    </row>
    <row r="54" spans="1:35" ht="12" customHeight="1">
      <c r="A54" s="2334" t="s">
        <v>1358</v>
      </c>
      <c r="B54" s="3590" t="s">
        <v>2292</v>
      </c>
      <c r="C54" s="3591"/>
      <c r="D54" s="1087">
        <f ca="1">C68</f>
        <v>48</v>
      </c>
      <c r="E54" s="327" t="s">
        <v>1359</v>
      </c>
      <c r="F54" s="2553">
        <f>'数据-取费表'!B41</f>
        <v>5.6000000000000001E-2</v>
      </c>
      <c r="G54" s="2554"/>
      <c r="H54" s="2555"/>
      <c r="I54" s="1807"/>
      <c r="J54" s="2522">
        <v>3</v>
      </c>
      <c r="K54" s="3566" t="s">
        <v>1360</v>
      </c>
      <c r="L54" s="3566"/>
      <c r="M54" s="2524">
        <f t="shared" ca="1" si="0"/>
        <v>512</v>
      </c>
      <c r="N54" s="2522" t="str">
        <f t="shared" si="0"/>
        <v>增值额×税（费）率</v>
      </c>
      <c r="O54" s="2526" t="str">
        <f t="shared" si="0"/>
        <v>免征</v>
      </c>
    </row>
    <row r="55" spans="1:35" ht="24" customHeight="1">
      <c r="A55" s="3626" t="s">
        <v>1361</v>
      </c>
      <c r="B55" s="3604"/>
      <c r="C55" s="3604"/>
      <c r="D55" s="2323">
        <f ca="1">IF(H55="个人住宅",0,ROUND(D45*I55,0))</f>
        <v>0</v>
      </c>
      <c r="E55" s="2333" t="s">
        <v>1362</v>
      </c>
      <c r="F55" s="2553" t="str">
        <f>IF(H55="正常",I55,"免征")</f>
        <v>免征</v>
      </c>
      <c r="G55" s="2554"/>
      <c r="H55" s="2549"/>
      <c r="I55" s="165">
        <f>'数据-取费表'!B49</f>
        <v>5.0000000000000001E-4</v>
      </c>
      <c r="J55" s="2522">
        <f>IF(H59="非个人房产","",4)</f>
        <v>4</v>
      </c>
      <c r="K55" s="3566" t="str">
        <f>IF(H59="非个人房产","——","个人所得税")</f>
        <v>个人所得税</v>
      </c>
      <c r="L55" s="3566"/>
      <c r="M55" s="2527">
        <f ca="1">D59</f>
        <v>9</v>
      </c>
      <c r="N55" s="2039" t="str">
        <f>E59</f>
        <v>差额计税</v>
      </c>
      <c r="O55" s="2528">
        <f>F59</f>
        <v>0.01</v>
      </c>
    </row>
    <row r="56" spans="1:35" ht="24.75">
      <c r="A56" s="3626" t="s">
        <v>1363</v>
      </c>
      <c r="B56" s="3604"/>
      <c r="C56" s="3604"/>
      <c r="D56" s="2323">
        <f ca="1">IF(H56="个人住宅",D57,D58)</f>
        <v>512</v>
      </c>
      <c r="E56" s="2333" t="s">
        <v>1364</v>
      </c>
      <c r="F56" s="2553" t="str">
        <f>IF(H56="正常",F58,"免征")</f>
        <v>免征</v>
      </c>
      <c r="G56" s="2556" t="s">
        <v>1365</v>
      </c>
      <c r="H56" s="2557"/>
      <c r="I56" s="1808"/>
      <c r="J56" s="2522" t="str">
        <f>IF(项目基本情况!K6="上海银行",IF(J55="",4,J55+1),"")</f>
        <v/>
      </c>
      <c r="K56" s="3547" t="str">
        <f>IF(项目基本情况!K6="上海银行","其他处置费用","")</f>
        <v/>
      </c>
      <c r="L56" s="3548"/>
      <c r="M56" s="2524" t="str">
        <f>IF(项目基本情况!K6="上海银行",M69,"")</f>
        <v/>
      </c>
      <c r="N56" s="3547" t="str">
        <f>IF(项目基本情况!K6="上海银行","包含处置中涉及的律师、诉讼、拍卖、评估等费用","")</f>
        <v/>
      </c>
      <c r="O56" s="3550"/>
    </row>
    <row r="57" spans="1:35" ht="12.75">
      <c r="A57" s="2334" t="s">
        <v>1341</v>
      </c>
      <c r="B57" s="3590" t="s">
        <v>1366</v>
      </c>
      <c r="C57" s="3591"/>
      <c r="D57" s="1590">
        <v>0</v>
      </c>
      <c r="E57" s="324" t="s">
        <v>1343</v>
      </c>
      <c r="F57" s="302"/>
      <c r="G57" s="2554"/>
      <c r="H57" s="2558"/>
      <c r="I57" s="1808"/>
      <c r="J57" s="3566">
        <f>IF(AND(J55="",J56=""),4,IF(项目基本情况!K6="上海银行",结果表!J56+1,结果表!J55+1))</f>
        <v>5</v>
      </c>
      <c r="K57" s="3566" t="s">
        <v>1367</v>
      </c>
      <c r="L57" s="2529" t="s">
        <v>1368</v>
      </c>
      <c r="M57" s="2530"/>
      <c r="N57" s="2531">
        <f ca="1">SUMIF(M52:M56,"&lt;9e307")</f>
        <v>521</v>
      </c>
      <c r="O57" s="2532"/>
      <c r="P57" s="2689">
        <f ca="1">N57/M49</f>
        <v>0.57569060773480663</v>
      </c>
    </row>
    <row r="58" spans="1:35" ht="24.75">
      <c r="A58" s="2334" t="s">
        <v>1352</v>
      </c>
      <c r="B58" s="3590" t="s">
        <v>1369</v>
      </c>
      <c r="C58" s="3589"/>
      <c r="D58" s="2323">
        <f ca="1">IF(H58="转让取得",C81,C97)</f>
        <v>512</v>
      </c>
      <c r="E58" s="2333" t="s">
        <v>1364</v>
      </c>
      <c r="F58" s="302" t="s">
        <v>28</v>
      </c>
      <c r="G58" s="2554"/>
      <c r="H58" s="2557"/>
      <c r="I58" s="1808"/>
      <c r="J58" s="3566"/>
      <c r="K58" s="3566"/>
      <c r="L58" s="2529" t="s">
        <v>1370</v>
      </c>
      <c r="M58" s="2533"/>
      <c r="N58" s="2534" t="str">
        <f ca="1">NUMBERSTRING(INT(N57*10000),2)&amp;"元整"</f>
        <v>伍佰贰拾壹万元整</v>
      </c>
      <c r="O58" s="2535"/>
    </row>
    <row r="59" spans="1:35" ht="24.75" thickBot="1">
      <c r="A59" s="3570" t="s">
        <v>1371</v>
      </c>
      <c r="B59" s="3571"/>
      <c r="C59" s="3571"/>
      <c r="D59" s="2559">
        <f ca="1">IF(H59="非个人房产","——",IF(H59="个人住宅（满五唯一有凭证）",0,IF(H59="个人其他（无凭证）",ROUND(D45*F59,0),ROUND(C67*F59,0))))</f>
        <v>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68">
        <f>J57+1</f>
        <v>6</v>
      </c>
      <c r="K59" s="3566" t="s">
        <v>1372</v>
      </c>
      <c r="L59" s="2522" t="s">
        <v>1368</v>
      </c>
      <c r="M59" s="2536"/>
      <c r="N59" s="2537">
        <f ca="1">M49-N57</f>
        <v>384</v>
      </c>
      <c r="O59" s="2538"/>
    </row>
    <row r="60" spans="1:35" ht="12" customHeight="1">
      <c r="A60" s="1809"/>
      <c r="B60" s="1747"/>
      <c r="C60" s="1747"/>
      <c r="D60" s="1747"/>
      <c r="E60" s="1578"/>
      <c r="F60" s="1808"/>
      <c r="G60" s="1808"/>
      <c r="H60" s="1810"/>
      <c r="I60" s="129"/>
      <c r="J60" s="3569"/>
      <c r="K60" s="3566"/>
      <c r="L60" s="2529" t="s">
        <v>1370</v>
      </c>
      <c r="M60" s="2533"/>
      <c r="N60" s="2534" t="str">
        <f ca="1">NUMBERSTRING(INT(N59*10000),2)&amp;"元整"</f>
        <v>叁佰捌拾肆万元整</v>
      </c>
      <c r="O60" s="2535"/>
    </row>
    <row r="61" spans="1:35" ht="13.5" thickBot="1">
      <c r="A61" s="3625" t="s">
        <v>1373</v>
      </c>
      <c r="B61" s="3625"/>
      <c r="C61" s="3625"/>
      <c r="D61" s="3625"/>
      <c r="E61" s="3625"/>
      <c r="F61" s="1808"/>
      <c r="G61" s="1808"/>
      <c r="H61" s="1810"/>
      <c r="I61" s="129"/>
      <c r="J61" s="2522">
        <f>J59+1</f>
        <v>7</v>
      </c>
      <c r="K61" s="3566" t="s">
        <v>1374</v>
      </c>
      <c r="L61" s="3566"/>
      <c r="M61" s="2539"/>
      <c r="N61" s="2540">
        <f ca="1">ROUND(N59*10000/'数据-汇总表'!E3,0)</f>
        <v>19092</v>
      </c>
      <c r="O61" s="2541"/>
    </row>
    <row r="62" spans="1:35" ht="12.75">
      <c r="A62" s="3585" t="s">
        <v>1375</v>
      </c>
      <c r="B62" s="3586"/>
      <c r="C62" s="2020"/>
      <c r="D62" s="2020" t="s">
        <v>1376</v>
      </c>
      <c r="E62" s="166" t="s">
        <v>1377</v>
      </c>
      <c r="F62" s="1808"/>
      <c r="G62" s="1808"/>
      <c r="H62" s="1810"/>
      <c r="I62" s="129"/>
    </row>
    <row r="63" spans="1:35" ht="12.75">
      <c r="A63" s="173" t="s">
        <v>330</v>
      </c>
      <c r="B63" s="167" t="s">
        <v>1378</v>
      </c>
      <c r="C63" s="2563">
        <f ca="1">ROUND((C64+C65)/(1+'数据-取费表'!C42),0)</f>
        <v>862</v>
      </c>
      <c r="D63" s="167"/>
      <c r="E63" s="168"/>
      <c r="F63" s="1808"/>
      <c r="G63" s="1808"/>
      <c r="H63" s="1810"/>
      <c r="I63" s="129"/>
      <c r="J63" s="3549" t="s">
        <v>1379</v>
      </c>
      <c r="K63" s="1332" t="s">
        <v>1380</v>
      </c>
      <c r="L63" s="1332">
        <f ca="1">IF(M49&gt;10000,M49*0.5%,IF(AND(M49&gt;1000,M49&lt;=10000),M49*1%,IF(AND(M49&gt;100,M49&lt;=1000),M49*3%,IF(AND(M49&gt;10,M49&lt;=100),M49*5%,M49*8%))))</f>
        <v>27.15</v>
      </c>
      <c r="M63" s="302">
        <f ca="1">ROUND(L63,1)</f>
        <v>27.2</v>
      </c>
      <c r="N63" s="2542"/>
      <c r="Z63" s="1752"/>
      <c r="AI63" s="1753"/>
    </row>
    <row r="64" spans="1:35" ht="14.25" customHeight="1">
      <c r="A64" s="169" t="s">
        <v>325</v>
      </c>
      <c r="B64" s="170" t="s">
        <v>1381</v>
      </c>
      <c r="C64" s="2564">
        <f ca="1">D45</f>
        <v>905</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6.3349999999999991</v>
      </c>
      <c r="M64" s="302">
        <f t="shared" ref="M64:M65" ca="1" si="1">ROUND(L64,1)</f>
        <v>6.3</v>
      </c>
      <c r="N64" s="2543" t="s">
        <v>1383</v>
      </c>
      <c r="Z64" s="1752"/>
      <c r="AI64" s="1753"/>
    </row>
    <row r="65" spans="1:35" ht="14.25" customHeight="1">
      <c r="A65" s="169" t="s">
        <v>326</v>
      </c>
      <c r="B65" s="170" t="s">
        <v>1384</v>
      </c>
      <c r="C65" s="2565"/>
      <c r="D65" s="170"/>
      <c r="E65" s="172"/>
      <c r="F65" s="1808"/>
      <c r="G65" s="1808"/>
      <c r="H65" s="1810"/>
      <c r="I65" s="129"/>
      <c r="J65" s="3549"/>
      <c r="K65" s="1332" t="s">
        <v>1385</v>
      </c>
      <c r="L65" s="1332">
        <f ca="1">IF(M49&gt;1000,M49*0.1%,IF(AND(M49&gt;500,M49&lt;=1000),M49*0.5%,IF(AND(M49&gt;50,M49&lt;=500),M49*1%,IF(AND(M49&gt;1,M49&lt;=50),M49*1.5%))))</f>
        <v>4.5250000000000004</v>
      </c>
      <c r="M65" s="302">
        <f t="shared" ca="1" si="1"/>
        <v>4.5</v>
      </c>
      <c r="N65" s="2543" t="s">
        <v>1383</v>
      </c>
      <c r="Z65" s="1752"/>
      <c r="AI65" s="1753"/>
    </row>
    <row r="66" spans="1:35" ht="14.25" customHeight="1">
      <c r="A66" s="173" t="s">
        <v>327</v>
      </c>
      <c r="B66" s="174" t="s">
        <v>1386</v>
      </c>
      <c r="C66" s="2566"/>
      <c r="D66" s="174" t="s">
        <v>26</v>
      </c>
      <c r="E66" s="1338" t="s">
        <v>671</v>
      </c>
      <c r="F66" s="1808"/>
      <c r="G66" s="1808"/>
      <c r="H66" s="1810"/>
      <c r="I66" s="129"/>
      <c r="J66" s="3549"/>
      <c r="K66" s="1332" t="s">
        <v>1387</v>
      </c>
      <c r="L66" s="1332">
        <f ca="1">M49*0.5%</f>
        <v>4.5250000000000004</v>
      </c>
      <c r="M66" s="302">
        <f ca="1">IF(L66&gt;0.5,0.5,ROUND(L66,0))</f>
        <v>0.5</v>
      </c>
      <c r="N66" s="2543" t="s">
        <v>1388</v>
      </c>
      <c r="Z66" s="1752"/>
      <c r="AI66" s="1753"/>
    </row>
    <row r="67" spans="1:35" ht="14.25" customHeight="1">
      <c r="A67" s="173" t="s">
        <v>328</v>
      </c>
      <c r="B67" s="174" t="s">
        <v>1389</v>
      </c>
      <c r="C67" s="2567">
        <f ca="1">C63-C66</f>
        <v>862</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2.5125000000000002</v>
      </c>
      <c r="M67" s="302">
        <f ca="1">ROUND(L67*0.9,1)</f>
        <v>2.2999999999999998</v>
      </c>
      <c r="N67" s="2542"/>
      <c r="Z67" s="1752"/>
      <c r="AI67" s="1753"/>
    </row>
    <row r="68" spans="1:35" ht="14.25" customHeight="1" thickBot="1">
      <c r="A68" s="176" t="s">
        <v>329</v>
      </c>
      <c r="B68" s="177" t="s">
        <v>1391</v>
      </c>
      <c r="C68" s="2568">
        <f ca="1">IF(C67&lt;=0,0,ROUND(C67*D68,0))</f>
        <v>48</v>
      </c>
      <c r="D68" s="2569">
        <f>'数据-取费表'!B41</f>
        <v>5.6000000000000001E-2</v>
      </c>
      <c r="E68" s="178"/>
      <c r="F68" s="1808"/>
      <c r="G68" s="1808"/>
      <c r="H68" s="1810"/>
      <c r="I68" s="129"/>
      <c r="J68" s="3549"/>
      <c r="K68" s="1332" t="s">
        <v>1392</v>
      </c>
      <c r="L68" s="1332">
        <f ca="1">IF(M49&gt;10000,M49*0.5%,IF(AND(M49&gt;5000,M49&lt;=10000),M49*1%,IF(AND(M49&gt;1000,M49&lt;=5000),M49*2%,IF(AND(M49&gt;200,M49&lt;=1000),M49*3%,M49*5%))))</f>
        <v>27.15</v>
      </c>
      <c r="M68" s="302">
        <f ca="1">ROUND(L68,1)</f>
        <v>27.2</v>
      </c>
      <c r="N68" s="2542"/>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68</v>
      </c>
      <c r="N69" s="2544">
        <f ca="1">M69/M49</f>
        <v>7.5138121546961326E-2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862</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5</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5</v>
      </c>
      <c r="D78" s="2576">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857</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171.4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512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862</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5</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51" t="s">
        <v>2129</v>
      </c>
      <c r="H90" s="355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2" t="s">
        <v>1422</v>
      </c>
      <c r="F92" s="3583"/>
      <c r="G92" s="3583"/>
      <c r="H92" s="358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5</v>
      </c>
      <c r="D93" s="2576">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857</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171.4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512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4" t="str">
        <f>C4</f>
        <v>成本法 (元)</v>
      </c>
      <c r="D101" s="2585" t="str">
        <f>D4</f>
        <v>收益法 (元)</v>
      </c>
      <c r="E101" s="3545" t="s">
        <v>1431</v>
      </c>
      <c r="F101" s="3546"/>
      <c r="G101" s="1827" t="s">
        <v>1432</v>
      </c>
      <c r="H101" s="2594">
        <f ca="1">H118</f>
        <v>905</v>
      </c>
      <c r="I101" s="129"/>
    </row>
    <row r="102" spans="1:35" ht="18.75" customHeight="1">
      <c r="A102" s="3577" t="s">
        <v>1433</v>
      </c>
      <c r="B102" s="2583" t="s">
        <v>1432</v>
      </c>
      <c r="C102" s="2584">
        <f ca="1">IF(D32="楼面单价",ROUND(C19,0),C19)</f>
        <v>1010.6182</v>
      </c>
      <c r="D102" s="2585">
        <f ca="1">IF(D32="楼面单价",ROUND(D19,0),D19)</f>
        <v>799.3596</v>
      </c>
      <c r="E102" s="3545"/>
      <c r="F102" s="3546"/>
      <c r="G102" s="1827" t="s">
        <v>1434</v>
      </c>
      <c r="H102" s="2554">
        <f ca="1">I118</f>
        <v>44996</v>
      </c>
      <c r="I102" s="129"/>
    </row>
    <row r="103" spans="1:35" ht="42.75" customHeight="1">
      <c r="A103" s="3577"/>
      <c r="B103" s="2583" t="s">
        <v>1434</v>
      </c>
      <c r="C103" s="2586">
        <f ca="1">C20</f>
        <v>50247</v>
      </c>
      <c r="D103" s="2587">
        <f ca="1">D20</f>
        <v>39743</v>
      </c>
      <c r="E103" s="3538" t="s">
        <v>1435</v>
      </c>
      <c r="F103" s="3539"/>
      <c r="G103" s="1828" t="s">
        <v>1436</v>
      </c>
      <c r="H103" s="2594">
        <f>IF(D36="正常操作",H104+H105+H106,H105+H106)</f>
        <v>0</v>
      </c>
      <c r="I103" s="129"/>
    </row>
    <row r="104" spans="1:35" ht="18.75" customHeight="1">
      <c r="A104" s="3577" t="s">
        <v>1437</v>
      </c>
      <c r="B104" s="2588" t="s">
        <v>1432</v>
      </c>
      <c r="C104" s="2589">
        <f ca="1">H118</f>
        <v>905</v>
      </c>
      <c r="D104" s="2590"/>
      <c r="E104" s="1674" t="s">
        <v>1438</v>
      </c>
      <c r="F104" s="1666"/>
      <c r="G104" s="1828" t="s">
        <v>1436</v>
      </c>
      <c r="H104" s="2595">
        <f>IF(D36="同一抵押权人同一抵押物续贷",C36&amp;"（续贷，未扣减，详见特别提示）",C36)</f>
        <v>0</v>
      </c>
      <c r="I104" s="129"/>
    </row>
    <row r="105" spans="1:35" ht="18.75" customHeight="1" thickBot="1">
      <c r="A105" s="3587"/>
      <c r="B105" s="2591" t="s">
        <v>1434</v>
      </c>
      <c r="C105" s="2592">
        <f ca="1">I118</f>
        <v>44996</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78" t="str">
        <f>IF(项目基本情况!E8="已注销","——","3.房地产抵押价值")</f>
        <v>3.房地产抵押价值</v>
      </c>
      <c r="F107" s="3546"/>
      <c r="G107" s="1827" t="s">
        <v>1432</v>
      </c>
      <c r="H107" s="2594">
        <f ca="1">IF(E107="——","——",H101-H103)</f>
        <v>905</v>
      </c>
      <c r="I107" s="129"/>
    </row>
    <row r="108" spans="1:35" ht="18.75" customHeight="1">
      <c r="A108" s="129"/>
      <c r="B108" s="129"/>
      <c r="C108" s="129"/>
      <c r="D108" s="129"/>
      <c r="E108" s="3578"/>
      <c r="F108" s="3546"/>
      <c r="G108" s="1827" t="s">
        <v>1434</v>
      </c>
      <c r="H108" s="2554">
        <f ca="1">IF(H107=H101,H102,ROUND(H107*10000/'数据-汇总表'!E3,0))</f>
        <v>44996</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7" t="str">
        <f>IF(E109="——","——",H101-H105-H106)</f>
        <v>——</v>
      </c>
      <c r="I109" s="129"/>
    </row>
    <row r="110" spans="1:35" ht="18.75" customHeight="1">
      <c r="A110" s="129"/>
      <c r="B110" s="129"/>
      <c r="C110" s="129"/>
      <c r="D110" s="129"/>
      <c r="E110" s="3578"/>
      <c r="F110" s="3546"/>
      <c r="G110" s="1827" t="s">
        <v>1434</v>
      </c>
      <c r="H110" s="2554"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4" t="str">
        <f>IF(E111="——","——",N59)</f>
        <v>——</v>
      </c>
      <c r="I111" s="129"/>
    </row>
    <row r="112" spans="1:35" ht="18.75" customHeight="1" thickBot="1">
      <c r="A112" s="129"/>
      <c r="B112" s="129"/>
      <c r="C112" s="129"/>
      <c r="D112" s="129"/>
      <c r="E112" s="3580"/>
      <c r="F112" s="3581"/>
      <c r="G112" s="1830"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201.13</v>
      </c>
      <c r="C118" s="2328">
        <f>M19</f>
        <v>0</v>
      </c>
      <c r="D118" s="2328">
        <f ca="1">ROUND(IF(D32="总价",C34,E118*B118/10000),0)</f>
        <v>813</v>
      </c>
      <c r="E118" s="2328">
        <f ca="1">ROUND(IF(C33="自定义",IF(D32="楼面单价",C34,D118*10000/B118),I118-G118),0)</f>
        <v>40422</v>
      </c>
      <c r="F118" s="2328">
        <f ca="1">ROUND(IF(D32="总价",C35,G118*B118/10000),0)</f>
        <v>92</v>
      </c>
      <c r="G118" s="2328">
        <f ca="1">ROUND(IF(D32="楼面单价",C35,F118*10000/B118),0)</f>
        <v>4574</v>
      </c>
      <c r="H118" s="2328">
        <f ca="1">ROUND(IF(D32="总价",C32,I118*B118/10000),0)</f>
        <v>905</v>
      </c>
      <c r="I118" s="2328">
        <f ca="1">ROUND(IF(D32="楼面单价",C32,H118*10000/B118),0)</f>
        <v>44996</v>
      </c>
    </row>
    <row r="119" spans="1:27" ht="18.75" customHeight="1">
      <c r="A119" s="3553" t="s">
        <v>1452</v>
      </c>
      <c r="B119" s="3553"/>
      <c r="C119" s="3553"/>
      <c r="D119" s="3559" t="str">
        <f ca="1">NUMBERSTRING(INT(D118*10000),2)&amp;"元整"</f>
        <v>捌佰壹拾叁万元整</v>
      </c>
      <c r="E119" s="3560"/>
      <c r="F119" s="3559" t="str">
        <f ca="1">NUMBERSTRING(INT(F118*10000),2)&amp;"元整"</f>
        <v>玖拾贰万元整</v>
      </c>
      <c r="G119" s="3560"/>
      <c r="H119" s="3559" t="str">
        <f ca="1">NUMBERSTRING(INT(H118*10000),2)&amp;"元整"</f>
        <v>玖佰零伍万元整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905</v>
      </c>
      <c r="E122" s="3555"/>
      <c r="F122" s="3555"/>
      <c r="G122" s="3555"/>
      <c r="H122" s="3555"/>
      <c r="I122" s="3556"/>
      <c r="AA122" s="725"/>
    </row>
    <row r="123" spans="1:27" ht="18.75" customHeight="1">
      <c r="A123" s="3553" t="s">
        <v>1452</v>
      </c>
      <c r="B123" s="3553"/>
      <c r="C123" s="3553"/>
      <c r="D123" s="3559" t="str">
        <f ca="1">NUMBERSTRING(INT(D122*10000),2)&amp;"元整"</f>
        <v>玖佰零伍万元整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8" sqref="I3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5419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201.13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201.13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201.13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104</v>
      </c>
      <c r="D51" s="232"/>
      <c r="E51" s="232"/>
      <c r="F51" s="264"/>
      <c r="G51" s="234" t="s">
        <v>1560</v>
      </c>
    </row>
    <row r="52" spans="1:7" s="208" customFormat="1" ht="16.5" thickBot="1">
      <c r="A52" s="265" t="s">
        <v>1561</v>
      </c>
      <c r="B52" s="266"/>
      <c r="C52" s="267">
        <f ca="1">C31+C51</f>
        <v>109</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55" sqref="J5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1010.6182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50247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6720981</v>
      </c>
      <c r="D5" s="211" t="s">
        <v>1469</v>
      </c>
      <c r="E5" s="212" t="s">
        <v>1470</v>
      </c>
      <c r="F5" s="212" t="s">
        <v>1471</v>
      </c>
      <c r="G5" s="213"/>
    </row>
    <row r="6" spans="1:8" s="214" customFormat="1" ht="13.5" customHeight="1">
      <c r="A6" s="778" t="s">
        <v>1472</v>
      </c>
      <c r="B6" s="215" t="s">
        <v>1473</v>
      </c>
      <c r="C6" s="216">
        <f>ROUND(基准地价修正!C33*基准地价修正!D33,0)</f>
        <v>6483023</v>
      </c>
      <c r="D6" s="217"/>
      <c r="E6" s="218"/>
      <c r="F6" s="218"/>
      <c r="G6" s="219"/>
    </row>
    <row r="7" spans="1:8" s="214" customFormat="1" ht="13.5" customHeight="1">
      <c r="A7" s="778" t="s">
        <v>1474</v>
      </c>
      <c r="B7" s="215" t="s">
        <v>1475</v>
      </c>
      <c r="C7" s="220">
        <f>ROUND(C6*F7,0)</f>
        <v>197732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40226</v>
      </c>
      <c r="D8" s="222"/>
      <c r="E8" s="220"/>
      <c r="F8" s="221"/>
      <c r="G8" s="1856" t="s">
        <v>3405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40226</v>
      </c>
      <c r="D10" s="845">
        <f ca="1">IF(B1="",'数据-汇总表'!E6,IF(INDIRECT("'数据-取费表'!c"&amp;$G$1)="住宅",INDIRECT("'数据-取费表'!s"&amp;$G$1),INDIRECT("'数据-取费表'!k"&amp;$G$1)+INDIRECT("'数据-取费表'!s"&amp;$G$1)))</f>
        <v>201.13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201.13</v>
      </c>
      <c r="E19" s="211">
        <f>'数据-取费表'!B31</f>
        <v>200</v>
      </c>
      <c r="F19" s="231"/>
      <c r="G19" s="1856" t="s">
        <v>3406</v>
      </c>
    </row>
    <row r="20" spans="1:7" s="214" customFormat="1" ht="13.5" customHeight="1">
      <c r="A20" s="255" t="s">
        <v>1574</v>
      </c>
      <c r="B20" s="210" t="s">
        <v>1575</v>
      </c>
      <c r="C20" s="232">
        <f ca="1">ROUND((C5+C19)*F20,0)</f>
        <v>134420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490432</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485660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4772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1028310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1028310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9072744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986040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905085</v>
      </c>
      <c r="D34" s="217"/>
      <c r="E34" s="220"/>
      <c r="F34" s="257"/>
      <c r="G34" s="219"/>
    </row>
    <row r="35" spans="1:7" ht="13.5" customHeight="1">
      <c r="A35" s="780" t="s">
        <v>351</v>
      </c>
      <c r="B35" s="215" t="s">
        <v>1527</v>
      </c>
      <c r="C35" s="220">
        <f ca="1">ROUND(C34*F35,0)</f>
        <v>27153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40226</v>
      </c>
      <c r="D37" s="217">
        <f ca="1">D19</f>
        <v>201.13</v>
      </c>
      <c r="E37" s="249">
        <f>'数据-取费表'!B35</f>
        <v>200</v>
      </c>
      <c r="F37" s="259"/>
      <c r="G37" s="261"/>
    </row>
    <row r="38" spans="1:7" ht="13.5" customHeight="1">
      <c r="A38" s="780" t="s">
        <v>354</v>
      </c>
      <c r="B38" s="215" t="s">
        <v>1533</v>
      </c>
      <c r="C38" s="220">
        <f ca="1">ROUND(C34*F38,0)</f>
        <v>13576</v>
      </c>
      <c r="D38" s="220"/>
      <c r="E38" s="220"/>
      <c r="F38" s="259">
        <f>'数据-取费表'!B36</f>
        <v>1.4999999999999999E-2</v>
      </c>
      <c r="G38" s="219" t="s">
        <v>1528</v>
      </c>
    </row>
    <row r="39" spans="1:7" s="214" customFormat="1" ht="13.5" customHeight="1">
      <c r="A39" s="255" t="s">
        <v>1534</v>
      </c>
      <c r="B39" s="210" t="s">
        <v>1535</v>
      </c>
      <c r="C39" s="232">
        <f ca="1">ROUND(C33*F20,0)</f>
        <v>19721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35704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35004</v>
      </c>
      <c r="D42" s="238"/>
      <c r="E42" s="238"/>
      <c r="F42" s="239"/>
      <c r="G42" s="3632" t="s">
        <v>1591</v>
      </c>
    </row>
    <row r="43" spans="1:7" ht="13.5" customHeight="1">
      <c r="A43" s="780" t="s">
        <v>347</v>
      </c>
      <c r="B43" s="215" t="s">
        <v>1545</v>
      </c>
      <c r="C43" s="238">
        <f ca="1">ROUND(IF('数据-取费表'!B22&lt;=1,C39*F22*'数据-取费表'!B20/2,C39*(POWER((1+F22),'数据-取费表'!B20/2)-1)),0)</f>
        <v>700</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150864</v>
      </c>
      <c r="D45" s="235">
        <f ca="1">C47</f>
        <v>3.0000000000000001E-3</v>
      </c>
      <c r="E45" s="236" t="s">
        <v>1539</v>
      </c>
      <c r="F45" s="246">
        <f ca="1">F27</f>
        <v>0.15</v>
      </c>
      <c r="G45" s="247" t="s">
        <v>1548</v>
      </c>
    </row>
    <row r="46" spans="1:7" s="214" customFormat="1" ht="13.5" customHeight="1">
      <c r="A46" s="780" t="s">
        <v>346</v>
      </c>
      <c r="B46" s="248" t="s">
        <v>1549</v>
      </c>
      <c r="C46" s="249">
        <f ca="1">ROUND((C33+C39)*F27,0)</f>
        <v>150864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1291797</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1033438</v>
      </c>
      <c r="D51" s="232"/>
      <c r="E51" s="232"/>
      <c r="F51" s="264"/>
      <c r="G51" s="234" t="s">
        <v>1560</v>
      </c>
    </row>
    <row r="52" spans="1:7" s="208" customFormat="1" ht="16.5" thickBot="1">
      <c r="A52" s="265" t="s">
        <v>1561</v>
      </c>
      <c r="B52" s="266"/>
      <c r="C52" s="267">
        <f ca="1">C31+C51</f>
        <v>10106182</v>
      </c>
      <c r="D52" s="266"/>
      <c r="E52" s="266"/>
      <c r="F52" s="266"/>
      <c r="G52" s="268"/>
    </row>
    <row r="55" spans="1:7" ht="15">
      <c r="B55" s="270" t="s">
        <v>1562</v>
      </c>
      <c r="C55" s="271"/>
    </row>
    <row r="56" spans="1:7">
      <c r="B56" s="273" t="s">
        <v>802</v>
      </c>
      <c r="C56" s="275">
        <f ca="1">1-C57</f>
        <v>0.89800000000000002</v>
      </c>
    </row>
    <row r="57" spans="1:7">
      <c r="B57" s="273" t="s">
        <v>803</v>
      </c>
      <c r="C57" s="274">
        <f ca="1">ROUND(C51/C52,3)</f>
        <v>0.10199999999999999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8" sqref="I3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-249</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201.13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201.13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201.13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799.3596</v>
      </c>
      <c r="C2" s="1387" t="s">
        <v>879</v>
      </c>
      <c r="D2" s="1471">
        <f ca="1">C40+J29+L46</f>
        <v>7993596</v>
      </c>
      <c r="E2" s="1388" t="s">
        <v>880</v>
      </c>
      <c r="F2" s="1389"/>
      <c r="G2" s="2705"/>
      <c r="H2" s="2694"/>
      <c r="I2" s="2694"/>
      <c r="J2" s="2694"/>
      <c r="K2" s="2695"/>
      <c r="L2" s="2694"/>
      <c r="M2" s="2694"/>
    </row>
    <row r="3" spans="1:37" ht="18" customHeight="1" thickBot="1">
      <c r="A3" s="1390" t="s">
        <v>881</v>
      </c>
      <c r="B3" s="1391">
        <f ca="1">IF(ISERROR(D2/F43),0,ROUND(D2/F43,0))</f>
        <v>39743</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436615</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436070</v>
      </c>
      <c r="D6" s="155" t="s">
        <v>2106</v>
      </c>
      <c r="E6" s="302" t="s">
        <v>696</v>
      </c>
      <c r="F6" s="303">
        <f ca="1">INDIRECT("'数据-取费表'!u"&amp;$G$1)</f>
        <v>6.6</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201.13</v>
      </c>
      <c r="G7" s="1384"/>
      <c r="H7" s="304"/>
      <c r="I7" s="3638"/>
      <c r="J7" s="306"/>
      <c r="K7" s="307"/>
      <c r="L7" s="302" t="s">
        <v>697</v>
      </c>
      <c r="M7" s="303">
        <f ca="1">F7</f>
        <v>201.13</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545</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1033438</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905085</v>
      </c>
      <c r="D14" s="1345" t="s">
        <v>708</v>
      </c>
      <c r="E14" s="1342"/>
      <c r="F14" s="319"/>
      <c r="G14" s="1384"/>
      <c r="H14" s="982" t="s">
        <v>398</v>
      </c>
      <c r="I14" s="302" t="s">
        <v>709</v>
      </c>
      <c r="J14" s="21">
        <f ca="1">C29</f>
        <v>1291797</v>
      </c>
      <c r="K14" s="12"/>
      <c r="L14" s="807"/>
      <c r="M14" s="808"/>
    </row>
    <row r="15" spans="1:37" s="1397" customFormat="1" ht="18" customHeight="1" thickBot="1">
      <c r="A15" s="982" t="s">
        <v>399</v>
      </c>
      <c r="B15" s="302" t="s">
        <v>710</v>
      </c>
      <c r="C15" s="21">
        <f ca="1">ROUND(C14*F15,0)</f>
        <v>27153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6459</v>
      </c>
      <c r="K16" s="1087" t="s">
        <v>715</v>
      </c>
      <c r="L16" s="1088"/>
      <c r="M16" s="1072"/>
    </row>
    <row r="17" spans="1:37" s="1397" customFormat="1" ht="18" customHeight="1">
      <c r="A17" s="982" t="s">
        <v>681</v>
      </c>
      <c r="B17" s="302" t="s">
        <v>716</v>
      </c>
      <c r="C17" s="21">
        <f ca="1">ROUND(F17*(F43+INDIRECT("'数据-取费表'!S"&amp;$G$1)),0)</f>
        <v>40226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13576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986040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19721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6459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35704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-6459</v>
      </c>
      <c r="K25" s="1095" t="s">
        <v>753</v>
      </c>
      <c r="L25" s="1096"/>
      <c r="M25" s="1097"/>
    </row>
    <row r="26" spans="1:37" ht="18" customHeight="1">
      <c r="A26" s="982" t="s">
        <v>397</v>
      </c>
      <c r="B26" s="302" t="s">
        <v>754</v>
      </c>
      <c r="C26" s="21">
        <f ca="1">ROUND((C19+C20)*F26,0)</f>
        <v>150864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1291797</v>
      </c>
      <c r="D29" s="1092"/>
      <c r="E29" s="1090"/>
      <c r="F29" s="1093"/>
      <c r="G29" s="1396"/>
      <c r="H29" s="334" t="s">
        <v>396</v>
      </c>
      <c r="I29" s="335" t="s">
        <v>768</v>
      </c>
      <c r="J29" s="336">
        <f ca="1">ROUND(J26/(1+F40)^F41,0)</f>
        <v>0</v>
      </c>
      <c r="K29" s="337" t="s">
        <v>769</v>
      </c>
      <c r="L29" s="338"/>
      <c r="M29" s="339">
        <f ca="1">INDIRECT("'数据-取费表'!k"&amp;$G$1)</f>
        <v>201.13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38746</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29071</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6459</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1033</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2183</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397869</v>
      </c>
      <c r="D39" s="1095" t="s">
        <v>773</v>
      </c>
      <c r="E39" s="1096"/>
      <c r="F39" s="1097"/>
      <c r="G39" s="1384"/>
      <c r="H39" s="2699">
        <f ca="1">C39/C5</f>
        <v>0.91125820230637977</v>
      </c>
      <c r="I39" s="1398"/>
      <c r="J39" s="1399"/>
      <c r="K39" s="2703"/>
      <c r="L39" s="2699"/>
      <c r="M39" s="2699"/>
    </row>
    <row r="40" spans="1:18" ht="18" customHeight="1">
      <c r="A40" s="299" t="s">
        <v>395</v>
      </c>
      <c r="B40" s="300" t="s">
        <v>774</v>
      </c>
      <c r="C40" s="301">
        <f ca="1">ROUND(C39*(1-((1+F42)/(1+F40))^F41)/(F40-F42),0)</f>
        <v>7993596</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32</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39743</v>
      </c>
      <c r="D43" s="337" t="s">
        <v>777</v>
      </c>
      <c r="E43" s="338" t="s">
        <v>778</v>
      </c>
      <c r="F43" s="339">
        <f ca="1">INDIRECT("'数据-取费表'!k"&amp;$G$1)</f>
        <v>201.13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f ca="1">ROUND((C68-C40)/10000,4)</f>
        <v>-810.5258</v>
      </c>
      <c r="D45" s="3431" t="s">
        <v>3359</v>
      </c>
      <c r="E45" s="1400"/>
      <c r="F45" s="1400"/>
      <c r="O45" s="1403" t="s">
        <v>808</v>
      </c>
      <c r="P45" s="1461"/>
      <c r="Q45" s="1461"/>
      <c r="R45" s="1461"/>
    </row>
    <row r="46" spans="1:18" s="1384" customFormat="1" ht="13.5" thickBot="1">
      <c r="A46" s="1404" t="s">
        <v>809</v>
      </c>
      <c r="C46" s="1405">
        <f ca="1">ROUND(C45,0)</f>
        <v>-811</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50</v>
      </c>
      <c r="M47" s="1380" t="str">
        <f>IF(ISNUMBER(FIND("住宅",C1)),"住宅","非住宅")</f>
        <v>非住宅</v>
      </c>
      <c r="O47" s="1418" t="s">
        <v>403</v>
      </c>
      <c r="P47" s="1419" t="s">
        <v>817</v>
      </c>
      <c r="Q47" s="1420">
        <f ca="1">C40+J29</f>
        <v>7993596</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32</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1291797</v>
      </c>
      <c r="R49" s="1420" t="s">
        <v>818</v>
      </c>
    </row>
    <row r="50" spans="1:18" s="1384" customFormat="1" ht="13.5" thickBot="1">
      <c r="A50" s="976"/>
      <c r="B50" s="979"/>
      <c r="C50" s="980"/>
      <c r="D50" s="953"/>
      <c r="E50" s="1056" t="s">
        <v>697</v>
      </c>
      <c r="F50" s="1057">
        <f ca="1">F7</f>
        <v>201.13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5581719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32</v>
      </c>
      <c r="K53" s="3635" t="s">
        <v>837</v>
      </c>
      <c r="L53" s="3636"/>
      <c r="O53" s="1418" t="s">
        <v>409</v>
      </c>
      <c r="P53" s="1419" t="s">
        <v>838</v>
      </c>
      <c r="Q53" s="1420">
        <f ca="1">Q47+Q48</f>
        <v>7993596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1033438</v>
      </c>
      <c r="D56" s="1447"/>
      <c r="E56" s="1448"/>
      <c r="F56" s="1440"/>
      <c r="I56" s="1449" t="s">
        <v>842</v>
      </c>
      <c r="J56" s="1450" t="s">
        <v>3383</v>
      </c>
      <c r="K56" s="1421" t="s">
        <v>843</v>
      </c>
      <c r="L56" s="1424" t="str">
        <f ca="1">IF(L48&lt;J51,"——",L48-J51)</f>
        <v>——</v>
      </c>
      <c r="O56" s="1418" t="s">
        <v>403</v>
      </c>
      <c r="P56" s="1419" t="s">
        <v>817</v>
      </c>
      <c r="Q56" s="1420">
        <f ca="1">C40+J29</f>
        <v>7993596</v>
      </c>
      <c r="R56" s="1420" t="s">
        <v>818</v>
      </c>
    </row>
    <row r="57" spans="1:18" s="1384" customFormat="1" ht="24.75" thickBot="1">
      <c r="A57" s="1451"/>
      <c r="B57" s="950" t="s">
        <v>767</v>
      </c>
      <c r="C57" s="238">
        <f ca="1">C29</f>
        <v>1291797</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7492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7993596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6459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1033</v>
      </c>
      <c r="D65" s="964" t="s">
        <v>743</v>
      </c>
      <c r="E65" s="950" t="s">
        <v>744</v>
      </c>
      <c r="F65" s="330">
        <f t="shared" ca="1" si="0"/>
        <v>1E-3</v>
      </c>
      <c r="I65" s="1462" t="s">
        <v>867</v>
      </c>
      <c r="J65" s="1463">
        <v>40</v>
      </c>
      <c r="K65" s="1463">
        <v>30</v>
      </c>
      <c r="L65" s="1463">
        <v>50</v>
      </c>
      <c r="M65" s="1465">
        <v>0.02</v>
      </c>
      <c r="O65" s="1418" t="s">
        <v>403</v>
      </c>
      <c r="P65" s="1419" t="s">
        <v>868</v>
      </c>
      <c r="Q65" s="1420">
        <f ca="1">C40+J29</f>
        <v>7993596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-7492</v>
      </c>
      <c r="D67" s="963" t="s">
        <v>753</v>
      </c>
      <c r="E67" s="968"/>
      <c r="F67" s="969"/>
      <c r="O67" s="1428" t="s">
        <v>405</v>
      </c>
      <c r="P67" s="1419" t="s">
        <v>850</v>
      </c>
      <c r="Q67" s="1466">
        <f ca="1">L51</f>
        <v>5581719</v>
      </c>
      <c r="R67" s="1420" t="s">
        <v>870</v>
      </c>
    </row>
    <row r="68" spans="1:18" s="1384" customFormat="1" ht="16.5" thickBot="1">
      <c r="A68" s="947" t="s">
        <v>395</v>
      </c>
      <c r="B68" s="948" t="s">
        <v>774</v>
      </c>
      <c r="C68" s="301">
        <f ca="1">ROUND(C67*(1-((1+F70)/(1+F68))^F69)/(F68-F70),0)</f>
        <v>-111662</v>
      </c>
      <c r="D68" s="965" t="s">
        <v>758</v>
      </c>
      <c r="E68" s="950" t="s">
        <v>759</v>
      </c>
      <c r="F68" s="312">
        <f ca="1">F40</f>
        <v>5.5E-2</v>
      </c>
      <c r="O68" s="1428" t="s">
        <v>406</v>
      </c>
      <c r="P68" s="1467" t="s">
        <v>871</v>
      </c>
      <c r="Q68" s="1420">
        <f ca="1">ROUND(Q69-Q70*Q71,0)</f>
        <v>320361</v>
      </c>
      <c r="R68" s="1420" t="s">
        <v>414</v>
      </c>
    </row>
    <row r="69" spans="1:18" s="1384" customFormat="1" ht="13.5" thickBot="1">
      <c r="A69" s="951"/>
      <c r="B69" s="952"/>
      <c r="C69" s="306"/>
      <c r="D69" s="970" t="s">
        <v>762</v>
      </c>
      <c r="E69" s="950" t="s">
        <v>763</v>
      </c>
      <c r="F69" s="333">
        <f ca="1">F41</f>
        <v>32</v>
      </c>
      <c r="O69" s="1428" t="s">
        <v>411</v>
      </c>
      <c r="P69" s="1467" t="s">
        <v>872</v>
      </c>
      <c r="Q69" s="1420">
        <f ca="1">C39</f>
        <v>397869</v>
      </c>
      <c r="R69" s="1420" t="s">
        <v>818</v>
      </c>
    </row>
    <row r="70" spans="1:18" s="1384" customFormat="1" ht="13.5" thickBot="1">
      <c r="A70" s="954"/>
      <c r="B70" s="955"/>
      <c r="C70" s="310"/>
      <c r="D70" s="966"/>
      <c r="E70" s="950" t="s">
        <v>766</v>
      </c>
      <c r="F70" s="1054"/>
      <c r="O70" s="1428" t="s">
        <v>412</v>
      </c>
      <c r="P70" s="1467" t="s">
        <v>873</v>
      </c>
      <c r="Q70" s="1420">
        <f ca="1">C13</f>
        <v>1033438</v>
      </c>
      <c r="R70" s="1420" t="s">
        <v>818</v>
      </c>
    </row>
    <row r="71" spans="1:18" s="1384" customFormat="1" ht="13.5" thickBot="1">
      <c r="A71" s="971" t="s">
        <v>396</v>
      </c>
      <c r="B71" s="972" t="s">
        <v>776</v>
      </c>
      <c r="C71" s="336">
        <f ca="1">ROUND(C68/F71,0)</f>
        <v>-555</v>
      </c>
      <c r="D71" s="973" t="s">
        <v>777</v>
      </c>
      <c r="E71" s="974" t="s">
        <v>778</v>
      </c>
      <c r="F71" s="339">
        <f ca="1">F43</f>
        <v>201.13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77508</v>
      </c>
      <c r="D75" s="1384"/>
      <c r="E75" s="1384"/>
      <c r="F75" s="1384"/>
      <c r="K75" s="1402"/>
      <c r="L75" s="1384"/>
      <c r="O75" s="1418" t="s">
        <v>409</v>
      </c>
      <c r="P75" s="1419" t="s">
        <v>838</v>
      </c>
      <c r="Q75" s="1420">
        <f ca="1">Q65+Q66</f>
        <v>7993596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0.80499999999999994</v>
      </c>
    </row>
    <row r="80" spans="1:18">
      <c r="B80" s="340" t="s">
        <v>800</v>
      </c>
      <c r="C80" s="274">
        <f ca="1">ROUND(C75/C39,3)</f>
        <v>0.19500000000000001</v>
      </c>
    </row>
    <row r="81" spans="2:3">
      <c r="B81" s="270" t="s">
        <v>801</v>
      </c>
      <c r="C81" s="238"/>
    </row>
    <row r="82" spans="2:3">
      <c r="B82" s="273" t="s">
        <v>802</v>
      </c>
      <c r="C82" s="275">
        <f ca="1">1-C83</f>
        <v>0.871</v>
      </c>
    </row>
    <row r="83" spans="2:3">
      <c r="B83" s="273" t="s">
        <v>803</v>
      </c>
      <c r="C83" s="274">
        <f ca="1">ROUND(C13/C40,3)</f>
        <v>0.129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38" sqref="I3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3365</v>
      </c>
      <c r="E2" s="3443"/>
      <c r="F2" s="2845"/>
      <c r="G2" s="2846"/>
      <c r="H2" s="2847"/>
      <c r="I2" s="2848"/>
      <c r="J2" s="3640" t="s">
        <v>2321</v>
      </c>
      <c r="K2" s="3641"/>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42" t="s">
        <v>2331</v>
      </c>
      <c r="K3" s="3643"/>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42" t="s">
        <v>2333</v>
      </c>
      <c r="K4" s="3643"/>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44" t="s">
        <v>2337</v>
      </c>
      <c r="B6" s="3645"/>
      <c r="C6" s="3646"/>
      <c r="D6" s="2869"/>
      <c r="E6" s="2870"/>
      <c r="F6" s="2871"/>
      <c r="G6" s="2872"/>
      <c r="H6" s="2847"/>
      <c r="I6" s="2848"/>
      <c r="J6" s="3647">
        <v>1</v>
      </c>
      <c r="K6" s="3648"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7"/>
      <c r="K7" s="3649"/>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51" t="s">
        <v>2351</v>
      </c>
      <c r="C8" s="3652"/>
      <c r="D8" s="2888" t="s">
        <v>2352</v>
      </c>
      <c r="E8" s="2889" t="s">
        <v>2353</v>
      </c>
      <c r="F8" s="2890" t="s">
        <v>2354</v>
      </c>
      <c r="G8" s="2891"/>
      <c r="H8" s="2847"/>
      <c r="I8" s="2848"/>
      <c r="J8" s="3647"/>
      <c r="K8" s="3649"/>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51" t="s">
        <v>2357</v>
      </c>
      <c r="C9" s="3652"/>
      <c r="D9" s="2888">
        <f>ROUND(D6*E9,0)</f>
        <v>0</v>
      </c>
      <c r="E9" s="2892"/>
      <c r="F9" s="2893" t="s">
        <v>2358</v>
      </c>
      <c r="G9" s="2872"/>
      <c r="H9" s="2847"/>
      <c r="I9" s="2848"/>
      <c r="J9" s="3647"/>
      <c r="K9" s="3649"/>
      <c r="L9" s="2882" t="s">
        <v>2359</v>
      </c>
      <c r="M9" s="2883"/>
      <c r="N9" s="2859"/>
      <c r="O9" s="2884"/>
      <c r="P9" s="2884"/>
      <c r="Q9" s="2885">
        <v>365</v>
      </c>
      <c r="R9" s="2886">
        <f t="shared" si="0"/>
        <v>0</v>
      </c>
      <c r="S9" s="2840"/>
      <c r="T9" s="2840"/>
      <c r="U9" s="2840"/>
      <c r="V9" s="2848"/>
    </row>
    <row r="10" spans="1:22" s="2852" customFormat="1" ht="13.15" customHeight="1">
      <c r="A10" s="2887">
        <v>2</v>
      </c>
      <c r="B10" s="3651" t="s">
        <v>2360</v>
      </c>
      <c r="C10" s="3652"/>
      <c r="D10" s="2888">
        <f>ROUND(D6*E10,0)</f>
        <v>0</v>
      </c>
      <c r="E10" s="2892"/>
      <c r="F10" s="2893" t="s">
        <v>2361</v>
      </c>
      <c r="G10" s="2872"/>
      <c r="H10" s="2847"/>
      <c r="I10" s="2848"/>
      <c r="J10" s="3647"/>
      <c r="K10" s="3649"/>
      <c r="L10" s="2882" t="s">
        <v>2362</v>
      </c>
      <c r="M10" s="2883"/>
      <c r="N10" s="2859"/>
      <c r="O10" s="2884"/>
      <c r="P10" s="2884"/>
      <c r="Q10" s="2885">
        <v>365</v>
      </c>
      <c r="R10" s="2886">
        <f t="shared" si="0"/>
        <v>0</v>
      </c>
      <c r="S10" s="2840"/>
      <c r="T10" s="2840"/>
      <c r="U10" s="2840"/>
      <c r="V10" s="2848"/>
    </row>
    <row r="11" spans="1:22" s="2852" customFormat="1" ht="13.15" customHeight="1">
      <c r="A11" s="2887">
        <v>3</v>
      </c>
      <c r="B11" s="3651" t="s">
        <v>2363</v>
      </c>
      <c r="C11" s="3652"/>
      <c r="D11" s="2888">
        <f>D12+D14+D15+D16</f>
        <v>0</v>
      </c>
      <c r="E11" s="2894" t="e">
        <f>D11/D6</f>
        <v>#DIV/0!</v>
      </c>
      <c r="F11" s="2890"/>
      <c r="G11" s="2891"/>
      <c r="H11" s="2847"/>
      <c r="I11" s="2848"/>
      <c r="J11" s="3647"/>
      <c r="K11" s="3649"/>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3" t="s">
        <v>2366</v>
      </c>
      <c r="C12" s="3654"/>
      <c r="D12" s="2896">
        <f>ROUND(D13*1.2%*(1-30%),0)</f>
        <v>0</v>
      </c>
      <c r="E12" s="2897">
        <v>1.2E-2</v>
      </c>
      <c r="F12" s="2890" t="s">
        <v>2367</v>
      </c>
      <c r="G12" s="2891"/>
      <c r="H12" s="2847"/>
      <c r="I12" s="2848"/>
      <c r="J12" s="3647"/>
      <c r="K12" s="3649"/>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7"/>
      <c r="K13" s="3649"/>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3" t="s">
        <v>2372</v>
      </c>
      <c r="C14" s="3654"/>
      <c r="D14" s="2896">
        <f>ROUND(E14*B5/10000,0)</f>
        <v>0</v>
      </c>
      <c r="E14" s="2885"/>
      <c r="F14" s="2890" t="s">
        <v>2373</v>
      </c>
      <c r="G14" s="2891"/>
      <c r="H14" s="2847"/>
      <c r="I14" s="2848"/>
      <c r="J14" s="3647"/>
      <c r="K14" s="3650"/>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3" t="s">
        <v>2376</v>
      </c>
      <c r="C15" s="3654"/>
      <c r="D15" s="2896">
        <f>ROUND(D6*E15,0)</f>
        <v>0</v>
      </c>
      <c r="E15" s="2897">
        <v>5.5E-2</v>
      </c>
      <c r="F15" s="2890" t="s">
        <v>2377</v>
      </c>
      <c r="G15" s="2872"/>
      <c r="H15" s="2847"/>
      <c r="I15" s="2848"/>
      <c r="J15" s="3647">
        <v>2</v>
      </c>
      <c r="K15" s="3648"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3" t="s">
        <v>2385</v>
      </c>
      <c r="C16" s="3654"/>
      <c r="D16" s="2907">
        <f>D6*E16</f>
        <v>0</v>
      </c>
      <c r="E16" s="2908"/>
      <c r="F16" s="2893" t="s">
        <v>2386</v>
      </c>
      <c r="G16" s="2872"/>
      <c r="H16" s="2847"/>
      <c r="I16" s="2848"/>
      <c r="J16" s="3647"/>
      <c r="K16" s="3649"/>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5" t="s">
        <v>2388</v>
      </c>
      <c r="C17" s="3656"/>
      <c r="D17" s="2910">
        <f>ROUND(D6*E17,0)</f>
        <v>0</v>
      </c>
      <c r="E17" s="2911"/>
      <c r="F17" s="2912" t="s">
        <v>2389</v>
      </c>
      <c r="G17" s="2872"/>
      <c r="H17" s="2847"/>
      <c r="I17" s="2848"/>
      <c r="J17" s="3647"/>
      <c r="K17" s="3649"/>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7"/>
      <c r="K18" s="3649"/>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7"/>
      <c r="K19" s="3650"/>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7">
        <v>3</v>
      </c>
      <c r="K20" s="3648"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7"/>
      <c r="K21" s="3649"/>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7"/>
      <c r="K22" s="3649"/>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7"/>
      <c r="K23" s="3649"/>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7"/>
      <c r="K24" s="3650"/>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57">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40" t="s">
        <v>2321</v>
      </c>
      <c r="K32" s="3641"/>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42" t="s">
        <v>2331</v>
      </c>
      <c r="K33" s="3643"/>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42" t="s">
        <v>2333</v>
      </c>
      <c r="K34" s="364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7">
        <v>1</v>
      </c>
      <c r="K36" s="3648"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7"/>
      <c r="K40" s="3650"/>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7">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8" sqref="I3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799.3596</v>
      </c>
      <c r="C2" s="1872" t="s">
        <v>1651</v>
      </c>
      <c r="D2" s="1873" t="s">
        <v>1652</v>
      </c>
      <c r="E2" s="2606">
        <f>SUM(E6:E13)</f>
        <v>201.13</v>
      </c>
      <c r="F2" s="2706"/>
      <c r="G2" s="1489"/>
      <c r="H2" s="1489"/>
      <c r="I2" s="1489"/>
      <c r="J2" s="1489"/>
      <c r="K2" s="1489"/>
      <c r="L2" s="1489"/>
      <c r="M2" s="1489"/>
      <c r="N2" s="1489"/>
      <c r="O2" s="1489"/>
      <c r="P2" s="1489"/>
      <c r="Q2" s="1489"/>
      <c r="R2" s="1489"/>
      <c r="S2" s="1489"/>
    </row>
    <row r="3" spans="1:22" ht="15.75">
      <c r="A3" s="1870" t="s">
        <v>686</v>
      </c>
      <c r="B3" s="2600">
        <f ca="1">ROUND(B2*10000/E2,0)</f>
        <v>39743</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799.3596</v>
      </c>
      <c r="C6" s="1872" t="s">
        <v>1651</v>
      </c>
      <c r="D6" s="2708"/>
      <c r="E6" s="2605">
        <f>IF(OR(A6=0,F6="否"),0,'数据-取费表'!K6+'数据-取费表'!S6)</f>
        <v>201.13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I38" sqref="I3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201.13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45127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8" sqref="I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201.13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45127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38" sqref="I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201.13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45127</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38" sqref="I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45127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2" t="s">
        <v>3360</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估价对象为北京市房地产，为所有。根据《国有土地使用证》[]，估价对象（分摊）出让国有建设用地使用权面积为0平方米，建筑面积为201.13平方米。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估价对象为北京市房地产,属开发建设的办公项目，该项目尚在开发建设中。根据《国有土地使用证》[]，估价对象（分摊）出让国有建设用地使用权面积为0平方米，规划建筑面积为201.13平方米。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8" sqref="I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45127</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38" sqref="I3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45127</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8"/>
      <c r="M10" s="2719"/>
      <c r="N10" s="2719"/>
      <c r="O10" s="2772"/>
      <c r="P10" s="3696"/>
      <c r="Q10" s="1343" t="str">
        <f t="shared" si="6"/>
        <v>土地使用年限（年）</v>
      </c>
      <c r="R10" s="701" t="s">
        <v>14</v>
      </c>
      <c r="S10" s="702">
        <f t="shared" si="0"/>
        <v>115</v>
      </c>
      <c r="T10" s="701" t="s">
        <v>14</v>
      </c>
      <c r="U10" s="702">
        <f t="shared" si="1"/>
        <v>115</v>
      </c>
      <c r="V10" s="701" t="s">
        <v>14</v>
      </c>
      <c r="W10" s="702">
        <f t="shared" si="2"/>
        <v>115</v>
      </c>
      <c r="X10" s="703"/>
      <c r="Y10" s="3608"/>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9" t="s">
        <v>1887</v>
      </c>
      <c r="H55" s="372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201.13</v>
      </c>
      <c r="F56" s="886" t="e">
        <f t="shared" ref="F56:F64" si="15">ROUND(B56*E56/10000,0)</f>
        <v>#DIV/0!</v>
      </c>
      <c r="G56" s="3678"/>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6" t="s">
        <v>1896</v>
      </c>
      <c r="H60" s="887" t="str">
        <f>项目基本情况!C37</f>
        <v>二级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0.2</v>
      </c>
      <c r="D64" s="945">
        <v>0.25</v>
      </c>
      <c r="E64" s="217">
        <f>'数据-汇总表'!E15</f>
        <v>0</v>
      </c>
      <c r="F64" s="886" t="e">
        <f t="shared" si="15"/>
        <v>#DIV/0!</v>
      </c>
      <c r="G64" s="1987" t="s">
        <v>1896</v>
      </c>
      <c r="H64" s="897" t="str">
        <f>项目基本情况!C37</f>
        <v>二级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201.13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38" sqref="I3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45127</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8"/>
      <c r="M10" s="2719"/>
      <c r="N10" s="2719"/>
      <c r="O10" s="2772"/>
      <c r="P10" s="3696"/>
      <c r="Q10" s="1343" t="str">
        <f t="shared" si="6"/>
        <v>土地使用年限（年）</v>
      </c>
      <c r="R10" s="701" t="s">
        <v>14</v>
      </c>
      <c r="S10" s="702">
        <f t="shared" si="0"/>
        <v>115</v>
      </c>
      <c r="T10" s="701" t="s">
        <v>14</v>
      </c>
      <c r="U10" s="702">
        <f t="shared" si="1"/>
        <v>115</v>
      </c>
      <c r="V10" s="701" t="s">
        <v>14</v>
      </c>
      <c r="W10" s="702">
        <f t="shared" si="2"/>
        <v>115</v>
      </c>
      <c r="X10" s="703"/>
      <c r="Y10" s="3608"/>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9" t="s">
        <v>1887</v>
      </c>
      <c r="H50" s="3726"/>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201.13</v>
      </c>
      <c r="F51" s="639" t="e">
        <f t="shared" ref="F51:F60" si="15">ROUND(B51*E51/10000,0)</f>
        <v>#DIV/0!</v>
      </c>
      <c r="G51" s="3678"/>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6" t="s">
        <v>1896</v>
      </c>
      <c r="H56" s="887" t="str">
        <f>项目基本情况!C37</f>
        <v>二级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0.2</v>
      </c>
      <c r="D60" s="945">
        <v>0.25</v>
      </c>
      <c r="E60" s="217">
        <f>'数据-汇总表'!E15</f>
        <v>0</v>
      </c>
      <c r="F60" s="639" t="e">
        <f t="shared" si="15"/>
        <v>#DIV/0!</v>
      </c>
      <c r="G60" s="1987" t="s">
        <v>1896</v>
      </c>
      <c r="H60" s="897" t="str">
        <f>项目基本情况!C37</f>
        <v>二级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38" sqref="I38"/>
      <selection pane="bottomLeft" activeCell="I38" sqref="I3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38" sqref="I3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#VALUE!</v>
      </c>
      <c r="C2" s="2144" t="s">
        <v>2074</v>
      </c>
      <c r="D2" s="2144" t="s">
        <v>2075</v>
      </c>
      <c r="E2" s="2611">
        <f ca="1">SUMIF(E6:E13,"&lt;&gt;#ref!",E6:E13)</f>
        <v>201.13</v>
      </c>
      <c r="F2" s="2792"/>
      <c r="G2" s="2792"/>
      <c r="H2" s="2792"/>
      <c r="I2" s="2792"/>
      <c r="J2" s="2792"/>
      <c r="K2" s="2792"/>
      <c r="L2" s="2792"/>
      <c r="M2" s="2792"/>
      <c r="N2" s="2792"/>
      <c r="O2" s="2792"/>
      <c r="P2" s="2792"/>
    </row>
    <row r="3" spans="1:16" ht="15.75">
      <c r="A3" s="2144" t="s">
        <v>2076</v>
      </c>
      <c r="B3" s="2601" t="e">
        <f ca="1">ROUND(B2*10000/E2,0)</f>
        <v>#VALUE!</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#VALUE!</v>
      </c>
      <c r="C6" s="2144" t="s">
        <v>2074</v>
      </c>
      <c r="D6" s="2792"/>
      <c r="E6" s="2611">
        <f ca="1">SUMIF(INDIRECT("'"&amp;A6&amp;"'"&amp;"!C:C"),"建筑面积",INDIRECT("'"&amp;A6&amp;"'"&amp;"!D:D"))</f>
        <v>201.13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F21" sqref="F2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201.13</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#VALUE!</v>
      </c>
      <c r="C2" s="1998" t="s">
        <v>1935</v>
      </c>
      <c r="D2" s="1999" t="s">
        <v>1936</v>
      </c>
      <c r="E2" s="3421" t="s">
        <v>21</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Ⅱ—15</v>
      </c>
      <c r="J2" s="2001"/>
      <c r="K2" s="1119"/>
      <c r="L2" s="2002" t="s">
        <v>1939</v>
      </c>
      <c r="M2" s="864">
        <f>SUMPRODUCT((区片价!B10:B29=I2)*(区片价!C3:G3=E2)*(区片价!C10:G29))</f>
        <v>32260</v>
      </c>
      <c r="N2" s="866">
        <f>SUMPRODUCT((因素修正幅度!B10:B29=I2)*(因素修正幅度!C3:G3=E2)*(因素修正幅度!C10:G29))</f>
        <v>0.1</v>
      </c>
      <c r="O2" s="1119"/>
      <c r="P2" s="1119"/>
      <c r="Q2" s="1119"/>
      <c r="R2" s="1212">
        <v>1</v>
      </c>
      <c r="S2" s="3360">
        <f>ROUND(SUMPRODUCT((B106:B110=R2)*(C105:N105=G2)*(C106:N110)),4)</f>
        <v>1.5206</v>
      </c>
      <c r="T2" s="3360">
        <f t="shared" ref="T2:T16" si="0">ROUND($C$5*$C$22*$C$23*$C$24*S2*$C$28,0)</f>
        <v>49013</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#VALUE!</v>
      </c>
      <c r="C3" s="1998" t="s">
        <v>1941</v>
      </c>
      <c r="D3" s="1999" t="s">
        <v>1942</v>
      </c>
      <c r="E3" s="3419" t="s">
        <v>3417</v>
      </c>
      <c r="F3" s="2003" t="s">
        <v>3387</v>
      </c>
      <c r="G3" s="752">
        <f>IF(F3="宗地容积率",'数据-汇总表'!I4,IF(F3="估价对象容积率",'数据-汇总表'!I6,'数据-汇总表'!I7))</f>
        <v>3.5</v>
      </c>
      <c r="H3" s="170" t="s">
        <v>1943</v>
      </c>
      <c r="I3" s="775">
        <v>1</v>
      </c>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38911</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33622</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33873</v>
      </c>
      <c r="D5" s="1339">
        <f>ROUND(C6*C17+C20,0)</f>
        <v>32260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30424</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32260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28997</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3243</v>
      </c>
      <c r="B7" s="2020" t="s">
        <v>1952</v>
      </c>
      <c r="C7" s="755">
        <f>IF(C8="不临65条商业街",1,ROUND(1+(1.6*E8+1.2*E9+0.8*E10+0.4*E11)*C9,4))</f>
        <v>1</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3.5</v>
      </c>
      <c r="AA7" s="1216"/>
      <c r="AB7" s="1216"/>
      <c r="AC7" s="1217"/>
      <c r="AD7" s="1218"/>
      <c r="AE7" s="1218"/>
      <c r="AF7" s="1218"/>
      <c r="AG7" s="1218"/>
      <c r="AH7" s="1218"/>
      <c r="AI7" s="1218"/>
      <c r="AJ7" s="1219"/>
    </row>
    <row r="8" spans="1:36" ht="25.5">
      <c r="A8" s="3298"/>
      <c r="B8" s="170" t="s">
        <v>1957</v>
      </c>
      <c r="C8" s="2025" t="s">
        <v>3388</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43"/>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v>1.05</v>
      </c>
      <c r="D12" s="3306" t="s">
        <v>3246</v>
      </c>
      <c r="E12" s="3307" t="s">
        <v>3247</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48" t="s">
        <v>3260</v>
      </c>
      <c r="B20" s="167" t="s">
        <v>1994</v>
      </c>
      <c r="C20" s="3324">
        <f>ROUND(IF(F21="与级别开发程度一致",0,(G21-E21)/C21),0)</f>
        <v>0</v>
      </c>
      <c r="D20" s="3340" t="s">
        <v>1998</v>
      </c>
      <c r="E20" s="3341"/>
      <c r="F20" s="3754" t="s">
        <v>1995</v>
      </c>
      <c r="G20" s="3755"/>
      <c r="H20" s="3325" t="s">
        <v>3398</v>
      </c>
      <c r="I20" s="3325" t="s">
        <v>3399</v>
      </c>
      <c r="J20" s="3326" t="s">
        <v>3400</v>
      </c>
      <c r="K20" s="2046" t="s">
        <v>3401</v>
      </c>
      <c r="L20" s="2046" t="s">
        <v>3402</v>
      </c>
      <c r="M20" s="2046" t="s">
        <v>3403</v>
      </c>
      <c r="N20" s="2046" t="s">
        <v>3404</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49"/>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3418</v>
      </c>
      <c r="G21" s="2156">
        <f>SUM(H21:O21)</f>
        <v>325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60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3" t="s">
        <v>2002</v>
      </c>
      <c r="E23" s="761">
        <v>44197</v>
      </c>
      <c r="F23" s="2053" t="s">
        <v>2003</v>
      </c>
      <c r="G23" s="762">
        <f>'数据-取费表'!B2</f>
        <v>45127</v>
      </c>
      <c r="H23" s="3342" t="s">
        <v>3262</v>
      </c>
      <c r="I23" s="3343" t="str">
        <f>IF(H23="季度增幅（自定义）",SUMIF(N25:N28,E2,O25:O28),"")</f>
        <v/>
      </c>
      <c r="J23" s="3445" t="s">
        <v>3261</v>
      </c>
      <c r="K23" s="1125"/>
      <c r="L23" s="2054" t="s">
        <v>2004</v>
      </c>
      <c r="M23" s="1328">
        <f>ROUND(SUMIF(地价!B2:G2,E2,地价!B16:G16),0)</f>
        <v>350</v>
      </c>
      <c r="N23" s="2055" t="s">
        <v>2005</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0.88029999999999997</v>
      </c>
      <c r="D24" s="2059" t="s">
        <v>2007</v>
      </c>
      <c r="E24" s="1335">
        <f>存贷款利率!E23/100</f>
        <v>4.3499999999999997E-2</v>
      </c>
      <c r="F24" s="2059" t="s">
        <v>1999</v>
      </c>
      <c r="G24" s="768">
        <f>SUMIF(M30:Q30,E2,M33:Q33)</f>
        <v>5.5E-2</v>
      </c>
      <c r="H24" s="2059" t="s">
        <v>2008</v>
      </c>
      <c r="I24" s="769">
        <f>SUMIF('数据-取费表'!C6:C15,E2,'数据-取费表'!F6:F15)/COUNTIF('数据-取费表'!C6:C15,E2)</f>
        <v>32</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3341</v>
      </c>
      <c r="C25" s="771">
        <f>IF(B25="容积率修正",IF(G3&lt;10,D26,J26),C27)</f>
        <v>1</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4" t="s">
        <v>3263</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3264</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1.5206</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1.0545</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#VALUE!</v>
      </c>
      <c r="D30" s="2082"/>
      <c r="E30" s="2045"/>
      <c r="F30" s="2083"/>
      <c r="G30" s="2045"/>
      <c r="H30" s="2045"/>
      <c r="I30" s="2045"/>
      <c r="J30" s="2084"/>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#VALUE!</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32233</v>
      </c>
      <c r="D33" s="2097">
        <f>'数据-取费表'!K6</f>
        <v>201.13</v>
      </c>
      <c r="E33" s="773">
        <f>ROUND(C33*D33/10000,0)</f>
        <v>648</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8058</v>
      </c>
      <c r="D34" s="2102"/>
      <c r="E34" s="773">
        <f>ROUND(IF(B25="楼层修正",SUM(V2:V16)*M40,C34*D34/10000),0)</f>
        <v>0</v>
      </c>
      <c r="F34" s="2103" t="s">
        <v>2032</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3267</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2"/>
      <c r="B37" s="2112" t="s">
        <v>2036</v>
      </c>
      <c r="C37" s="175">
        <f>ROUND(D5*C22*C23*C24*C28*F37,0)</f>
        <v>21488</v>
      </c>
      <c r="D37" s="2097"/>
      <c r="E37" s="171">
        <f>ROUND(C37*D37/10000,0)</f>
        <v>0</v>
      </c>
      <c r="F37" s="171">
        <f>SUMIF(修正!A57:A68,G2,修正!B57:B68)</f>
        <v>0.7</v>
      </c>
      <c r="G37" s="171">
        <f>ROUND(IF(E2="工业",C37*$M$42,C37*$M$41),0)</f>
        <v>5372</v>
      </c>
      <c r="H37" s="171">
        <f>D37</f>
        <v>0</v>
      </c>
      <c r="I37" s="171">
        <f>ROUND(G37*H37/10000,0)</f>
        <v>0</v>
      </c>
      <c r="J37" s="3011"/>
      <c r="K37" s="3358" t="s">
        <v>3272</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3"/>
      <c r="B38" s="2040" t="s">
        <v>2037</v>
      </c>
      <c r="C38" s="175">
        <f>ROUND(D5*C22*C23*C24*C28*F38,0)</f>
        <v>12279</v>
      </c>
      <c r="D38" s="2097"/>
      <c r="E38" s="171">
        <f t="shared" ref="E38:E42" si="4">ROUND(C38*D38/10000,0)</f>
        <v>0</v>
      </c>
      <c r="F38" s="171">
        <f>SUMIF(修正!A57:A68,G2,修正!C57:C68)</f>
        <v>0.4</v>
      </c>
      <c r="G38" s="171">
        <f>ROUND(IF(E2="工业",C38*$M$42,C38*$M$41),0)</f>
        <v>3070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3"/>
      <c r="B39" s="2040" t="s">
        <v>3265</v>
      </c>
      <c r="C39" s="175">
        <f>ROUND(D5*C22*C23*C24*C28*F39,0)</f>
        <v>9209</v>
      </c>
      <c r="D39" s="2097"/>
      <c r="E39" s="171">
        <f t="shared" si="4"/>
        <v>0</v>
      </c>
      <c r="F39" s="171">
        <f>SUMIF(修正!A57:A68,G2,修正!D57:D68)</f>
        <v>0.3</v>
      </c>
      <c r="G39" s="171">
        <f>ROUND(IF(E2="工业",C39*$M$42,C39*$M$41),0)</f>
        <v>2302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9209</v>
      </c>
      <c r="D40" s="2097"/>
      <c r="E40" s="171">
        <f t="shared" si="4"/>
        <v>0</v>
      </c>
      <c r="F40" s="175">
        <f>SUMIF(修正!A57:A68,G2,修正!E57:E68)</f>
        <v>0.3</v>
      </c>
      <c r="G40" s="171">
        <f>ROUND(IF(E2="工业",C40*$M$42,C40*$M$41),0)</f>
        <v>2302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#VALUE!</v>
      </c>
      <c r="D41" s="2097"/>
      <c r="E41" s="171" t="e">
        <f t="shared" si="4"/>
        <v>#VALUE!</v>
      </c>
      <c r="F41" s="175">
        <f>SUMIF(修正!A57:A68,G2,修正!F57:F68)</f>
        <v>0.3</v>
      </c>
      <c r="G41" s="171" t="e">
        <f>ROUND(IF(E2="工业",C41*$M$42,C41*$M$41),0)</f>
        <v>#VALUE!</v>
      </c>
      <c r="H41" s="171">
        <f t="shared" si="5"/>
        <v>0</v>
      </c>
      <c r="I41" s="171" t="e">
        <f t="shared" si="6"/>
        <v>#VALUE!</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#VALUE!</v>
      </c>
      <c r="D42" s="2102"/>
      <c r="E42" s="187" t="e">
        <f t="shared" si="4"/>
        <v>#VALUE!</v>
      </c>
      <c r="F42" s="767">
        <f>SUMIF(修正!A57:A68,G2,修正!G57:G68)</f>
        <v>0.2</v>
      </c>
      <c r="G42" s="187" t="e">
        <f>ROUND(IF(E2="工业",C42*$M$42,C42*$M$41),0)</f>
        <v>#VALUE!</v>
      </c>
      <c r="H42" s="187">
        <f t="shared" si="5"/>
        <v>0</v>
      </c>
      <c r="I42" s="187" t="e">
        <f t="shared" si="6"/>
        <v>#VALUE!</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#VALUE!</v>
      </c>
      <c r="D44" s="171" t="s">
        <v>1999</v>
      </c>
      <c r="E44" s="2152">
        <f>G24</f>
        <v>5.5E-2</v>
      </c>
      <c r="F44" s="171" t="s">
        <v>2008</v>
      </c>
      <c r="G44" s="183" t="str">
        <f>项目基本情况!D15</f>
        <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1.0408999999999999</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t="s">
        <v>3384</v>
      </c>
      <c r="D50" s="1065">
        <f t="shared" ref="D50:D58" si="7">SUMIF($J$49:$N$49,C50,J50:N50)</f>
        <v>0</v>
      </c>
      <c r="E50" s="744">
        <f>ROUND(SUM(D50:D58),4)</f>
        <v>4.0899999999999999E-2</v>
      </c>
      <c r="F50" s="1814" t="str">
        <f>IF(E2="商业",SUMIF(L1:L12,G2,N1:N12),"——")</f>
        <v>——</v>
      </c>
      <c r="G50" s="1063">
        <v>2.1600000000000001E-2</v>
      </c>
      <c r="H50" s="1066" t="str">
        <f t="shared" ref="H50:H58" si="8">IFERROR(ROUNDDOWN($F$50*I50/2,4),"——")</f>
        <v>——</v>
      </c>
      <c r="I50" s="3366">
        <v>0.3</v>
      </c>
      <c r="J50" s="1064">
        <f t="shared" ref="J50:J58" si="9">K50+$G50</f>
        <v>4.3200000000000002E-2</v>
      </c>
      <c r="K50" s="1064">
        <f t="shared" ref="K50:K58" si="10">$L50+$G50</f>
        <v>2.1600000000000001E-2</v>
      </c>
      <c r="L50" s="1064">
        <v>0</v>
      </c>
      <c r="M50" s="1064">
        <f t="shared" ref="M50:N58" si="11">L50-$G50</f>
        <v>-2.1600000000000001E-2</v>
      </c>
      <c r="N50" s="1064">
        <f t="shared" si="11"/>
        <v>-4.3200000000000002E-2</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t="s">
        <v>3385</v>
      </c>
      <c r="D51" s="1065">
        <f t="shared" si="7"/>
        <v>1.5800000000000002E-2</v>
      </c>
      <c r="E51" s="745"/>
      <c r="F51" s="1814"/>
      <c r="G51" s="1063">
        <v>1.5800000000000002E-2</v>
      </c>
      <c r="H51" s="1066" t="str">
        <f t="shared" si="8"/>
        <v>——</v>
      </c>
      <c r="I51" s="3366">
        <v>0.22</v>
      </c>
      <c r="J51" s="1064">
        <f t="shared" si="9"/>
        <v>3.1600000000000003E-2</v>
      </c>
      <c r="K51" s="1064">
        <f t="shared" si="10"/>
        <v>1.5800000000000002E-2</v>
      </c>
      <c r="L51" s="1064">
        <v>0</v>
      </c>
      <c r="M51" s="1064">
        <f t="shared" si="11"/>
        <v>-1.5800000000000002E-2</v>
      </c>
      <c r="N51" s="1064">
        <f t="shared" si="11"/>
        <v>-3.1600000000000003E-2</v>
      </c>
      <c r="AA51" s="1120"/>
      <c r="AB51" s="1120"/>
      <c r="AC51" s="1120"/>
      <c r="AD51" s="1120"/>
      <c r="AE51" s="1120"/>
      <c r="AF51" s="1120"/>
      <c r="AG51" s="1120"/>
      <c r="AH51" s="1120"/>
      <c r="AI51" s="1120"/>
      <c r="AJ51" s="1120"/>
      <c r="AK51" s="1120"/>
    </row>
    <row r="52" spans="1:37" s="1119" customFormat="1" ht="36">
      <c r="A52" s="3368" t="s">
        <v>3275</v>
      </c>
      <c r="B52" s="2133">
        <f>估价对象房地状况!C19</f>
        <v>0</v>
      </c>
      <c r="C52" s="2043" t="s">
        <v>3385</v>
      </c>
      <c r="D52" s="1065">
        <f t="shared" si="7"/>
        <v>8.6E-3</v>
      </c>
      <c r="E52" s="745"/>
      <c r="F52" s="1814"/>
      <c r="G52" s="1063">
        <v>8.6E-3</v>
      </c>
      <c r="H52" s="1066" t="str">
        <f t="shared" si="8"/>
        <v>——</v>
      </c>
      <c r="I52" s="3366">
        <v>0.12</v>
      </c>
      <c r="J52" s="1064">
        <f t="shared" si="9"/>
        <v>1.72E-2</v>
      </c>
      <c r="K52" s="1064">
        <f t="shared" si="10"/>
        <v>8.6E-3</v>
      </c>
      <c r="L52" s="1064">
        <v>0</v>
      </c>
      <c r="M52" s="1064">
        <f t="shared" si="11"/>
        <v>-8.6E-3</v>
      </c>
      <c r="N52" s="1064">
        <f t="shared" si="11"/>
        <v>-1.72E-2</v>
      </c>
      <c r="AA52" s="1120"/>
      <c r="AB52" s="1120"/>
      <c r="AC52" s="1120"/>
      <c r="AD52" s="1120"/>
      <c r="AE52" s="1120"/>
      <c r="AF52" s="1120"/>
      <c r="AG52" s="1120"/>
      <c r="AH52" s="1120"/>
      <c r="AI52" s="1120"/>
      <c r="AJ52" s="1120"/>
      <c r="AK52" s="1120"/>
    </row>
    <row r="53" spans="1:37" s="1119" customFormat="1" ht="36.75">
      <c r="A53" s="2129" t="s">
        <v>2054</v>
      </c>
      <c r="B53" s="2134" t="s">
        <v>2055</v>
      </c>
      <c r="C53" s="2043" t="s">
        <v>3385</v>
      </c>
      <c r="D53" s="1065">
        <f t="shared" si="7"/>
        <v>3.5999999999999999E-3</v>
      </c>
      <c r="E53" s="745"/>
      <c r="F53" s="1814"/>
      <c r="G53" s="1063">
        <v>3.5999999999999999E-3</v>
      </c>
      <c r="H53" s="1066" t="str">
        <f t="shared" si="8"/>
        <v>——</v>
      </c>
      <c r="I53" s="3366">
        <v>0.05</v>
      </c>
      <c r="J53" s="1064">
        <f t="shared" si="9"/>
        <v>7.1999999999999998E-3</v>
      </c>
      <c r="K53" s="1064">
        <f t="shared" si="10"/>
        <v>3.5999999999999999E-3</v>
      </c>
      <c r="L53" s="1064">
        <v>0</v>
      </c>
      <c r="M53" s="1064">
        <f t="shared" si="11"/>
        <v>-3.5999999999999999E-3</v>
      </c>
      <c r="N53" s="1064">
        <f t="shared" si="11"/>
        <v>-7.1999999999999998E-3</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3386</v>
      </c>
      <c r="D54" s="1065">
        <f t="shared" si="7"/>
        <v>-5.7000000000000002E-3</v>
      </c>
      <c r="E54" s="745"/>
      <c r="F54" s="1814"/>
      <c r="G54" s="1063">
        <v>5.7000000000000002E-3</v>
      </c>
      <c r="H54" s="1066" t="str">
        <f t="shared" si="8"/>
        <v>——</v>
      </c>
      <c r="I54" s="3366">
        <v>0.08</v>
      </c>
      <c r="J54" s="1064">
        <f t="shared" si="9"/>
        <v>1.14E-2</v>
      </c>
      <c r="K54" s="1064">
        <f t="shared" si="10"/>
        <v>5.7000000000000002E-3</v>
      </c>
      <c r="L54" s="1064">
        <v>0</v>
      </c>
      <c r="M54" s="1064">
        <f t="shared" si="11"/>
        <v>-5.7000000000000002E-3</v>
      </c>
      <c r="N54" s="1064">
        <f t="shared" si="11"/>
        <v>-1.14E-2</v>
      </c>
      <c r="AA54" s="1120"/>
      <c r="AB54" s="1120"/>
      <c r="AC54" s="1120"/>
      <c r="AD54" s="1120"/>
      <c r="AE54" s="1120"/>
      <c r="AF54" s="1120"/>
      <c r="AG54" s="1120"/>
      <c r="AH54" s="1120"/>
      <c r="AI54" s="1120"/>
      <c r="AJ54" s="1120"/>
      <c r="AK54" s="1120"/>
    </row>
    <row r="55" spans="1:37" s="1119" customFormat="1" ht="24">
      <c r="A55" s="2129" t="s">
        <v>2057</v>
      </c>
      <c r="B55" s="2135" t="s">
        <v>2058</v>
      </c>
      <c r="C55" s="2043" t="s">
        <v>3385</v>
      </c>
      <c r="D55" s="1065">
        <f t="shared" si="7"/>
        <v>3.5999999999999999E-3</v>
      </c>
      <c r="E55" s="745"/>
      <c r="F55" s="1814"/>
      <c r="G55" s="1063">
        <v>3.5999999999999999E-3</v>
      </c>
      <c r="H55" s="1066" t="str">
        <f t="shared" si="8"/>
        <v>——</v>
      </c>
      <c r="I55" s="3366">
        <v>0.05</v>
      </c>
      <c r="J55" s="1064">
        <f t="shared" si="9"/>
        <v>7.1999999999999998E-3</v>
      </c>
      <c r="K55" s="1064">
        <f t="shared" si="10"/>
        <v>3.5999999999999999E-3</v>
      </c>
      <c r="L55" s="1064">
        <v>0</v>
      </c>
      <c r="M55" s="1064">
        <f t="shared" si="11"/>
        <v>-3.5999999999999999E-3</v>
      </c>
      <c r="N55" s="1064">
        <f t="shared" si="11"/>
        <v>-7.1999999999999998E-3</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t="s">
        <v>3384</v>
      </c>
      <c r="D56" s="1065">
        <f t="shared" si="7"/>
        <v>0</v>
      </c>
      <c r="E56" s="745"/>
      <c r="F56" s="1814"/>
      <c r="G56" s="1063">
        <v>3.5999999999999999E-3</v>
      </c>
      <c r="H56" s="1066" t="str">
        <f t="shared" si="8"/>
        <v>——</v>
      </c>
      <c r="I56" s="3366">
        <v>0.05</v>
      </c>
      <c r="J56" s="1064">
        <f t="shared" si="9"/>
        <v>7.1999999999999998E-3</v>
      </c>
      <c r="K56" s="1064">
        <f t="shared" si="10"/>
        <v>3.5999999999999999E-3</v>
      </c>
      <c r="L56" s="1064">
        <v>0</v>
      </c>
      <c r="M56" s="1064">
        <f t="shared" si="11"/>
        <v>-3.5999999999999999E-3</v>
      </c>
      <c r="N56" s="1064">
        <f t="shared" si="11"/>
        <v>-7.1999999999999998E-3</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t="s">
        <v>3397</v>
      </c>
      <c r="D57" s="1065">
        <f t="shared" si="7"/>
        <v>1.14E-2</v>
      </c>
      <c r="E57" s="745"/>
      <c r="F57" s="1814"/>
      <c r="G57" s="1063">
        <v>5.7000000000000002E-3</v>
      </c>
      <c r="H57" s="1066" t="str">
        <f t="shared" si="8"/>
        <v>——</v>
      </c>
      <c r="I57" s="3366">
        <v>0.08</v>
      </c>
      <c r="J57" s="1064">
        <f t="shared" si="9"/>
        <v>1.14E-2</v>
      </c>
      <c r="K57" s="1064">
        <f t="shared" si="10"/>
        <v>5.7000000000000002E-3</v>
      </c>
      <c r="L57" s="1064">
        <v>0</v>
      </c>
      <c r="M57" s="1064">
        <f t="shared" si="11"/>
        <v>-5.7000000000000002E-3</v>
      </c>
      <c r="N57" s="1064">
        <f t="shared" si="11"/>
        <v>-1.14E-2</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t="s">
        <v>3385</v>
      </c>
      <c r="D58" s="1065">
        <f t="shared" si="7"/>
        <v>3.5999999999999999E-3</v>
      </c>
      <c r="E58" s="746"/>
      <c r="F58" s="1814"/>
      <c r="G58" s="1063">
        <v>3.5999999999999999E-3</v>
      </c>
      <c r="H58" s="1066" t="str">
        <f t="shared" si="8"/>
        <v>——</v>
      </c>
      <c r="I58" s="3367">
        <v>0.05</v>
      </c>
      <c r="J58" s="1064">
        <f t="shared" si="9"/>
        <v>7.1999999999999998E-3</v>
      </c>
      <c r="K58" s="1064">
        <f t="shared" si="10"/>
        <v>3.5999999999999999E-3</v>
      </c>
      <c r="L58" s="1064">
        <v>0</v>
      </c>
      <c r="M58" s="1064">
        <f t="shared" si="11"/>
        <v>-3.5999999999999999E-3</v>
      </c>
      <c r="N58" s="1064">
        <f t="shared" si="11"/>
        <v>-7.1999999999999998E-3</v>
      </c>
      <c r="AA58" s="1120"/>
      <c r="AB58" s="1120"/>
      <c r="AC58" s="1120"/>
      <c r="AD58" s="1120"/>
      <c r="AE58" s="1120"/>
      <c r="AF58" s="1120"/>
      <c r="AG58" s="1120"/>
      <c r="AH58" s="1120"/>
      <c r="AI58" s="1120"/>
      <c r="AJ58" s="1120"/>
      <c r="AK58" s="1120"/>
    </row>
    <row r="59" spans="1:37" s="1119" customFormat="1" ht="15">
      <c r="A59" s="2125" t="s">
        <v>2062</v>
      </c>
      <c r="B59" s="2126">
        <f>1+E61</f>
        <v>1.0545</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3385</v>
      </c>
      <c r="D61" s="1065">
        <f t="shared" ref="D61:D69" si="12">SUMIF($J$60:$N$60,C61,J61:N61)</f>
        <v>1.2500000000000001E-2</v>
      </c>
      <c r="E61" s="744">
        <f>ROUND(SUM(D61:D69),4)</f>
        <v>5.45E-2</v>
      </c>
      <c r="F61" s="1814">
        <f>IF(E2="办公",SUMIF(L1:L12,G2,N1:N12),"——")</f>
        <v>0.1</v>
      </c>
      <c r="G61" s="1063">
        <v>1.2500000000000001E-2</v>
      </c>
      <c r="H61" s="1066">
        <f t="shared" ref="H61:H69" si="13">IFERROR(ROUNDDOWN($F$61*I61/2,4),"——")</f>
        <v>1.2500000000000001E-2</v>
      </c>
      <c r="I61" s="3366">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3385</v>
      </c>
      <c r="D62" s="1065">
        <f t="shared" si="12"/>
        <v>1.2999999999999999E-2</v>
      </c>
      <c r="E62" s="745"/>
      <c r="F62" s="1814"/>
      <c r="G62" s="1063">
        <v>1.2999999999999999E-2</v>
      </c>
      <c r="H62" s="1066">
        <f t="shared" si="13"/>
        <v>1.2999999999999999E-2</v>
      </c>
      <c r="I62" s="3366">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8" t="s">
        <v>3275</v>
      </c>
      <c r="B63" s="2133">
        <f>估价对象房地状况!C19</f>
        <v>0</v>
      </c>
      <c r="C63" s="2043" t="s">
        <v>3385</v>
      </c>
      <c r="D63" s="1065">
        <f t="shared" si="12"/>
        <v>5.4999999999999997E-3</v>
      </c>
      <c r="E63" s="745"/>
      <c r="F63" s="1814"/>
      <c r="G63" s="1063">
        <v>5.4999999999999997E-3</v>
      </c>
      <c r="H63" s="1066">
        <f t="shared" si="13"/>
        <v>5.4999999999999997E-3</v>
      </c>
      <c r="I63" s="3366">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29" t="s">
        <v>2054</v>
      </c>
      <c r="B64" s="2134" t="s">
        <v>2055</v>
      </c>
      <c r="C64" s="2043" t="s">
        <v>3385</v>
      </c>
      <c r="D64" s="1065">
        <f t="shared" si="12"/>
        <v>2.5000000000000001E-3</v>
      </c>
      <c r="E64" s="745"/>
      <c r="F64" s="1814"/>
      <c r="G64" s="1063">
        <v>2.5000000000000001E-3</v>
      </c>
      <c r="H64" s="1066">
        <f t="shared" si="13"/>
        <v>2.5000000000000001E-3</v>
      </c>
      <c r="I64" s="3366">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3385</v>
      </c>
      <c r="D65" s="1065">
        <f t="shared" si="12"/>
        <v>2.5000000000000001E-3</v>
      </c>
      <c r="E65" s="745"/>
      <c r="F65" s="1814"/>
      <c r="G65" s="1063">
        <v>2.5000000000000001E-3</v>
      </c>
      <c r="H65" s="1066">
        <f t="shared" si="13"/>
        <v>2.5000000000000001E-3</v>
      </c>
      <c r="I65" s="3366">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29" t="s">
        <v>2057</v>
      </c>
      <c r="B66" s="2135" t="s">
        <v>2058</v>
      </c>
      <c r="C66" s="2043" t="s">
        <v>3385</v>
      </c>
      <c r="D66" s="1065">
        <f t="shared" si="12"/>
        <v>3.0000000000000001E-3</v>
      </c>
      <c r="E66" s="745"/>
      <c r="F66" s="1814"/>
      <c r="G66" s="1063">
        <v>3.0000000000000001E-3</v>
      </c>
      <c r="H66" s="1066">
        <f t="shared" si="13"/>
        <v>3.0000000000000001E-3</v>
      </c>
      <c r="I66" s="3366">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t="s">
        <v>3385</v>
      </c>
      <c r="D67" s="1065">
        <f t="shared" si="12"/>
        <v>3.0000000000000001E-3</v>
      </c>
      <c r="E67" s="745"/>
      <c r="F67" s="1814"/>
      <c r="G67" s="1063">
        <v>3.0000000000000001E-3</v>
      </c>
      <c r="H67" s="1066">
        <f t="shared" si="13"/>
        <v>3.0000000000000001E-3</v>
      </c>
      <c r="I67" s="3366">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t="s">
        <v>3397</v>
      </c>
      <c r="D68" s="1065">
        <f t="shared" si="12"/>
        <v>8.9999999999999993E-3</v>
      </c>
      <c r="E68" s="745"/>
      <c r="F68" s="1814"/>
      <c r="G68" s="1063">
        <v>4.4999999999999997E-3</v>
      </c>
      <c r="H68" s="1066">
        <f t="shared" si="13"/>
        <v>4.4999999999999997E-3</v>
      </c>
      <c r="I68" s="3366">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3385</v>
      </c>
      <c r="D69" s="1065">
        <f t="shared" si="12"/>
        <v>3.5000000000000001E-3</v>
      </c>
      <c r="E69" s="746"/>
      <c r="F69" s="1814"/>
      <c r="G69" s="1063">
        <v>3.5000000000000001E-3</v>
      </c>
      <c r="H69" s="1066">
        <f t="shared" si="13"/>
        <v>3.5000000000000001E-3</v>
      </c>
      <c r="I69" s="3367">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3275</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3276</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0" t="s">
        <v>3300</v>
      </c>
      <c r="B103" s="3750"/>
      <c r="C103" s="3750"/>
      <c r="D103" s="3750"/>
      <c r="E103" s="3750"/>
      <c r="F103" s="3750"/>
      <c r="G103" s="3750"/>
      <c r="H103" s="3750"/>
      <c r="I103" s="3750"/>
      <c r="J103" s="3750"/>
      <c r="K103" s="3389"/>
      <c r="L103" s="3389"/>
      <c r="M103" s="3389"/>
      <c r="N103" s="3389"/>
    </row>
    <row r="104" spans="1:14">
      <c r="A104" s="3751" t="s">
        <v>3301</v>
      </c>
      <c r="B104" s="3751" t="s">
        <v>3302</v>
      </c>
      <c r="C104" s="3390" t="s">
        <v>3303</v>
      </c>
      <c r="D104" s="3391"/>
      <c r="E104" s="3391"/>
      <c r="F104" s="3391"/>
      <c r="G104" s="3391"/>
      <c r="H104" s="3391"/>
      <c r="I104" s="3391"/>
      <c r="J104" s="3392"/>
      <c r="K104" s="3393"/>
      <c r="L104" s="3393"/>
      <c r="M104" s="3393"/>
      <c r="N104" s="3393"/>
    </row>
    <row r="105" spans="1:14">
      <c r="A105" s="3751"/>
      <c r="B105" s="3751"/>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37"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3274</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39"/>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40" t="s">
        <v>3317</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3.5</v>
      </c>
      <c r="C116" s="3399" t="s">
        <v>3319</v>
      </c>
      <c r="D116" s="3400">
        <f>SUMPRODUCT((A118:A122=F116)*(B117:M117=H116)*B118:M122)</f>
        <v>0.95379999999999998</v>
      </c>
      <c r="E116" s="1999" t="s">
        <v>3320</v>
      </c>
      <c r="F116" s="3401" t="str">
        <f>E2</f>
        <v>办公</v>
      </c>
      <c r="G116" s="1999" t="s">
        <v>3321</v>
      </c>
      <c r="H116" s="3401" t="str">
        <f>G2</f>
        <v>二级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0.95830000000000004</v>
      </c>
      <c r="C118" s="3387">
        <f>B118</f>
        <v>0.95830000000000004</v>
      </c>
      <c r="D118" s="3387">
        <f>ROUND(0.949-0.014*B116,4)</f>
        <v>0.9</v>
      </c>
      <c r="E118" s="3387">
        <f>D118</f>
        <v>0.9</v>
      </c>
      <c r="F118" s="3387">
        <f>E118</f>
        <v>0.9</v>
      </c>
      <c r="G118" s="3387">
        <f>F118</f>
        <v>0.9</v>
      </c>
      <c r="H118" s="3387">
        <f>G118</f>
        <v>0.9</v>
      </c>
      <c r="I118" s="3387">
        <f>ROUND(0.8486-0.018*B116,4)</f>
        <v>0.78559999999999997</v>
      </c>
      <c r="J118" s="3387">
        <f t="shared" ref="J118:M122" si="35">I118</f>
        <v>0.78559999999999997</v>
      </c>
      <c r="K118" s="3387">
        <f t="shared" si="35"/>
        <v>0.78559999999999997</v>
      </c>
      <c r="L118" s="3387">
        <f t="shared" si="35"/>
        <v>0.78559999999999997</v>
      </c>
      <c r="M118" s="3410">
        <f t="shared" si="35"/>
        <v>0.78559999999999997</v>
      </c>
      <c r="N118" s="3397"/>
    </row>
    <row r="119" spans="1:14">
      <c r="A119" s="3409" t="s">
        <v>3335</v>
      </c>
      <c r="B119" s="3387">
        <f>ROUND(0.993-0.0112*B116,4)</f>
        <v>0.95379999999999998</v>
      </c>
      <c r="C119" s="3387">
        <f>B119</f>
        <v>0.95379999999999998</v>
      </c>
      <c r="D119" s="3387">
        <f>ROUND(0.9415-0.0142*B116,4)</f>
        <v>0.89180000000000004</v>
      </c>
      <c r="E119" s="3387">
        <f t="shared" ref="E119:H120" si="36">D119</f>
        <v>0.89180000000000004</v>
      </c>
      <c r="F119" s="3387">
        <f t="shared" si="36"/>
        <v>0.89180000000000004</v>
      </c>
      <c r="G119" s="3387">
        <f t="shared" si="36"/>
        <v>0.89180000000000004</v>
      </c>
      <c r="H119" s="3387">
        <f t="shared" si="36"/>
        <v>0.89180000000000004</v>
      </c>
      <c r="I119" s="3387">
        <f>ROUND(0.838-0.0182*B116,4)</f>
        <v>0.77429999999999999</v>
      </c>
      <c r="J119" s="3387">
        <f t="shared" si="35"/>
        <v>0.77429999999999999</v>
      </c>
      <c r="K119" s="3387">
        <f t="shared" si="35"/>
        <v>0.77429999999999999</v>
      </c>
      <c r="L119" s="3387">
        <f t="shared" si="35"/>
        <v>0.77429999999999999</v>
      </c>
      <c r="M119" s="3410">
        <f t="shared" si="35"/>
        <v>0.77429999999999999</v>
      </c>
      <c r="N119" s="3397"/>
    </row>
    <row r="120" spans="1:14">
      <c r="A120" s="3409" t="s">
        <v>3336</v>
      </c>
      <c r="B120" s="3387">
        <f>ROUND(0.9448-0.0115*B116,4)</f>
        <v>0.90459999999999996</v>
      </c>
      <c r="C120" s="3387">
        <f>B120</f>
        <v>0.90459999999999996</v>
      </c>
      <c r="D120" s="3387">
        <f>ROUND(0.937-0.0145*B116,4)</f>
        <v>0.88629999999999998</v>
      </c>
      <c r="E120" s="3387">
        <f t="shared" si="36"/>
        <v>0.88629999999999998</v>
      </c>
      <c r="F120" s="3387">
        <f t="shared" si="36"/>
        <v>0.88629999999999998</v>
      </c>
      <c r="G120" s="3387">
        <f t="shared" si="36"/>
        <v>0.88629999999999998</v>
      </c>
      <c r="H120" s="3387">
        <f t="shared" si="36"/>
        <v>0.88629999999999998</v>
      </c>
      <c r="I120" s="3387">
        <f>ROUND(0.7965-0.0185*B116,4)</f>
        <v>0.73180000000000001</v>
      </c>
      <c r="J120" s="3387">
        <f t="shared" si="35"/>
        <v>0.73180000000000001</v>
      </c>
      <c r="K120" s="3387">
        <f t="shared" si="35"/>
        <v>0.73180000000000001</v>
      </c>
      <c r="L120" s="3387">
        <f t="shared" si="35"/>
        <v>0.73180000000000001</v>
      </c>
      <c r="M120" s="3410">
        <f t="shared" si="35"/>
        <v>0.73180000000000001</v>
      </c>
      <c r="N120" s="3397"/>
    </row>
    <row r="121" spans="1:14" ht="13.5" thickBot="1">
      <c r="A121" s="3411" t="s">
        <v>3337</v>
      </c>
      <c r="B121" s="3412">
        <f>ROUND(0.7836-0.012*B116,4)</f>
        <v>0.74160000000000004</v>
      </c>
      <c r="C121" s="3412">
        <f>B121</f>
        <v>0.74160000000000004</v>
      </c>
      <c r="D121" s="3412">
        <f>ROUND(0.753-0.015*B116,4)</f>
        <v>0.70050000000000001</v>
      </c>
      <c r="E121" s="3412">
        <f>D121</f>
        <v>0.70050000000000001</v>
      </c>
      <c r="F121" s="3412">
        <f>E121</f>
        <v>0.70050000000000001</v>
      </c>
      <c r="G121" s="3412">
        <f>ROUND(0.6612-0.018*B116,4)</f>
        <v>0.59819999999999995</v>
      </c>
      <c r="H121" s="3412">
        <f>G121</f>
        <v>0.59819999999999995</v>
      </c>
      <c r="I121" s="3412">
        <f>ROUND(0.5905-0.019*B116,4)</f>
        <v>0.52400000000000002</v>
      </c>
      <c r="J121" s="3412">
        <f t="shared" si="35"/>
        <v>0.52400000000000002</v>
      </c>
      <c r="K121" s="3412">
        <f t="shared" si="35"/>
        <v>0.52400000000000002</v>
      </c>
      <c r="L121" s="3412">
        <f t="shared" si="35"/>
        <v>0.52400000000000002</v>
      </c>
      <c r="M121" s="3413">
        <f t="shared" si="35"/>
        <v>0.52400000000000002</v>
      </c>
      <c r="N121" s="3397"/>
    </row>
    <row r="122" spans="1:14">
      <c r="A122" s="3414" t="s">
        <v>2616</v>
      </c>
      <c r="B122" s="3387">
        <f>ROUND(0.9404-0.0106*B116,4)</f>
        <v>0.90329999999999999</v>
      </c>
      <c r="C122" s="3387">
        <f>B122</f>
        <v>0.90329999999999999</v>
      </c>
      <c r="D122" s="3387">
        <f>ROUND(0.8955-0.0135*B116,4)</f>
        <v>0.84830000000000005</v>
      </c>
      <c r="E122" s="3387">
        <f t="shared" ref="E122:H122" si="37">D122</f>
        <v>0.84830000000000005</v>
      </c>
      <c r="F122" s="3387">
        <f t="shared" si="37"/>
        <v>0.84830000000000005</v>
      </c>
      <c r="G122" s="3387">
        <f t="shared" si="37"/>
        <v>0.84830000000000005</v>
      </c>
      <c r="H122" s="3387">
        <f t="shared" si="37"/>
        <v>0.84830000000000005</v>
      </c>
      <c r="I122" s="3387">
        <f>ROUND(0.7632-0.0166*B116,4)</f>
        <v>0.70509999999999995</v>
      </c>
      <c r="J122" s="3387">
        <f t="shared" si="35"/>
        <v>0.70509999999999995</v>
      </c>
      <c r="K122" s="3387">
        <f t="shared" si="35"/>
        <v>0.70509999999999995</v>
      </c>
      <c r="L122" s="3387">
        <f t="shared" si="35"/>
        <v>0.70509999999999995</v>
      </c>
      <c r="M122" s="3410">
        <f t="shared" si="35"/>
        <v>0.70509999999999995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3" t="s">
        <v>2611</v>
      </c>
      <c r="B20" s="3756" t="s">
        <v>2632</v>
      </c>
      <c r="C20" s="3102" t="s">
        <v>2443</v>
      </c>
      <c r="D20" s="3103"/>
      <c r="E20" s="3104">
        <v>1</v>
      </c>
      <c r="F20" s="3105" t="s">
        <v>2444</v>
      </c>
      <c r="G20" s="3105"/>
    </row>
    <row r="21" spans="1:13" ht="19.5" customHeight="1">
      <c r="A21" s="3764"/>
      <c r="B21" s="3757"/>
      <c r="C21" s="3106" t="s">
        <v>2445</v>
      </c>
      <c r="D21" s="3107"/>
      <c r="E21" s="3108">
        <v>1</v>
      </c>
      <c r="F21" s="3105" t="s">
        <v>2446</v>
      </c>
      <c r="G21" s="3105"/>
    </row>
    <row r="22" spans="1:13" ht="19.5" customHeight="1">
      <c r="A22" s="3764"/>
      <c r="B22" s="3757"/>
      <c r="C22" s="3106" t="s">
        <v>2447</v>
      </c>
      <c r="D22" s="3107"/>
      <c r="E22" s="3108">
        <v>0.9</v>
      </c>
      <c r="F22" s="3105" t="s">
        <v>2448</v>
      </c>
      <c r="G22" s="3105"/>
    </row>
    <row r="23" spans="1:13" ht="19.5" customHeight="1">
      <c r="A23" s="3764"/>
      <c r="B23" s="3757"/>
      <c r="C23" s="3106" t="s">
        <v>2449</v>
      </c>
      <c r="D23" s="3107"/>
      <c r="E23" s="3108">
        <v>0.9</v>
      </c>
      <c r="F23" s="3105" t="s">
        <v>2450</v>
      </c>
      <c r="G23" s="3105"/>
    </row>
    <row r="24" spans="1:13" ht="19.5" customHeight="1">
      <c r="A24" s="3764"/>
      <c r="B24" s="3757"/>
      <c r="C24" s="3106" t="s">
        <v>2451</v>
      </c>
      <c r="D24" s="3107"/>
      <c r="E24" s="3108">
        <v>0.8</v>
      </c>
      <c r="F24" s="3105" t="s">
        <v>2452</v>
      </c>
      <c r="G24" s="3105"/>
    </row>
    <row r="25" spans="1:13" ht="19.5" customHeight="1" thickBot="1">
      <c r="A25" s="3765"/>
      <c r="B25" s="375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59" t="s">
        <v>2635</v>
      </c>
      <c r="B27" s="3756" t="s">
        <v>2616</v>
      </c>
      <c r="C27" s="3102" t="s">
        <v>2456</v>
      </c>
      <c r="D27" s="3103"/>
      <c r="E27" s="3104">
        <v>1</v>
      </c>
      <c r="F27" s="3105" t="s">
        <v>2457</v>
      </c>
      <c r="G27" s="3105"/>
    </row>
    <row r="28" spans="1:13" ht="19.5" customHeight="1">
      <c r="A28" s="3760"/>
      <c r="B28" s="3757"/>
      <c r="C28" s="3106" t="s">
        <v>2458</v>
      </c>
      <c r="D28" s="3107"/>
      <c r="E28" s="3108">
        <v>1</v>
      </c>
      <c r="F28" s="3105" t="s">
        <v>2459</v>
      </c>
      <c r="G28" s="3105"/>
    </row>
    <row r="29" spans="1:13" ht="19.5" customHeight="1">
      <c r="A29" s="3760"/>
      <c r="B29" s="3757"/>
      <c r="C29" s="3106" t="s">
        <v>2460</v>
      </c>
      <c r="D29" s="3107"/>
      <c r="E29" s="3108">
        <v>0.8</v>
      </c>
      <c r="F29" s="3105" t="s">
        <v>2461</v>
      </c>
      <c r="G29" s="3105"/>
    </row>
    <row r="30" spans="1:13" ht="19.5" customHeight="1">
      <c r="A30" s="3760"/>
      <c r="B30" s="3757"/>
      <c r="C30" s="3106" t="s">
        <v>2462</v>
      </c>
      <c r="D30" s="3107"/>
      <c r="E30" s="3108">
        <v>0.8</v>
      </c>
      <c r="F30" s="3105" t="s">
        <v>2463</v>
      </c>
      <c r="G30" s="3105"/>
    </row>
    <row r="31" spans="1:13" ht="19.5" customHeight="1">
      <c r="A31" s="3760"/>
      <c r="B31" s="3757"/>
      <c r="C31" s="3106" t="s">
        <v>2464</v>
      </c>
      <c r="D31" s="3107"/>
      <c r="E31" s="3108">
        <v>0.8</v>
      </c>
      <c r="F31" s="3105" t="s">
        <v>2465</v>
      </c>
      <c r="G31" s="3105"/>
    </row>
    <row r="32" spans="1:13" ht="19.5" customHeight="1">
      <c r="A32" s="3760"/>
      <c r="B32" s="3757"/>
      <c r="C32" s="3106" t="s">
        <v>2466</v>
      </c>
      <c r="D32" s="3107"/>
      <c r="E32" s="3108">
        <v>0.7</v>
      </c>
      <c r="F32" s="3105" t="s">
        <v>2467</v>
      </c>
      <c r="G32" s="3105"/>
    </row>
    <row r="33" spans="1:7" ht="19.5" customHeight="1">
      <c r="A33" s="3760"/>
      <c r="B33" s="3757"/>
      <c r="C33" s="3106" t="s">
        <v>2468</v>
      </c>
      <c r="D33" s="3107"/>
      <c r="E33" s="3108">
        <v>0.8</v>
      </c>
      <c r="F33" s="3105" t="s">
        <v>2469</v>
      </c>
      <c r="G33" s="3105"/>
    </row>
    <row r="34" spans="1:7" ht="19.5" customHeight="1">
      <c r="A34" s="3760"/>
      <c r="B34" s="3757"/>
      <c r="C34" s="3106" t="s">
        <v>2470</v>
      </c>
      <c r="D34" s="3107"/>
      <c r="E34" s="3108">
        <v>0.6</v>
      </c>
      <c r="F34" s="3105" t="s">
        <v>2471</v>
      </c>
      <c r="G34" s="3105"/>
    </row>
    <row r="35" spans="1:7" ht="19.5" customHeight="1">
      <c r="A35" s="3760"/>
      <c r="B35" s="3757"/>
      <c r="C35" s="3106" t="s">
        <v>2472</v>
      </c>
      <c r="D35" s="3107"/>
      <c r="E35" s="3108">
        <v>0.2</v>
      </c>
      <c r="F35" s="3105" t="s">
        <v>2473</v>
      </c>
      <c r="G35" s="3105"/>
    </row>
    <row r="36" spans="1:7" ht="19.5" customHeight="1">
      <c r="A36" s="3760"/>
      <c r="B36" s="3757"/>
      <c r="C36" s="3106" t="s">
        <v>2474</v>
      </c>
      <c r="D36" s="3107"/>
      <c r="E36" s="3108">
        <v>0.2</v>
      </c>
      <c r="F36" s="3105" t="s">
        <v>2475</v>
      </c>
      <c r="G36" s="3105"/>
    </row>
    <row r="37" spans="1:7" ht="19.5" customHeight="1">
      <c r="A37" s="3760"/>
      <c r="B37" s="3762" t="s">
        <v>2636</v>
      </c>
      <c r="C37" s="3106" t="s">
        <v>2476</v>
      </c>
      <c r="D37" s="3107"/>
      <c r="E37" s="3108">
        <v>0.6</v>
      </c>
      <c r="F37" s="3105" t="s">
        <v>2477</v>
      </c>
      <c r="G37" s="3105"/>
    </row>
    <row r="38" spans="1:7" ht="19.5" customHeight="1">
      <c r="A38" s="3760"/>
      <c r="B38" s="3757"/>
      <c r="C38" s="3106" t="s">
        <v>2478</v>
      </c>
      <c r="D38" s="3107"/>
      <c r="E38" s="3108">
        <v>0.6</v>
      </c>
      <c r="F38" s="3105" t="s">
        <v>2479</v>
      </c>
      <c r="G38" s="3105"/>
    </row>
    <row r="39" spans="1:7" ht="19.5" customHeight="1" thickBot="1">
      <c r="A39" s="3761"/>
      <c r="B39" s="375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3" t="s">
        <v>2614</v>
      </c>
      <c r="B41" s="3756" t="s">
        <v>2638</v>
      </c>
      <c r="C41" s="3102" t="s">
        <v>2483</v>
      </c>
      <c r="D41" s="3103"/>
      <c r="E41" s="3104">
        <v>1</v>
      </c>
      <c r="F41" s="3105" t="s">
        <v>2484</v>
      </c>
      <c r="G41" s="3105"/>
    </row>
    <row r="42" spans="1:7" ht="19.5" customHeight="1">
      <c r="A42" s="3764"/>
      <c r="B42" s="3757"/>
      <c r="C42" s="3106" t="s">
        <v>2485</v>
      </c>
      <c r="D42" s="3107"/>
      <c r="E42" s="3108">
        <v>1</v>
      </c>
      <c r="F42" s="3105" t="s">
        <v>2486</v>
      </c>
      <c r="G42" s="3105"/>
    </row>
    <row r="43" spans="1:7" ht="19.5" customHeight="1">
      <c r="A43" s="3764"/>
      <c r="B43" s="3766"/>
      <c r="C43" s="3106" t="s">
        <v>2487</v>
      </c>
      <c r="D43" s="3107"/>
      <c r="E43" s="3108">
        <v>1.5</v>
      </c>
      <c r="F43" s="3105" t="s">
        <v>2488</v>
      </c>
      <c r="G43" s="3105"/>
    </row>
    <row r="44" spans="1:7" ht="19.5" customHeight="1">
      <c r="A44" s="3764"/>
      <c r="B44" s="3117" t="s">
        <v>2639</v>
      </c>
      <c r="C44" s="3106" t="s">
        <v>2640</v>
      </c>
      <c r="D44" s="3107"/>
      <c r="E44" s="3108">
        <v>2</v>
      </c>
      <c r="F44" s="3105" t="s">
        <v>2489</v>
      </c>
      <c r="G44" s="3105"/>
    </row>
    <row r="45" spans="1:7" ht="19.5" customHeight="1">
      <c r="A45" s="3764"/>
      <c r="B45" s="3762" t="s">
        <v>2641</v>
      </c>
      <c r="C45" s="3106" t="s">
        <v>2490</v>
      </c>
      <c r="D45" s="3107"/>
      <c r="E45" s="3108">
        <v>1</v>
      </c>
      <c r="F45" s="3105" t="s">
        <v>2491</v>
      </c>
      <c r="G45" s="3105"/>
    </row>
    <row r="46" spans="1:7" ht="19.5" customHeight="1">
      <c r="A46" s="3764"/>
      <c r="B46" s="3757"/>
      <c r="C46" s="3106" t="s">
        <v>2492</v>
      </c>
      <c r="D46" s="3107"/>
      <c r="E46" s="3108">
        <v>1</v>
      </c>
      <c r="F46" s="3105" t="s">
        <v>2493</v>
      </c>
      <c r="G46" s="3105"/>
    </row>
    <row r="47" spans="1:7" ht="19.5" customHeight="1">
      <c r="A47" s="3764"/>
      <c r="B47" s="3757"/>
      <c r="C47" s="3106" t="s">
        <v>2494</v>
      </c>
      <c r="D47" s="3107"/>
      <c r="E47" s="3108">
        <v>1</v>
      </c>
      <c r="F47" s="3105" t="s">
        <v>2495</v>
      </c>
      <c r="G47" s="3105"/>
    </row>
    <row r="48" spans="1:7" ht="19.5" customHeight="1">
      <c r="A48" s="3764"/>
      <c r="B48" s="3757"/>
      <c r="C48" s="3106" t="s">
        <v>2496</v>
      </c>
      <c r="D48" s="3107"/>
      <c r="E48" s="3108">
        <v>1</v>
      </c>
      <c r="F48" s="3105" t="s">
        <v>2497</v>
      </c>
      <c r="G48" s="3105"/>
    </row>
    <row r="49" spans="1:7" ht="19.5" customHeight="1">
      <c r="A49" s="3764"/>
      <c r="B49" s="3757"/>
      <c r="C49" s="3106" t="s">
        <v>2498</v>
      </c>
      <c r="D49" s="3107"/>
      <c r="E49" s="3108">
        <v>1</v>
      </c>
      <c r="F49" s="3105" t="s">
        <v>2499</v>
      </c>
      <c r="G49" s="3105"/>
    </row>
    <row r="50" spans="1:7" ht="19.5" customHeight="1">
      <c r="A50" s="3764"/>
      <c r="B50" s="3757"/>
      <c r="C50" s="3106" t="s">
        <v>2500</v>
      </c>
      <c r="D50" s="3107"/>
      <c r="E50" s="3108">
        <v>1</v>
      </c>
      <c r="F50" s="3105" t="s">
        <v>2501</v>
      </c>
      <c r="G50" s="3105"/>
    </row>
    <row r="51" spans="1:7" ht="19.5" customHeight="1" thickBot="1">
      <c r="A51" s="3765"/>
      <c r="B51" s="375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2" t="s">
        <v>2655</v>
      </c>
      <c r="C73" s="3091" t="s">
        <v>2656</v>
      </c>
      <c r="D73" s="3091" t="s">
        <v>2657</v>
      </c>
      <c r="E73" s="3117">
        <v>0.2</v>
      </c>
      <c r="F73" s="3117">
        <v>25</v>
      </c>
    </row>
    <row r="74" spans="1:7" ht="24">
      <c r="A74" s="3117">
        <v>2</v>
      </c>
      <c r="B74" s="3757"/>
      <c r="C74" s="3091" t="s">
        <v>2658</v>
      </c>
      <c r="D74" s="3091" t="s">
        <v>2659</v>
      </c>
      <c r="E74" s="3117">
        <v>0.2</v>
      </c>
      <c r="F74" s="3117">
        <v>25</v>
      </c>
    </row>
    <row r="75" spans="1:7" ht="24">
      <c r="A75" s="3117">
        <v>3</v>
      </c>
      <c r="B75" s="3757"/>
      <c r="C75" s="3091" t="s">
        <v>2660</v>
      </c>
      <c r="D75" s="3091" t="s">
        <v>2661</v>
      </c>
      <c r="E75" s="3117">
        <v>0.2</v>
      </c>
      <c r="F75" s="3117">
        <v>25</v>
      </c>
    </row>
    <row r="76" spans="1:7" ht="13.5">
      <c r="A76" s="3117">
        <v>4</v>
      </c>
      <c r="B76" s="3757"/>
      <c r="C76" s="3091" t="s">
        <v>2662</v>
      </c>
      <c r="D76" s="3091" t="s">
        <v>2663</v>
      </c>
      <c r="E76" s="3117">
        <v>0.15</v>
      </c>
      <c r="F76" s="3117">
        <v>20</v>
      </c>
    </row>
    <row r="77" spans="1:7" ht="24">
      <c r="A77" s="3117">
        <v>5</v>
      </c>
      <c r="B77" s="3757"/>
      <c r="C77" s="3091" t="s">
        <v>2664</v>
      </c>
      <c r="D77" s="3091" t="s">
        <v>2665</v>
      </c>
      <c r="E77" s="3117">
        <v>0.15</v>
      </c>
      <c r="F77" s="3117">
        <v>20</v>
      </c>
    </row>
    <row r="78" spans="1:7" ht="24">
      <c r="A78" s="3117">
        <v>6</v>
      </c>
      <c r="B78" s="3757"/>
      <c r="C78" s="3091" t="s">
        <v>2666</v>
      </c>
      <c r="D78" s="3091" t="s">
        <v>2667</v>
      </c>
      <c r="E78" s="3117">
        <v>0.15</v>
      </c>
      <c r="F78" s="3117">
        <v>20</v>
      </c>
    </row>
    <row r="79" spans="1:7" ht="24">
      <c r="A79" s="3117">
        <v>7</v>
      </c>
      <c r="B79" s="3757"/>
      <c r="C79" s="3091" t="s">
        <v>2668</v>
      </c>
      <c r="D79" s="3091" t="s">
        <v>2669</v>
      </c>
      <c r="E79" s="3117">
        <v>0.15</v>
      </c>
      <c r="F79" s="3117">
        <v>20</v>
      </c>
    </row>
    <row r="80" spans="1:7" ht="24">
      <c r="A80" s="3117">
        <v>8</v>
      </c>
      <c r="B80" s="3757"/>
      <c r="C80" s="3091" t="s">
        <v>2670</v>
      </c>
      <c r="D80" s="3091" t="s">
        <v>2671</v>
      </c>
      <c r="E80" s="3117">
        <v>0.1</v>
      </c>
      <c r="F80" s="3117">
        <v>15</v>
      </c>
    </row>
    <row r="81" spans="1:6" ht="24">
      <c r="A81" s="3117">
        <v>9</v>
      </c>
      <c r="B81" s="3757"/>
      <c r="C81" s="3091" t="s">
        <v>2672</v>
      </c>
      <c r="D81" s="3091" t="s">
        <v>2673</v>
      </c>
      <c r="E81" s="3117">
        <v>0.1</v>
      </c>
      <c r="F81" s="3117">
        <v>15</v>
      </c>
    </row>
    <row r="82" spans="1:6" ht="24">
      <c r="A82" s="3117">
        <v>10</v>
      </c>
      <c r="B82" s="3757"/>
      <c r="C82" s="3091" t="s">
        <v>2674</v>
      </c>
      <c r="D82" s="3091" t="s">
        <v>2675</v>
      </c>
      <c r="E82" s="3117">
        <v>0.1</v>
      </c>
      <c r="F82" s="3117">
        <v>15</v>
      </c>
    </row>
    <row r="83" spans="1:6" ht="24">
      <c r="A83" s="3117">
        <v>11</v>
      </c>
      <c r="B83" s="3757"/>
      <c r="C83" s="3091" t="s">
        <v>2676</v>
      </c>
      <c r="D83" s="3091" t="s">
        <v>2677</v>
      </c>
      <c r="E83" s="3117">
        <v>0.1</v>
      </c>
      <c r="F83" s="3117">
        <v>15</v>
      </c>
    </row>
    <row r="84" spans="1:6" ht="24">
      <c r="A84" s="3117">
        <v>12</v>
      </c>
      <c r="B84" s="3757"/>
      <c r="C84" s="3091" t="s">
        <v>2678</v>
      </c>
      <c r="D84" s="3091" t="s">
        <v>2679</v>
      </c>
      <c r="E84" s="3117">
        <v>0.1</v>
      </c>
      <c r="F84" s="3117">
        <v>15</v>
      </c>
    </row>
    <row r="85" spans="1:6" ht="13.5">
      <c r="A85" s="3117">
        <v>13</v>
      </c>
      <c r="B85" s="3757"/>
      <c r="C85" s="3091" t="s">
        <v>2680</v>
      </c>
      <c r="D85" s="3091" t="s">
        <v>2681</v>
      </c>
      <c r="E85" s="3117">
        <v>0.1</v>
      </c>
      <c r="F85" s="3117">
        <v>15</v>
      </c>
    </row>
    <row r="86" spans="1:6" ht="13.5">
      <c r="A86" s="3117">
        <v>14</v>
      </c>
      <c r="B86" s="3757"/>
      <c r="C86" s="3091" t="s">
        <v>2682</v>
      </c>
      <c r="D86" s="3091" t="s">
        <v>2683</v>
      </c>
      <c r="E86" s="3117">
        <v>0.1</v>
      </c>
      <c r="F86" s="3117">
        <v>15</v>
      </c>
    </row>
    <row r="87" spans="1:6" ht="13.5">
      <c r="A87" s="3117">
        <v>15</v>
      </c>
      <c r="B87" s="3757"/>
      <c r="C87" s="3091" t="s">
        <v>2684</v>
      </c>
      <c r="D87" s="3091" t="s">
        <v>2685</v>
      </c>
      <c r="E87" s="3117">
        <v>0.1</v>
      </c>
      <c r="F87" s="3117">
        <v>15</v>
      </c>
    </row>
    <row r="88" spans="1:6" ht="24">
      <c r="A88" s="3117">
        <v>16</v>
      </c>
      <c r="B88" s="3757"/>
      <c r="C88" s="3091" t="s">
        <v>2686</v>
      </c>
      <c r="D88" s="3091" t="s">
        <v>2687</v>
      </c>
      <c r="E88" s="3117">
        <v>0.1</v>
      </c>
      <c r="F88" s="3117">
        <v>15</v>
      </c>
    </row>
    <row r="89" spans="1:6" ht="24">
      <c r="A89" s="3117">
        <v>17</v>
      </c>
      <c r="B89" s="3766"/>
      <c r="C89" s="3091" t="s">
        <v>2688</v>
      </c>
      <c r="D89" s="3091" t="s">
        <v>2689</v>
      </c>
      <c r="E89" s="3117">
        <v>0.1</v>
      </c>
      <c r="F89" s="3117">
        <v>15</v>
      </c>
    </row>
    <row r="90" spans="1:6" ht="13.5">
      <c r="A90" s="3117">
        <v>18</v>
      </c>
      <c r="B90" s="3762" t="s">
        <v>2690</v>
      </c>
      <c r="C90" s="3091" t="s">
        <v>2691</v>
      </c>
      <c r="D90" s="3091" t="s">
        <v>2692</v>
      </c>
      <c r="E90" s="3117">
        <v>0.2</v>
      </c>
      <c r="F90" s="3117">
        <v>25</v>
      </c>
    </row>
    <row r="91" spans="1:6" ht="24">
      <c r="A91" s="3117">
        <v>19</v>
      </c>
      <c r="B91" s="3757"/>
      <c r="C91" s="3091" t="s">
        <v>2693</v>
      </c>
      <c r="D91" s="3091" t="s">
        <v>2694</v>
      </c>
      <c r="E91" s="3117">
        <v>0.2</v>
      </c>
      <c r="F91" s="3117">
        <v>25</v>
      </c>
    </row>
    <row r="92" spans="1:6" ht="13.5">
      <c r="A92" s="3117">
        <v>20</v>
      </c>
      <c r="B92" s="3757"/>
      <c r="C92" s="3091" t="s">
        <v>2695</v>
      </c>
      <c r="D92" s="3091" t="s">
        <v>2696</v>
      </c>
      <c r="E92" s="3117">
        <v>0.15</v>
      </c>
      <c r="F92" s="3117">
        <v>20</v>
      </c>
    </row>
    <row r="93" spans="1:6" ht="13.5">
      <c r="A93" s="3117">
        <v>21</v>
      </c>
      <c r="B93" s="3757"/>
      <c r="C93" s="3091" t="s">
        <v>2697</v>
      </c>
      <c r="D93" s="3091" t="s">
        <v>2698</v>
      </c>
      <c r="E93" s="3117">
        <v>0.15</v>
      </c>
      <c r="F93" s="3117">
        <v>20</v>
      </c>
    </row>
    <row r="94" spans="1:6" ht="13.5">
      <c r="A94" s="3117">
        <v>22</v>
      </c>
      <c r="B94" s="3757"/>
      <c r="C94" s="3091" t="s">
        <v>2699</v>
      </c>
      <c r="D94" s="3091" t="s">
        <v>2700</v>
      </c>
      <c r="E94" s="3117">
        <v>0.15</v>
      </c>
      <c r="F94" s="3117">
        <v>20</v>
      </c>
    </row>
    <row r="95" spans="1:6" ht="36">
      <c r="A95" s="3117">
        <v>23</v>
      </c>
      <c r="B95" s="3757"/>
      <c r="C95" s="3091" t="s">
        <v>2701</v>
      </c>
      <c r="D95" s="3091" t="s">
        <v>2702</v>
      </c>
      <c r="E95" s="3117">
        <v>0.15</v>
      </c>
      <c r="F95" s="3117">
        <v>20</v>
      </c>
    </row>
    <row r="96" spans="1:6" ht="13.5">
      <c r="A96" s="3117">
        <v>24</v>
      </c>
      <c r="B96" s="3757"/>
      <c r="C96" s="3091" t="s">
        <v>2703</v>
      </c>
      <c r="D96" s="3091" t="s">
        <v>2704</v>
      </c>
      <c r="E96" s="3117">
        <v>0.1</v>
      </c>
      <c r="F96" s="3117">
        <v>15</v>
      </c>
    </row>
    <row r="97" spans="1:6" ht="13.5">
      <c r="A97" s="3117">
        <v>25</v>
      </c>
      <c r="B97" s="3757"/>
      <c r="C97" s="3091" t="s">
        <v>2705</v>
      </c>
      <c r="D97" s="3091" t="s">
        <v>2706</v>
      </c>
      <c r="E97" s="3117">
        <v>0.1</v>
      </c>
      <c r="F97" s="3117">
        <v>15</v>
      </c>
    </row>
    <row r="98" spans="1:6" ht="24">
      <c r="A98" s="3117">
        <v>26</v>
      </c>
      <c r="B98" s="3757"/>
      <c r="C98" s="3091" t="s">
        <v>2707</v>
      </c>
      <c r="D98" s="3091" t="s">
        <v>2708</v>
      </c>
      <c r="E98" s="3117">
        <v>0.1</v>
      </c>
      <c r="F98" s="3117">
        <v>15</v>
      </c>
    </row>
    <row r="99" spans="1:6" ht="24">
      <c r="A99" s="3117">
        <v>27</v>
      </c>
      <c r="B99" s="3757"/>
      <c r="C99" s="3091" t="s">
        <v>2709</v>
      </c>
      <c r="D99" s="3091" t="s">
        <v>2710</v>
      </c>
      <c r="E99" s="3117">
        <v>0.1</v>
      </c>
      <c r="F99" s="3117">
        <v>15</v>
      </c>
    </row>
    <row r="100" spans="1:6" ht="13.5">
      <c r="A100" s="3117">
        <v>28</v>
      </c>
      <c r="B100" s="3757"/>
      <c r="C100" s="3091" t="s">
        <v>2711</v>
      </c>
      <c r="D100" s="3091" t="s">
        <v>2712</v>
      </c>
      <c r="E100" s="3117">
        <v>0.1</v>
      </c>
      <c r="F100" s="3117">
        <v>15</v>
      </c>
    </row>
    <row r="101" spans="1:6" ht="13.5">
      <c r="A101" s="3117">
        <v>29</v>
      </c>
      <c r="B101" s="3757"/>
      <c r="C101" s="3091" t="s">
        <v>2713</v>
      </c>
      <c r="D101" s="3091" t="s">
        <v>2714</v>
      </c>
      <c r="E101" s="3117">
        <v>0.1</v>
      </c>
      <c r="F101" s="3117">
        <v>15</v>
      </c>
    </row>
    <row r="102" spans="1:6" ht="13.5">
      <c r="A102" s="3117">
        <v>30</v>
      </c>
      <c r="B102" s="3757"/>
      <c r="C102" s="3091" t="s">
        <v>2715</v>
      </c>
      <c r="D102" s="3091" t="s">
        <v>2716</v>
      </c>
      <c r="E102" s="3117">
        <v>0.1</v>
      </c>
      <c r="F102" s="3117">
        <v>15</v>
      </c>
    </row>
    <row r="103" spans="1:6" ht="24">
      <c r="A103" s="3117">
        <v>31</v>
      </c>
      <c r="B103" s="3757"/>
      <c r="C103" s="3091" t="s">
        <v>2717</v>
      </c>
      <c r="D103" s="3091" t="s">
        <v>2718</v>
      </c>
      <c r="E103" s="3117">
        <v>0.1</v>
      </c>
      <c r="F103" s="3117">
        <v>15</v>
      </c>
    </row>
    <row r="104" spans="1:6" ht="24">
      <c r="A104" s="3117">
        <v>32</v>
      </c>
      <c r="B104" s="3757"/>
      <c r="C104" s="3091" t="s">
        <v>2719</v>
      </c>
      <c r="D104" s="3091" t="s">
        <v>2720</v>
      </c>
      <c r="E104" s="3117">
        <v>0.1</v>
      </c>
      <c r="F104" s="3117">
        <v>15</v>
      </c>
    </row>
    <row r="105" spans="1:6" ht="24">
      <c r="A105" s="3117">
        <v>33</v>
      </c>
      <c r="B105" s="3757"/>
      <c r="C105" s="3091" t="s">
        <v>2721</v>
      </c>
      <c r="D105" s="3091" t="s">
        <v>2722</v>
      </c>
      <c r="E105" s="3117">
        <v>0.1</v>
      </c>
      <c r="F105" s="3117">
        <v>15</v>
      </c>
    </row>
    <row r="106" spans="1:6" ht="24">
      <c r="A106" s="3117">
        <v>34</v>
      </c>
      <c r="B106" s="3766"/>
      <c r="C106" s="3091" t="s">
        <v>2723</v>
      </c>
      <c r="D106" s="3091" t="s">
        <v>2724</v>
      </c>
      <c r="E106" s="3117">
        <v>0.1</v>
      </c>
      <c r="F106" s="3117">
        <v>15</v>
      </c>
    </row>
    <row r="107" spans="1:6" ht="24">
      <c r="A107" s="3117">
        <v>35</v>
      </c>
      <c r="B107" s="3762" t="s">
        <v>2725</v>
      </c>
      <c r="C107" s="3117" t="s">
        <v>2726</v>
      </c>
      <c r="D107" s="3091" t="s">
        <v>2727</v>
      </c>
      <c r="E107" s="3117">
        <v>0.15</v>
      </c>
      <c r="F107" s="3117">
        <v>20</v>
      </c>
    </row>
    <row r="108" spans="1:6" ht="13.5">
      <c r="A108" s="3117">
        <v>36</v>
      </c>
      <c r="B108" s="3757"/>
      <c r="C108" s="3117" t="s">
        <v>2728</v>
      </c>
      <c r="D108" s="3091" t="s">
        <v>2729</v>
      </c>
      <c r="E108" s="3117">
        <v>0.15</v>
      </c>
      <c r="F108" s="3117">
        <v>20</v>
      </c>
    </row>
    <row r="109" spans="1:6" ht="13.5">
      <c r="A109" s="3117">
        <v>37</v>
      </c>
      <c r="B109" s="3757"/>
      <c r="C109" s="3117" t="s">
        <v>2730</v>
      </c>
      <c r="D109" s="3091" t="s">
        <v>2731</v>
      </c>
      <c r="E109" s="3117">
        <v>0.15</v>
      </c>
      <c r="F109" s="3117">
        <v>20</v>
      </c>
    </row>
    <row r="110" spans="1:6" ht="13.5">
      <c r="A110" s="3117">
        <v>38</v>
      </c>
      <c r="B110" s="3757"/>
      <c r="C110" s="3117" t="s">
        <v>2732</v>
      </c>
      <c r="D110" s="3091" t="s">
        <v>2733</v>
      </c>
      <c r="E110" s="3117">
        <v>0.1</v>
      </c>
      <c r="F110" s="3117">
        <v>15</v>
      </c>
    </row>
    <row r="111" spans="1:6" ht="24">
      <c r="A111" s="3117">
        <v>39</v>
      </c>
      <c r="B111" s="3757"/>
      <c r="C111" s="3117" t="s">
        <v>2734</v>
      </c>
      <c r="D111" s="3091" t="s">
        <v>2735</v>
      </c>
      <c r="E111" s="3117">
        <v>0.1</v>
      </c>
      <c r="F111" s="3117">
        <v>15</v>
      </c>
    </row>
    <row r="112" spans="1:6" ht="24">
      <c r="A112" s="3117">
        <v>40</v>
      </c>
      <c r="B112" s="3766"/>
      <c r="C112" s="3117" t="s">
        <v>2736</v>
      </c>
      <c r="D112" s="3091" t="s">
        <v>2737</v>
      </c>
      <c r="E112" s="3117">
        <v>0.1</v>
      </c>
      <c r="F112" s="3117">
        <v>15</v>
      </c>
    </row>
    <row r="113" spans="1:6" ht="13.5">
      <c r="A113" s="3117">
        <v>41</v>
      </c>
      <c r="B113" s="3767" t="s">
        <v>2738</v>
      </c>
      <c r="C113" s="3117" t="s">
        <v>2739</v>
      </c>
      <c r="D113" s="3091" t="s">
        <v>2740</v>
      </c>
      <c r="E113" s="3117">
        <v>0.1</v>
      </c>
      <c r="F113" s="3117">
        <v>15</v>
      </c>
    </row>
    <row r="114" spans="1:6" ht="13.5">
      <c r="A114" s="3117">
        <v>42</v>
      </c>
      <c r="B114" s="3767"/>
      <c r="C114" s="3117" t="s">
        <v>2741</v>
      </c>
      <c r="D114" s="3091" t="s">
        <v>2742</v>
      </c>
      <c r="E114" s="3117">
        <v>0.1</v>
      </c>
      <c r="F114" s="3117">
        <v>15</v>
      </c>
    </row>
    <row r="115" spans="1:6" ht="24">
      <c r="A115" s="3117">
        <v>43</v>
      </c>
      <c r="B115" s="3767"/>
      <c r="C115" s="3117" t="s">
        <v>2743</v>
      </c>
      <c r="D115" s="3091" t="s">
        <v>2744</v>
      </c>
      <c r="E115" s="3117">
        <v>0.1</v>
      </c>
      <c r="F115" s="3117">
        <v>15</v>
      </c>
    </row>
    <row r="116" spans="1:6" ht="13.5">
      <c r="A116" s="3117">
        <v>44</v>
      </c>
      <c r="B116" s="3762" t="s">
        <v>2745</v>
      </c>
      <c r="C116" s="3117" t="s">
        <v>2746</v>
      </c>
      <c r="D116" s="3091" t="s">
        <v>2747</v>
      </c>
      <c r="E116" s="3117">
        <v>0.1</v>
      </c>
      <c r="F116" s="3117">
        <v>15</v>
      </c>
    </row>
    <row r="117" spans="1:6" ht="24">
      <c r="A117" s="3117">
        <v>45</v>
      </c>
      <c r="B117" s="3766"/>
      <c r="C117" s="3091" t="s">
        <v>2748</v>
      </c>
      <c r="D117" s="3091" t="s">
        <v>2749</v>
      </c>
      <c r="E117" s="3117">
        <v>0.1</v>
      </c>
      <c r="F117" s="3117">
        <v>15</v>
      </c>
    </row>
    <row r="118" spans="1:6" ht="24">
      <c r="A118" s="3117">
        <v>46</v>
      </c>
      <c r="B118" s="3762" t="s">
        <v>2750</v>
      </c>
      <c r="C118" s="3117" t="s">
        <v>2751</v>
      </c>
      <c r="D118" s="3091" t="s">
        <v>2752</v>
      </c>
      <c r="E118" s="3117">
        <v>0.1</v>
      </c>
      <c r="F118" s="3117">
        <v>15</v>
      </c>
    </row>
    <row r="119" spans="1:6" ht="24">
      <c r="A119" s="3117">
        <v>47</v>
      </c>
      <c r="B119" s="3766"/>
      <c r="C119" s="3117" t="s">
        <v>2753</v>
      </c>
      <c r="D119" s="3091" t="s">
        <v>2754</v>
      </c>
      <c r="E119" s="3117">
        <v>0.1</v>
      </c>
      <c r="F119" s="3117">
        <v>15</v>
      </c>
    </row>
    <row r="120" spans="1:6" ht="13.5">
      <c r="A120" s="3117">
        <v>48</v>
      </c>
      <c r="B120" s="3762" t="s">
        <v>2755</v>
      </c>
      <c r="C120" s="3117" t="s">
        <v>2756</v>
      </c>
      <c r="D120" s="3091" t="s">
        <v>2757</v>
      </c>
      <c r="E120" s="3117">
        <v>0.1</v>
      </c>
      <c r="F120" s="3117">
        <v>15</v>
      </c>
    </row>
    <row r="121" spans="1:6" ht="13.5">
      <c r="A121" s="3117">
        <v>49</v>
      </c>
      <c r="B121" s="3766"/>
      <c r="C121" s="3117" t="s">
        <v>2758</v>
      </c>
      <c r="D121" s="3091" t="s">
        <v>2759</v>
      </c>
      <c r="E121" s="3117">
        <v>0.1</v>
      </c>
      <c r="F121" s="3117">
        <v>15</v>
      </c>
    </row>
    <row r="122" spans="1:6" ht="24">
      <c r="A122" s="3117">
        <v>50</v>
      </c>
      <c r="B122" s="3767" t="s">
        <v>2760</v>
      </c>
      <c r="C122" s="3117" t="s">
        <v>2761</v>
      </c>
      <c r="D122" s="3091" t="s">
        <v>2762</v>
      </c>
      <c r="E122" s="3117">
        <v>0.1</v>
      </c>
      <c r="F122" s="3117">
        <v>15</v>
      </c>
    </row>
    <row r="123" spans="1:6" ht="24">
      <c r="A123" s="3117">
        <v>51</v>
      </c>
      <c r="B123" s="3767"/>
      <c r="C123" s="3117" t="s">
        <v>2763</v>
      </c>
      <c r="D123" s="3091" t="s">
        <v>2764</v>
      </c>
      <c r="E123" s="3117">
        <v>0.1</v>
      </c>
      <c r="F123" s="3117">
        <v>15</v>
      </c>
    </row>
    <row r="124" spans="1:6" ht="24">
      <c r="A124" s="3117">
        <v>52</v>
      </c>
      <c r="B124" s="3767" t="s">
        <v>2765</v>
      </c>
      <c r="C124" s="3117" t="s">
        <v>2766</v>
      </c>
      <c r="D124" s="3091" t="s">
        <v>2767</v>
      </c>
      <c r="E124" s="3117">
        <v>0.1</v>
      </c>
      <c r="F124" s="3117">
        <v>15</v>
      </c>
    </row>
    <row r="125" spans="1:6" ht="24">
      <c r="A125" s="3117">
        <v>53</v>
      </c>
      <c r="B125" s="376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7" t="s">
        <v>2773</v>
      </c>
      <c r="C127" s="3117" t="s">
        <v>2774</v>
      </c>
      <c r="D127" s="3091" t="s">
        <v>2775</v>
      </c>
      <c r="E127" s="3117">
        <v>0.1</v>
      </c>
      <c r="F127" s="3117">
        <v>15</v>
      </c>
    </row>
    <row r="128" spans="1:6" ht="13.5">
      <c r="A128" s="3117">
        <v>56</v>
      </c>
      <c r="B128" s="3767"/>
      <c r="C128" s="3117" t="s">
        <v>2776</v>
      </c>
      <c r="D128" s="3091" t="s">
        <v>2777</v>
      </c>
      <c r="E128" s="3117">
        <v>0.1</v>
      </c>
      <c r="F128" s="3117">
        <v>15</v>
      </c>
    </row>
    <row r="129" spans="1:6" ht="24">
      <c r="A129" s="3117">
        <v>57</v>
      </c>
      <c r="B129" s="3767"/>
      <c r="C129" s="3117" t="s">
        <v>2778</v>
      </c>
      <c r="D129" s="3091" t="s">
        <v>2779</v>
      </c>
      <c r="E129" s="3117">
        <v>0.1</v>
      </c>
      <c r="F129" s="3117">
        <v>15</v>
      </c>
    </row>
    <row r="130" spans="1:6" ht="24">
      <c r="A130" s="3117">
        <v>58</v>
      </c>
      <c r="B130" s="3767" t="s">
        <v>2780</v>
      </c>
      <c r="C130" s="3117" t="s">
        <v>2781</v>
      </c>
      <c r="D130" s="3091" t="s">
        <v>2782</v>
      </c>
      <c r="E130" s="3117">
        <v>0.1</v>
      </c>
      <c r="F130" s="3117">
        <v>15</v>
      </c>
    </row>
    <row r="131" spans="1:6" ht="13.5">
      <c r="A131" s="3117">
        <v>59</v>
      </c>
      <c r="B131" s="3767"/>
      <c r="C131" s="3117" t="s">
        <v>2783</v>
      </c>
      <c r="D131" s="3091" t="s">
        <v>2784</v>
      </c>
      <c r="E131" s="3117">
        <v>0.1</v>
      </c>
      <c r="F131" s="3117">
        <v>15</v>
      </c>
    </row>
    <row r="132" spans="1:6" ht="13.5">
      <c r="A132" s="3117">
        <v>60</v>
      </c>
      <c r="B132" s="3762" t="s">
        <v>2785</v>
      </c>
      <c r="C132" s="3117" t="s">
        <v>2786</v>
      </c>
      <c r="D132" s="3091" t="s">
        <v>2787</v>
      </c>
      <c r="E132" s="3117">
        <v>0.1</v>
      </c>
      <c r="F132" s="3117">
        <v>15</v>
      </c>
    </row>
    <row r="133" spans="1:6" ht="13.5">
      <c r="A133" s="3117">
        <v>61</v>
      </c>
      <c r="B133" s="376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7" t="s">
        <v>2793</v>
      </c>
      <c r="C135" s="3117" t="s">
        <v>2794</v>
      </c>
      <c r="D135" s="3091" t="s">
        <v>2795</v>
      </c>
      <c r="E135" s="3117">
        <v>0.1</v>
      </c>
      <c r="F135" s="3117">
        <v>15</v>
      </c>
    </row>
    <row r="136" spans="1:6" ht="13.5">
      <c r="A136" s="3117">
        <v>64</v>
      </c>
      <c r="B136" s="376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0.94710000000000005</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27932</v>
      </c>
      <c r="C2" s="2" t="s">
        <v>106</v>
      </c>
      <c r="D2" s="199"/>
      <c r="E2" s="199"/>
      <c r="F2" s="199"/>
      <c r="G2" s="199"/>
    </row>
    <row r="3" spans="1:7" s="200" customFormat="1" ht="18" customHeight="1" thickBot="1">
      <c r="A3" s="203" t="s">
        <v>58</v>
      </c>
      <c r="B3" s="204">
        <f ca="1">ROUND(B2*10000/'数据-汇总表'!E3,0)</f>
        <v>1388754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201.13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201.13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201.13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104</v>
      </c>
      <c r="D51" s="232"/>
      <c r="E51" s="232"/>
      <c r="F51" s="264"/>
      <c r="G51" s="234" t="s">
        <v>37</v>
      </c>
    </row>
    <row r="52" spans="1:7" s="208" customFormat="1" ht="16.5" thickBot="1">
      <c r="A52" s="265" t="s">
        <v>38</v>
      </c>
      <c r="B52" s="266"/>
      <c r="C52" s="267">
        <f ca="1">C31+C51</f>
        <v>27932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I50" sqref="I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c r="F1" s="1879" t="s">
        <v>3414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50000</v>
      </c>
      <c r="C3" s="354" t="s">
        <v>1768</v>
      </c>
      <c r="D3" s="353">
        <f>IF(D1="",'数据-汇总表'!E3,SUMIF('数据-汇总表'!$C19:$C33,D1,'数据-汇总表'!$E19:$E33))</f>
        <v>201.13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4"/>
      <c r="M5" s="2715"/>
      <c r="N5" s="2715"/>
      <c r="O5" s="2715"/>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45127</v>
      </c>
      <c r="D7" s="365">
        <v>100</v>
      </c>
      <c r="E7" s="366">
        <v>45108</v>
      </c>
      <c r="F7" s="367">
        <f>SUMIF(59:59,YEAR(E7)&amp;"-"&amp;MONTH(E7),60:60)</f>
        <v>100</v>
      </c>
      <c r="G7" s="366">
        <v>45108</v>
      </c>
      <c r="H7" s="365">
        <f>SUMIF(59:59,YEAR(G7)&amp;"-"&amp;MONTH(G7),60:60)</f>
        <v>100</v>
      </c>
      <c r="I7" s="366">
        <v>45108</v>
      </c>
      <c r="J7" s="365">
        <f>SUMIF(59:59,YEAR(I7)&amp;"-"&amp;MONTH(I7),60:60)</f>
        <v>100</v>
      </c>
      <c r="K7" s="560"/>
      <c r="L7" s="2716"/>
      <c r="M7" s="2717"/>
      <c r="N7" s="2717"/>
      <c r="O7" s="2717"/>
      <c r="P7" s="3718"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t="s">
        <v>3415</v>
      </c>
      <c r="D8" s="365">
        <v>100</v>
      </c>
      <c r="E8" s="368" t="s">
        <v>3415</v>
      </c>
      <c r="F8" s="367">
        <f>SUMIF(62:62,E8,63:63)-SUMIF(62:62,C8,63:63)+100</f>
        <v>100</v>
      </c>
      <c r="G8" s="368" t="s">
        <v>3415</v>
      </c>
      <c r="H8" s="365">
        <f>SUMIF(62:62,G8,63:63)-SUMIF(62:62,C8,63:63)+100</f>
        <v>100</v>
      </c>
      <c r="I8" s="368" t="s">
        <v>3415</v>
      </c>
      <c r="J8" s="365">
        <f>SUMIF(62:62,I8,63:63)-SUMIF(62:62,C8,63:63)+100</f>
        <v>100</v>
      </c>
      <c r="K8" s="560"/>
      <c r="L8" s="2716"/>
      <c r="M8" s="2717"/>
      <c r="N8" s="2717"/>
      <c r="O8" s="2717"/>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ht="15">
      <c r="A9" s="369" t="s">
        <v>1684</v>
      </c>
      <c r="B9" s="63" t="s">
        <v>1685</v>
      </c>
      <c r="C9" s="3788" t="s">
        <v>3416</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t="s">
        <v>3385</v>
      </c>
      <c r="D16" s="399"/>
      <c r="E16" s="1904" t="s">
        <v>3385</v>
      </c>
      <c r="F16" s="399"/>
      <c r="G16" s="1904" t="s">
        <v>3385</v>
      </c>
      <c r="H16" s="401"/>
      <c r="I16" s="1904" t="s">
        <v>3385</v>
      </c>
      <c r="J16" s="399"/>
      <c r="K16" s="564"/>
      <c r="L16" s="2721"/>
      <c r="M16" s="2715"/>
      <c r="N16" s="2715"/>
      <c r="O16" s="2715"/>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04" t="s">
        <v>3385</v>
      </c>
      <c r="D18" s="401"/>
      <c r="E18" s="1904" t="s">
        <v>3385</v>
      </c>
      <c r="F18" s="401"/>
      <c r="G18" s="1904" t="s">
        <v>3385</v>
      </c>
      <c r="H18" s="399"/>
      <c r="I18" s="1904" t="s">
        <v>3385</v>
      </c>
      <c r="J18" s="399"/>
      <c r="K18" s="564"/>
      <c r="L18" s="2721"/>
      <c r="M18" s="2715"/>
      <c r="N18" s="2715"/>
      <c r="O18" s="2715"/>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t="s">
        <v>3385</v>
      </c>
      <c r="D20" s="399"/>
      <c r="E20" s="1904" t="s">
        <v>3385</v>
      </c>
      <c r="F20" s="399"/>
      <c r="G20" s="1904" t="s">
        <v>3385</v>
      </c>
      <c r="H20" s="399"/>
      <c r="I20" s="1904" t="s">
        <v>3385</v>
      </c>
      <c r="J20" s="399"/>
      <c r="K20" s="564"/>
      <c r="L20" s="2721"/>
      <c r="M20" s="2715"/>
      <c r="N20" s="2715"/>
      <c r="O20" s="2715"/>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04" t="s">
        <v>3385</v>
      </c>
      <c r="D22" s="399"/>
      <c r="E22" s="1904" t="s">
        <v>3385</v>
      </c>
      <c r="F22" s="399"/>
      <c r="G22" s="1904" t="s">
        <v>3385</v>
      </c>
      <c r="H22" s="399"/>
      <c r="I22" s="1904" t="s">
        <v>3385</v>
      </c>
      <c r="J22" s="399"/>
      <c r="K22" s="1130"/>
      <c r="L22" s="2721"/>
      <c r="M22" s="2715"/>
      <c r="N22" s="2715"/>
      <c r="O22" s="2715"/>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t="s">
        <v>3385</v>
      </c>
      <c r="D24" s="399"/>
      <c r="E24" s="1904" t="s">
        <v>3385</v>
      </c>
      <c r="F24" s="399"/>
      <c r="G24" s="1904" t="s">
        <v>3385</v>
      </c>
      <c r="H24" s="399"/>
      <c r="I24" s="1904" t="s">
        <v>3385</v>
      </c>
      <c r="J24" s="399"/>
      <c r="K24" s="564"/>
      <c r="L24" s="2721"/>
      <c r="M24" s="2715"/>
      <c r="N24" s="2715"/>
      <c r="O24" s="2715"/>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v>101.99</v>
      </c>
      <c r="D34" s="127">
        <v>100</v>
      </c>
      <c r="E34" s="381">
        <v>100</v>
      </c>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f>'数据-取费表'!N6</f>
        <v>0.8</v>
      </c>
      <c r="D37" s="386">
        <v>100</v>
      </c>
      <c r="E37" s="425">
        <v>0.75</v>
      </c>
      <c r="F37" s="412">
        <f>LOOKUP(E37,111:111,112:112)-LOOKUP(C37,111:111,112:112)+100</f>
        <v>100</v>
      </c>
      <c r="G37" s="425">
        <v>0.75</v>
      </c>
      <c r="H37" s="412">
        <f>LOOKUP(G37,111:111,112:112)-LOOKUP(C37,111:111,112:112)+100</f>
        <v>100</v>
      </c>
      <c r="I37" s="425">
        <v>0.75</v>
      </c>
      <c r="J37" s="386">
        <f>LOOKUP(I37,111:111,112:112)-LOOKUP(C37,111:111,112:112)+100</f>
        <v>100</v>
      </c>
      <c r="K37" s="561"/>
      <c r="L37" s="2721"/>
      <c r="M37" s="2715"/>
      <c r="N37" s="2715"/>
      <c r="O37" s="2715"/>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50000</v>
      </c>
      <c r="F48" s="1157"/>
      <c r="G48" s="1158">
        <v>50000</v>
      </c>
      <c r="H48" s="1159"/>
      <c r="I48" s="1156">
        <v>50000</v>
      </c>
      <c r="J48" s="436"/>
      <c r="K48" s="714"/>
      <c r="L48" s="2723"/>
      <c r="M48" s="2715"/>
      <c r="N48" s="2715"/>
      <c r="O48" s="2715"/>
      <c r="P48" s="3678" t="str">
        <f>A48</f>
        <v>成交单价（元/平方米）</v>
      </c>
      <c r="Q48" s="3696"/>
      <c r="R48" s="3697">
        <f>E48</f>
        <v>50000</v>
      </c>
      <c r="S48" s="3697"/>
      <c r="T48" s="3697">
        <f>G48</f>
        <v>50000</v>
      </c>
      <c r="U48" s="3697"/>
      <c r="V48" s="3697">
        <f>I48</f>
        <v>50000</v>
      </c>
      <c r="W48" s="3697"/>
      <c r="X48" s="397"/>
      <c r="Y48" s="712"/>
      <c r="Z48" s="397"/>
      <c r="AA48" s="397"/>
      <c r="AB48" s="397"/>
      <c r="AC48" s="578"/>
    </row>
    <row r="49" spans="1:29" ht="15.75" thickBot="1">
      <c r="A49" s="437" t="s">
        <v>1793</v>
      </c>
      <c r="B49" s="438"/>
      <c r="C49" s="1160">
        <f>R50</f>
        <v>50000</v>
      </c>
      <c r="D49" s="2316" t="s">
        <v>2138</v>
      </c>
      <c r="E49" s="1161">
        <f>R49</f>
        <v>50000</v>
      </c>
      <c r="F49" s="2317"/>
      <c r="G49" s="1160">
        <f>T49</f>
        <v>50000</v>
      </c>
      <c r="H49" s="2317"/>
      <c r="I49" s="1161">
        <f>V49</f>
        <v>50000</v>
      </c>
      <c r="J49" s="2317"/>
      <c r="K49" s="2319">
        <f>F49+H49+J49</f>
        <v>0</v>
      </c>
      <c r="L49" s="2723"/>
      <c r="M49" s="2715"/>
      <c r="N49" s="2715"/>
      <c r="O49" s="2715"/>
      <c r="P49" s="3678" t="str">
        <f>A49</f>
        <v>比较价值（元/平方米）</v>
      </c>
      <c r="Q49" s="3696"/>
      <c r="R49" s="3697">
        <f>IF(F1="售价",ROUND(PRODUCT(R48,AA7:AA47),0),ROUND(PRODUCT(R48,AA7:AA47),1))</f>
        <v>50000</v>
      </c>
      <c r="S49" s="3697"/>
      <c r="T49" s="3697">
        <f>IF(F1="售价",ROUND(PRODUCT(T48,AB7:AB47),0),ROUND(PRODUCT(T48,AB7:AB47),1))</f>
        <v>50000</v>
      </c>
      <c r="U49" s="3697"/>
      <c r="V49" s="3697">
        <f>IF(F1="售价",ROUND(PRODUCT(V48,AC7:AC47),0),ROUND(PRODUCT(V48,AC7:AC47),1))</f>
        <v>50000</v>
      </c>
      <c r="W49" s="3697"/>
      <c r="X49" s="397"/>
      <c r="Y49" s="397"/>
      <c r="Z49" s="397"/>
      <c r="AA49" s="397"/>
      <c r="AB49" s="397"/>
      <c r="AC49" s="578"/>
    </row>
    <row r="50" spans="1:29" ht="15.75" thickBot="1">
      <c r="A50" s="441" t="s">
        <v>1794</v>
      </c>
      <c r="B50" s="442"/>
      <c r="C50" s="1163">
        <f>R50</f>
        <v>50000</v>
      </c>
      <c r="D50" s="1163"/>
      <c r="E50" s="1163"/>
      <c r="F50" s="1163"/>
      <c r="G50" s="1163"/>
      <c r="H50" s="1163"/>
      <c r="I50" s="1163"/>
      <c r="J50" s="443"/>
      <c r="K50" s="715"/>
      <c r="L50" s="2723"/>
      <c r="M50" s="2715"/>
      <c r="N50" s="2715"/>
      <c r="O50" s="2715"/>
      <c r="P50" s="3719" t="str">
        <f>A50</f>
        <v>估价对象XX用房的比较价值（楼面单价，元/平方米）</v>
      </c>
      <c r="Q50" s="3720"/>
      <c r="R50" s="3721">
        <f>IF(F1="售价",ROUND(IF(D49="简单平均",AVERAGE(R49:V49),R49*F49+T49*H49+V49*J49),0),ROUND(IF(D49="简单平均",AVERAGE(R49:V49),R49*F49+T49*H49+V49*J49),1))</f>
        <v>50000</v>
      </c>
      <c r="S50" s="3721"/>
      <c r="T50" s="3721"/>
      <c r="U50" s="3721"/>
      <c r="V50" s="3721"/>
      <c r="W50" s="372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789"/>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800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f>C105-1</f>
        <v>99</v>
      </c>
      <c r="E105" s="485">
        <f t="shared" ref="E105:F105" si="24">D105-1</f>
        <v>98</v>
      </c>
      <c r="F105" s="485">
        <f t="shared" si="24"/>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905</v>
      </c>
      <c r="E5" s="1491"/>
    </row>
    <row r="6" spans="1:5" ht="15.75">
      <c r="A6" s="1491"/>
      <c r="B6" s="3451"/>
      <c r="C6" s="1494" t="s">
        <v>911</v>
      </c>
      <c r="D6" s="850" t="str">
        <f ca="1">NUMBERSTRING(INT(D5*10000),2)&amp;"元整"</f>
        <v>玖佰零伍万元整</v>
      </c>
      <c r="E6" s="1491"/>
    </row>
    <row r="7" spans="1:5" ht="15.75">
      <c r="A7" s="1491"/>
      <c r="B7" s="3456"/>
      <c r="C7" s="1495" t="s">
        <v>912</v>
      </c>
      <c r="D7" s="851">
        <f ca="1">结果表!H102</f>
        <v>44996</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905</v>
      </c>
      <c r="E13" s="1491"/>
    </row>
    <row r="14" spans="1:5" ht="15.75">
      <c r="A14" s="1491"/>
      <c r="B14" s="3451"/>
      <c r="C14" s="1494" t="s">
        <v>911</v>
      </c>
      <c r="D14" s="850" t="str">
        <f ca="1">NUMBERSTRING(INT(D13*10000),2)&amp;"元整"</f>
        <v>玖佰零伍万元整</v>
      </c>
      <c r="E14" s="1491"/>
    </row>
    <row r="15" spans="1:5" ht="15">
      <c r="A15" s="1491"/>
      <c r="B15" s="3456"/>
      <c r="C15" s="1495" t="s">
        <v>921</v>
      </c>
      <c r="D15" s="859">
        <f ca="1">结果表!H108</f>
        <v>44996</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0" t="s">
        <v>2845</v>
      </c>
      <c r="B1" s="3770"/>
      <c r="C1" s="3770"/>
      <c r="D1" s="3770"/>
      <c r="E1" s="3770"/>
      <c r="F1" s="3770"/>
      <c r="G1" s="3771"/>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68"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69"/>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2" t="s">
        <v>3187</v>
      </c>
      <c r="B1" s="3772"/>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3" t="s">
        <v>3238</v>
      </c>
      <c r="B1" s="3773"/>
      <c r="C1" s="3773"/>
      <c r="D1" s="3773"/>
      <c r="E1" s="3773"/>
      <c r="F1" s="3774"/>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45127</v>
      </c>
      <c r="B1" s="3209" t="s">
        <v>2844</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75" t="s">
        <v>2832</v>
      </c>
      <c r="S21" s="3776"/>
      <c r="T21" s="3776"/>
      <c r="U21" s="3776"/>
      <c r="V21" s="3776"/>
      <c r="W21" s="3776"/>
      <c r="X21" s="3164"/>
      <c r="Y21" s="3775" t="s">
        <v>2833</v>
      </c>
      <c r="Z21" s="3776"/>
      <c r="AA21" s="3776"/>
      <c r="AB21" s="3776"/>
      <c r="AC21" s="3776"/>
      <c r="AD21" s="3776"/>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45127</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201.13</v>
      </c>
      <c r="C4" s="854">
        <f>项目基本情况!C18</f>
        <v>0</v>
      </c>
      <c r="D4" s="854">
        <f ca="1">结果表!D118</f>
        <v>813</v>
      </c>
      <c r="E4" s="854">
        <f ca="1">结果表!E118</f>
        <v>40422</v>
      </c>
      <c r="F4" s="854">
        <f ca="1">结果表!F118</f>
        <v>92</v>
      </c>
      <c r="G4" s="854">
        <f ca="1">结果表!G118</f>
        <v>4574</v>
      </c>
      <c r="H4" s="854">
        <f ca="1">结果表!H118</f>
        <v>905</v>
      </c>
      <c r="I4" s="854">
        <f ca="1">结果表!I118</f>
        <v>44996</v>
      </c>
    </row>
    <row r="5" spans="1:9" ht="30" customHeight="1">
      <c r="A5" s="3462" t="s">
        <v>927</v>
      </c>
      <c r="B5" s="3462"/>
      <c r="C5" s="3462"/>
      <c r="D5" s="3462" t="str">
        <f ca="1">结果表!D119</f>
        <v>捌佰壹拾叁万元整</v>
      </c>
      <c r="E5" s="3462"/>
      <c r="F5" s="3462" t="str">
        <f ca="1">结果表!F119</f>
        <v>玖拾贰万元整</v>
      </c>
      <c r="G5" s="3462"/>
      <c r="H5" s="3462" t="str">
        <f ca="1">结果表!H119</f>
        <v>玖佰零伍万元整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905</v>
      </c>
      <c r="E8" s="3463"/>
      <c r="F8" s="3463"/>
      <c r="G8" s="3463"/>
      <c r="H8" s="3463"/>
      <c r="I8" s="3463"/>
    </row>
    <row r="9" spans="1:9" ht="15">
      <c r="A9" s="3462" t="s">
        <v>927</v>
      </c>
      <c r="B9" s="3462"/>
      <c r="C9" s="3462"/>
      <c r="D9" s="3462" t="str">
        <f ca="1">结果表!D123</f>
        <v>玖佰零伍万元整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45127</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2441</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2"/>
      <c r="E18" s="3488" t="s">
        <v>2162</v>
      </c>
      <c r="F18" s="3487"/>
      <c r="G18" s="348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2023-07-20T09:12:24Z</dcterms:modified>
</cp:coreProperties>
</file>