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66" i="33" l="1"/>
  <c r="F66" i="33" s="1"/>
  <c r="G66" i="33" s="1"/>
  <c r="D66" i="33"/>
  <c r="AM6" i="1" l="1"/>
  <c r="B14" i="74"/>
  <c r="E104" i="33" l="1"/>
  <c r="F104" i="33" s="1"/>
  <c r="G104" i="33" s="1"/>
  <c r="H104" i="33" s="1"/>
  <c r="I36" i="33"/>
  <c r="G36" i="33"/>
  <c r="E36" i="33"/>
  <c r="C33" i="33"/>
  <c r="D104" i="33"/>
  <c r="I47" i="33" l="1"/>
  <c r="C36" i="33"/>
  <c r="J49" i="67"/>
  <c r="Y6" i="1"/>
  <c r="B21" i="1" l="1"/>
  <c r="N6" i="1"/>
  <c r="N20" i="1"/>
  <c r="N22" i="1" s="1"/>
  <c r="F19" i="6" l="1"/>
  <c r="D3" i="4"/>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S37" i="33" s="1"/>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79" i="43"/>
  <c r="C18" i="20"/>
  <c r="B94" i="43" s="1"/>
  <c r="B73" i="43"/>
  <c r="C17" i="20"/>
  <c r="B61" i="43"/>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S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32" i="33"/>
  <c r="AA32" i="33" s="1"/>
  <c r="J19" i="33"/>
  <c r="W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U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123"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AC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U41" i="33" s="1"/>
  <c r="F121" i="33"/>
  <c r="G121" i="33"/>
  <c r="H121" i="33"/>
  <c r="I121" i="33"/>
  <c r="J121" i="33"/>
  <c r="K121" i="33"/>
  <c r="L121" i="33"/>
  <c r="M121" i="33"/>
  <c r="J35" i="33"/>
  <c r="W35" i="33" s="1"/>
  <c r="J32" i="33"/>
  <c r="W32" i="33" s="1"/>
  <c r="S46" i="33"/>
  <c r="J23" i="33"/>
  <c r="AC23" i="33" s="1"/>
  <c r="H23" i="33"/>
  <c r="AB23" i="33" s="1"/>
  <c r="F19" i="33"/>
  <c r="AA19" i="33" s="1"/>
  <c r="J17" i="33"/>
  <c r="W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K1" i="12"/>
  <c r="E19" i="69"/>
  <c r="E19" i="68"/>
  <c r="E19" i="11"/>
  <c r="E1" i="73"/>
  <c r="G22" i="69"/>
  <c r="G22" i="68"/>
  <c r="G26" i="12"/>
  <c r="G22" i="11"/>
  <c r="C6" i="43"/>
  <c r="B19" i="53"/>
  <c r="B37" i="72" s="1"/>
  <c r="C7" i="33"/>
  <c r="G23" i="43"/>
  <c r="C23" i="43" s="1"/>
  <c r="A4" i="51"/>
  <c r="B6" i="72" s="1"/>
  <c r="L20" i="6"/>
  <c r="K11" i="1"/>
  <c r="M11" i="1" s="1"/>
  <c r="O11" i="1" s="1"/>
  <c r="B9" i="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8"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F23" i="33"/>
  <c r="AA23" i="33" s="1"/>
  <c r="H19" i="33"/>
  <c r="AB19" i="33" s="1"/>
  <c r="H17" i="33"/>
  <c r="U17" i="33" s="1"/>
  <c r="F17" i="33"/>
  <c r="AA17" i="33" s="1"/>
  <c r="S37" i="21"/>
  <c r="AA23" i="21"/>
  <c r="AB15" i="21"/>
  <c r="J23" i="21"/>
  <c r="F85" i="21"/>
  <c r="G85" i="21"/>
  <c r="H23" i="21"/>
  <c r="S13" i="21"/>
  <c r="D6" i="52"/>
  <c r="E539" i="3"/>
  <c r="E205" i="3"/>
  <c r="E165" i="3"/>
  <c r="E536" i="3"/>
  <c r="E296" i="3"/>
  <c r="E244" i="3"/>
  <c r="E148" i="3"/>
  <c r="E140" i="3"/>
  <c r="E149" i="3"/>
  <c r="E212" i="3"/>
  <c r="E197" i="3"/>
  <c r="E167" i="3"/>
  <c r="E199" i="3"/>
  <c r="E173" i="3"/>
  <c r="E141" i="3"/>
  <c r="E286" i="3"/>
  <c r="E369" i="3"/>
  <c r="E312" i="3"/>
  <c r="E575" i="3"/>
  <c r="E525" i="3"/>
  <c r="AD6" i="3"/>
  <c r="E499" i="3"/>
  <c r="E534" i="3"/>
  <c r="E542" i="3"/>
  <c r="R6" i="3"/>
  <c r="T6" i="3"/>
  <c r="E552" i="3"/>
  <c r="E502" i="3"/>
  <c r="E405" i="3"/>
  <c r="E421" i="3"/>
  <c r="E442" i="3"/>
  <c r="E456" i="3"/>
  <c r="E464" i="3"/>
  <c r="E466" i="3"/>
  <c r="E469" i="3"/>
  <c r="E487" i="3"/>
  <c r="E541" i="3"/>
  <c r="E512" i="3"/>
  <c r="E398" i="3"/>
  <c r="E430" i="3"/>
  <c r="E408" i="3"/>
  <c r="E416" i="3"/>
  <c r="E449" i="3"/>
  <c r="E451" i="3"/>
  <c r="E459" i="3"/>
  <c r="E255" i="3"/>
  <c r="E360" i="3"/>
  <c r="E374" i="3"/>
  <c r="I3" i="6"/>
  <c r="E556" i="3"/>
  <c r="E566" i="3"/>
  <c r="AP6" i="3"/>
  <c r="E497" i="3"/>
  <c r="E500" i="3"/>
  <c r="E554" i="3"/>
  <c r="E13" i="3"/>
  <c r="E582" i="3"/>
  <c r="E517" i="3"/>
  <c r="E494" i="3"/>
  <c r="E413" i="3"/>
  <c r="E435" i="3"/>
  <c r="E452" i="3"/>
  <c r="E460" i="3"/>
  <c r="E491" i="3"/>
  <c r="E470" i="3"/>
  <c r="E520" i="3"/>
  <c r="E417" i="3"/>
  <c r="E420" i="3"/>
  <c r="E436" i="3"/>
  <c r="E479" i="3"/>
  <c r="E26" i="3"/>
  <c r="E39" i="3"/>
  <c r="E56" i="3"/>
  <c r="E104" i="3"/>
  <c r="E90" i="3"/>
  <c r="E37" i="3"/>
  <c r="E41" i="3"/>
  <c r="E57" i="3"/>
  <c r="E95" i="3"/>
  <c r="E115" i="3"/>
  <c r="E131" i="3"/>
  <c r="E152" i="3"/>
  <c r="E198" i="3"/>
  <c r="E187" i="3"/>
  <c r="E132" i="3"/>
  <c r="E139" i="3"/>
  <c r="E155" i="3"/>
  <c r="E192" i="3"/>
  <c r="E225" i="3"/>
  <c r="E240" i="3"/>
  <c r="E258" i="3"/>
  <c r="E281" i="3"/>
  <c r="E297" i="3"/>
  <c r="E241" i="3"/>
  <c r="E243" i="3"/>
  <c r="E259" i="3"/>
  <c r="E292" i="3"/>
  <c r="E332" i="3"/>
  <c r="E348" i="3"/>
  <c r="E363" i="3"/>
  <c r="E391" i="3"/>
  <c r="E378" i="3"/>
  <c r="E349" i="3"/>
  <c r="E356" i="3"/>
  <c r="E375" i="3"/>
  <c r="E389" i="3"/>
  <c r="AL6" i="3"/>
  <c r="E504" i="3"/>
  <c r="E544" i="3"/>
  <c r="E42" i="3"/>
  <c r="E58" i="3"/>
  <c r="E76" i="3"/>
  <c r="E94" i="3"/>
  <c r="E110" i="3"/>
  <c r="E59" i="3"/>
  <c r="E75" i="3"/>
  <c r="E488" i="3"/>
  <c r="E409" i="3"/>
  <c r="E428" i="3"/>
  <c r="E462" i="3"/>
  <c r="E484" i="3"/>
  <c r="E482" i="3"/>
  <c r="E521" i="3"/>
  <c r="E425" i="3"/>
  <c r="E412" i="3"/>
  <c r="E446" i="3"/>
  <c r="E467" i="3"/>
  <c r="E18" i="3"/>
  <c r="E47" i="3"/>
  <c r="E64" i="3"/>
  <c r="E96" i="3"/>
  <c r="E98" i="3"/>
  <c r="E46" i="3"/>
  <c r="E78" i="3"/>
  <c r="E65" i="3"/>
  <c r="E103" i="3"/>
  <c r="E129" i="3"/>
  <c r="E138" i="3"/>
  <c r="E160" i="3"/>
  <c r="E190" i="3"/>
  <c r="E195" i="3"/>
  <c r="E142" i="3"/>
  <c r="E174" i="3"/>
  <c r="E163" i="3"/>
  <c r="E200" i="3"/>
  <c r="E220" i="3"/>
  <c r="E248" i="3"/>
  <c r="E267" i="3"/>
  <c r="E275" i="3"/>
  <c r="E209" i="3"/>
  <c r="E249" i="3"/>
  <c r="E235" i="3"/>
  <c r="E266" i="3"/>
  <c r="E300" i="3"/>
  <c r="E324" i="3"/>
  <c r="E307" i="3"/>
  <c r="E371" i="3"/>
  <c r="E383" i="3"/>
  <c r="E386" i="3"/>
  <c r="E310" i="3"/>
  <c r="E342" i="3"/>
  <c r="E354" i="3"/>
  <c r="E492" i="3"/>
  <c r="E522" i="3"/>
  <c r="E584"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8" i="76"/>
  <c r="F7" i="73"/>
  <c r="D4" i="73"/>
  <c r="F20" i="31"/>
  <c r="D3" i="73"/>
  <c r="B13" i="76"/>
  <c r="E11" i="76"/>
  <c r="F5" i="73"/>
  <c r="D5" i="73"/>
  <c r="E10" i="76"/>
  <c r="E2" i="68"/>
  <c r="AO13" i="1"/>
  <c r="E2" i="69"/>
  <c r="B12" i="76"/>
  <c r="B9" i="76"/>
  <c r="B11" i="76"/>
  <c r="F6" i="73"/>
  <c r="B10" i="76"/>
  <c r="D6" i="73"/>
  <c r="B7" i="76"/>
  <c r="E13" i="76"/>
  <c r="D7" i="73"/>
  <c r="E7" i="76"/>
  <c r="F3" i="73"/>
  <c r="E8" i="76"/>
  <c r="E9" i="76"/>
  <c r="E12" i="76"/>
  <c r="F4" i="73"/>
  <c r="C40" i="68" l="1"/>
  <c r="C40" i="69"/>
  <c r="S33" i="33"/>
  <c r="C21" i="68"/>
  <c r="D22" i="15"/>
  <c r="D23" i="15"/>
  <c r="U33" i="33"/>
  <c r="F42" i="33"/>
  <c r="AA42" i="33" s="1"/>
  <c r="H42" i="33"/>
  <c r="AB42" i="33" s="1"/>
  <c r="J42" i="33"/>
  <c r="AC42" i="33" s="1"/>
  <c r="G123" i="33"/>
  <c r="H123" i="33" s="1"/>
  <c r="I123" i="33" s="1"/>
  <c r="J123" i="33" s="1"/>
  <c r="K123" i="33" s="1"/>
  <c r="L123" i="33" s="1"/>
  <c r="M123" i="33" s="1"/>
  <c r="S39" i="33"/>
  <c r="F36" i="33"/>
  <c r="AA36" i="33" s="1"/>
  <c r="G111" i="33"/>
  <c r="H111" i="33" s="1"/>
  <c r="I111" i="33" s="1"/>
  <c r="J111" i="33" s="1"/>
  <c r="K111" i="33" s="1"/>
  <c r="L111" i="33" s="1"/>
  <c r="M111" i="33" s="1"/>
  <c r="AC43" i="33"/>
  <c r="AB41" i="33"/>
  <c r="S43" i="33"/>
  <c r="S38" i="33"/>
  <c r="AA34" i="33"/>
  <c r="S41" i="33"/>
  <c r="U43" i="33"/>
  <c r="U39" i="33"/>
  <c r="AA37" i="33"/>
  <c r="S32" i="33"/>
  <c r="H27" i="33"/>
  <c r="AB27" i="33" s="1"/>
  <c r="J27" i="33"/>
  <c r="W27" i="33" s="1"/>
  <c r="F91" i="33"/>
  <c r="G91" i="33" s="1"/>
  <c r="H91" i="33" s="1"/>
  <c r="I91" i="33" s="1"/>
  <c r="J91" i="33" s="1"/>
  <c r="K91" i="33" s="1"/>
  <c r="L91" i="33" s="1"/>
  <c r="M91" i="33" s="1"/>
  <c r="F27" i="33"/>
  <c r="AA27" i="33" s="1"/>
  <c r="AC28" i="33"/>
  <c r="AC27" i="33"/>
  <c r="W26" i="33"/>
  <c r="F25" i="33"/>
  <c r="S25" i="33" s="1"/>
  <c r="J25" i="33"/>
  <c r="AC25" i="33" s="1"/>
  <c r="G87" i="33"/>
  <c r="H87" i="33" s="1"/>
  <c r="I87" i="33" s="1"/>
  <c r="J87" i="33" s="1"/>
  <c r="K87" i="33" s="1"/>
  <c r="L87" i="33" s="1"/>
  <c r="M87" i="33" s="1"/>
  <c r="H25" i="33"/>
  <c r="U25" i="33" s="1"/>
  <c r="W39" i="33"/>
  <c r="AC37" i="33"/>
  <c r="AB37" i="33"/>
  <c r="U35" i="33"/>
  <c r="AA35" i="33"/>
  <c r="AC35" i="33"/>
  <c r="AC32" i="33"/>
  <c r="U32" i="33"/>
  <c r="U34" i="33"/>
  <c r="W34" i="33"/>
  <c r="U26" i="33"/>
  <c r="AA26" i="33"/>
  <c r="U27" i="33"/>
  <c r="AA25" i="33"/>
  <c r="AA21" i="33"/>
  <c r="AB21" i="33"/>
  <c r="S23" i="33"/>
  <c r="W23" i="33"/>
  <c r="U23" i="33"/>
  <c r="S19" i="33"/>
  <c r="AC19" i="33"/>
  <c r="U19" i="33"/>
  <c r="AB17" i="33"/>
  <c r="AC17" i="33"/>
  <c r="S17" i="33"/>
  <c r="J15" i="33"/>
  <c r="H15" i="33"/>
  <c r="U15" i="33" s="1"/>
  <c r="F77" i="33"/>
  <c r="G77" i="33" s="1"/>
  <c r="F15" i="33"/>
  <c r="B75" i="43"/>
  <c r="B68" i="43"/>
  <c r="B57" i="43"/>
  <c r="C29" i="39"/>
  <c r="B77" i="43"/>
  <c r="B76" i="43"/>
  <c r="W33" i="33"/>
  <c r="W8" i="33"/>
  <c r="D68" i="9"/>
  <c r="F30" i="69"/>
  <c r="F48" i="69" s="1"/>
  <c r="F31" i="12"/>
  <c r="F28" i="15"/>
  <c r="F32" i="67"/>
  <c r="F60" i="67" s="1"/>
  <c r="F28" i="67"/>
  <c r="C28" i="67" s="1"/>
  <c r="M18" i="15"/>
  <c r="M18" i="67"/>
  <c r="F30" i="11"/>
  <c r="C48" i="11" s="1"/>
  <c r="F54" i="9"/>
  <c r="F32" i="15"/>
  <c r="F60" i="15" s="1"/>
  <c r="F52" i="9"/>
  <c r="F30" i="68"/>
  <c r="F48" i="68" s="1"/>
  <c r="G1" i="15"/>
  <c r="B6" i="1"/>
  <c r="E6" i="1" s="1"/>
  <c r="G1" i="68"/>
  <c r="G1" i="67"/>
  <c r="K6" i="1"/>
  <c r="AP6" i="1" s="1"/>
  <c r="C36" i="69" s="1"/>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G28" i="6"/>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C36" i="68"/>
  <c r="D9" i="69"/>
  <c r="D9" i="68"/>
  <c r="M24" i="67"/>
  <c r="F7" i="67"/>
  <c r="M8" i="15"/>
  <c r="J15" i="67"/>
  <c r="M26" i="67"/>
  <c r="L47" i="67"/>
  <c r="F38" i="67"/>
  <c r="M29" i="67"/>
  <c r="M6" i="67"/>
  <c r="M22" i="15"/>
  <c r="F6" i="67"/>
  <c r="F42" i="67"/>
  <c r="M22" i="67"/>
  <c r="F26" i="67"/>
  <c r="F37" i="67"/>
  <c r="M29" i="15"/>
  <c r="F9" i="15"/>
  <c r="M26" i="15"/>
  <c r="F38" i="15"/>
  <c r="G1" i="73"/>
  <c r="M23" i="67"/>
  <c r="F16" i="67"/>
  <c r="C76" i="15"/>
  <c r="M28" i="15"/>
  <c r="F36" i="67"/>
  <c r="F8" i="67"/>
  <c r="F13" i="15"/>
  <c r="M9" i="67"/>
  <c r="L48" i="67"/>
  <c r="F7" i="15"/>
  <c r="F37" i="15"/>
  <c r="M23" i="15"/>
  <c r="L47" i="15"/>
  <c r="F26" i="15"/>
  <c r="F40" i="15"/>
  <c r="F40" i="67"/>
  <c r="M8" i="67"/>
  <c r="F36" i="15"/>
  <c r="L48" i="15"/>
  <c r="F16" i="15"/>
  <c r="F43" i="15"/>
  <c r="F42" i="15"/>
  <c r="J15" i="15"/>
  <c r="M9" i="15"/>
  <c r="M24" i="15"/>
  <c r="F6" i="15"/>
  <c r="F13" i="67"/>
  <c r="C76" i="67"/>
  <c r="F43" i="67"/>
  <c r="M28" i="67"/>
  <c r="M6" i="15"/>
  <c r="F9" i="67"/>
  <c r="F8" i="15"/>
  <c r="U42" i="33" l="1"/>
  <c r="S36" i="33"/>
  <c r="S42" i="33"/>
  <c r="W42" i="33"/>
  <c r="S27" i="33"/>
  <c r="W25" i="33"/>
  <c r="AB25" i="33"/>
  <c r="AA15" i="33"/>
  <c r="S15" i="33"/>
  <c r="AB15" i="33"/>
  <c r="AC15" i="33"/>
  <c r="W15" i="33"/>
  <c r="K16" i="1"/>
  <c r="F51" i="67"/>
  <c r="F68" i="67"/>
  <c r="Q71" i="67"/>
  <c r="C27" i="67"/>
  <c r="F65" i="67"/>
  <c r="F66" i="67"/>
  <c r="F64" i="67"/>
  <c r="J53" i="67"/>
  <c r="F1" i="67" s="1"/>
  <c r="J57" i="67"/>
  <c r="J55" i="67" s="1"/>
  <c r="J58" i="67" s="1"/>
  <c r="Q50" i="67" s="1"/>
  <c r="I54" i="67"/>
  <c r="L56" i="67"/>
  <c r="F71" i="67"/>
  <c r="M7" i="67"/>
  <c r="J6" i="67" s="1"/>
  <c r="J18" i="67" s="1"/>
  <c r="F50" i="67"/>
  <c r="C6" i="67"/>
  <c r="L59" i="67"/>
  <c r="Q61" i="67" s="1"/>
  <c r="M59" i="67"/>
  <c r="N59" i="67"/>
  <c r="L58" i="67"/>
  <c r="Q60" i="67" s="1"/>
  <c r="F65" i="15"/>
  <c r="F50" i="15"/>
  <c r="M7" i="15"/>
  <c r="J6" i="15" s="1"/>
  <c r="J18" i="15" s="1"/>
  <c r="F71" i="15"/>
  <c r="Q71" i="15"/>
  <c r="F64" i="15"/>
  <c r="C6" i="15"/>
  <c r="J57" i="15"/>
  <c r="J55" i="15" s="1"/>
  <c r="J58" i="15" s="1"/>
  <c r="Q50" i="15" s="1"/>
  <c r="J53" i="15"/>
  <c r="L56" i="15" s="1"/>
  <c r="I54" i="15"/>
  <c r="M59" i="15"/>
  <c r="N59" i="15"/>
  <c r="L58" i="15"/>
  <c r="Q60" i="15" s="1"/>
  <c r="L59" i="15"/>
  <c r="Q74" i="15" s="1"/>
  <c r="C27" i="15"/>
  <c r="F68" i="15"/>
  <c r="F51" i="15"/>
  <c r="F66" i="15"/>
  <c r="M6" i="1"/>
  <c r="Q16" i="1"/>
  <c r="F27" i="69" s="1"/>
  <c r="C47" i="69" s="1"/>
  <c r="D45" i="69" s="1"/>
  <c r="G16" i="1"/>
  <c r="F10" i="39" s="1"/>
  <c r="AA10" i="39" s="1"/>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E65" i="39" s="1"/>
  <c r="AY6" i="3"/>
  <c r="E3" i="6"/>
  <c r="M14" i="1"/>
  <c r="D5" i="43"/>
  <c r="D26" i="43"/>
  <c r="C25" i="43" s="1"/>
  <c r="C7" i="43"/>
  <c r="C5" i="43" s="1"/>
  <c r="D10" i="52"/>
  <c r="D125" i="9"/>
  <c r="D11" i="52" s="1"/>
  <c r="B7" i="74"/>
  <c r="F59" i="67"/>
  <c r="H7" i="37"/>
  <c r="AB7" i="37" s="1"/>
  <c r="T42" i="37" s="1"/>
  <c r="G42" i="37" s="1"/>
  <c r="L36" i="43"/>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C32" i="15"/>
  <c r="AE11" i="1"/>
  <c r="AE9" i="1"/>
  <c r="AE7" i="1"/>
  <c r="AE8" i="1"/>
  <c r="AE12" i="1"/>
  <c r="AE10" i="1"/>
  <c r="C16" i="67"/>
  <c r="C16" i="15"/>
  <c r="AE6" i="1"/>
  <c r="C32" i="67" l="1"/>
  <c r="H42" i="67"/>
  <c r="C49" i="67"/>
  <c r="Q73" i="15"/>
  <c r="J5" i="67"/>
  <c r="Q61" i="15"/>
  <c r="C49" i="15"/>
  <c r="Q73" i="67"/>
  <c r="F28" i="12"/>
  <c r="C29" i="12" s="1"/>
  <c r="D28" i="12" s="1"/>
  <c r="F27" i="68"/>
  <c r="C47" i="68" s="1"/>
  <c r="D45" i="68" s="1"/>
  <c r="J5" i="15"/>
  <c r="J24" i="15" s="1"/>
  <c r="F27" i="11"/>
  <c r="C29" i="11" s="1"/>
  <c r="D27" i="11" s="1"/>
  <c r="S10" i="39"/>
  <c r="H10" i="39"/>
  <c r="U10" i="39" s="1"/>
  <c r="Q74" i="67"/>
  <c r="Q52" i="67"/>
  <c r="Q52" i="15"/>
  <c r="H10" i="40"/>
  <c r="AB10" i="40" s="1"/>
  <c r="J10" i="40"/>
  <c r="AC10" i="40" s="1"/>
  <c r="F45" i="69"/>
  <c r="O6" i="1"/>
  <c r="P6" i="1"/>
  <c r="C13" i="12" s="1"/>
  <c r="F10" i="40"/>
  <c r="S10" i="40" s="1"/>
  <c r="F1" i="15"/>
  <c r="J10" i="39"/>
  <c r="W10" i="39" s="1"/>
  <c r="C29" i="69"/>
  <c r="D27" i="69" s="1"/>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F58" i="21"/>
  <c r="R37" i="36"/>
  <c r="E36" i="36"/>
  <c r="F63" i="40"/>
  <c r="E65" i="40"/>
  <c r="W7" i="33"/>
  <c r="AC7" i="33"/>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D13" i="71"/>
  <c r="C12" i="71"/>
  <c r="C11" i="71" s="1"/>
  <c r="J24" i="67"/>
  <c r="C53" i="67"/>
  <c r="C10" i="67"/>
  <c r="C5" i="67" s="1"/>
  <c r="C38" i="67" s="1"/>
  <c r="C53" i="15"/>
  <c r="C10" i="15"/>
  <c r="C5" i="15" s="1"/>
  <c r="C38" i="15" s="1"/>
  <c r="F25" i="12"/>
  <c r="F22" i="69"/>
  <c r="F41" i="69" s="1"/>
  <c r="F24" i="67"/>
  <c r="C24" i="67" s="1"/>
  <c r="F22" i="11"/>
  <c r="F22" i="68"/>
  <c r="F24" i="15"/>
  <c r="C24" i="15" s="1"/>
  <c r="M27" i="15"/>
  <c r="F41" i="67"/>
  <c r="F41" i="15"/>
  <c r="M27" i="67"/>
  <c r="C48" i="67" l="1"/>
  <c r="F69" i="67"/>
  <c r="F45" i="68"/>
  <c r="L25" i="9"/>
  <c r="L24" i="9"/>
  <c r="C48" i="15"/>
  <c r="C66" i="15" s="1"/>
  <c r="C29" i="68"/>
  <c r="D27" i="68" s="1"/>
  <c r="AA10" i="40"/>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8" i="33"/>
  <c r="E40" i="36"/>
  <c r="F40" i="36" s="1"/>
  <c r="E41" i="36"/>
  <c r="F41" i="36" s="1"/>
  <c r="I54" i="34"/>
  <c r="J54" i="34" s="1"/>
  <c r="H48" i="35"/>
  <c r="C49" i="34"/>
  <c r="C50" i="34"/>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C25" i="11" l="1"/>
  <c r="C60" i="15"/>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H58" i="21"/>
  <c r="E47" i="37"/>
  <c r="F47" i="37" s="1"/>
  <c r="E46" i="37"/>
  <c r="F46" i="37" s="1"/>
  <c r="I47" i="37"/>
  <c r="J47" i="37"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J36" i="33" l="1"/>
  <c r="H36" i="33"/>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U36" i="33" l="1"/>
  <c r="AB36" i="33"/>
  <c r="T48" i="33" s="1"/>
  <c r="W36" i="33"/>
  <c r="AC36" i="33"/>
  <c r="V48" i="33" s="1"/>
  <c r="I48" i="33"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G48" i="33"/>
  <c r="E53" i="33" s="1"/>
  <c r="F53" i="33" s="1"/>
  <c r="R49" i="33"/>
  <c r="I52" i="33"/>
  <c r="J52" i="33" s="1"/>
  <c r="I53" i="33"/>
  <c r="J53" i="33" s="1"/>
  <c r="G53" i="33"/>
  <c r="H53" i="33" s="1"/>
  <c r="G52" i="33"/>
  <c r="H52" i="33"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9" i="33" l="1"/>
  <c r="C48" i="33"/>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19" i="9"/>
  <c r="L51" i="15"/>
  <c r="D2" i="34"/>
  <c r="C19" i="9"/>
  <c r="D2" i="37"/>
  <c r="D2" i="36"/>
  <c r="C102" i="9" l="1"/>
  <c r="C21" i="9"/>
  <c r="B3" i="33"/>
  <c r="D22" i="9"/>
  <c r="G19" i="9"/>
  <c r="G21" i="9" s="1"/>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6" i="1"/>
  <c r="D34" i="9"/>
  <c r="AO10" i="1"/>
  <c r="AO7" i="1"/>
  <c r="AO11" i="1"/>
  <c r="C20" i="9"/>
  <c r="AO12" i="1"/>
  <c r="D20" i="9"/>
  <c r="D35" i="9"/>
  <c r="C103" i="9" l="1"/>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l="1"/>
  <c r="E14" i="74"/>
  <c r="F118" i="9"/>
  <c r="F119" i="9" s="1"/>
  <c r="F5" i="52" s="1"/>
  <c r="B53" i="72" s="1"/>
  <c r="H118" i="9"/>
  <c r="H101" i="9" s="1"/>
  <c r="E118" i="9"/>
  <c r="I4" i="52"/>
  <c r="H102" i="9"/>
  <c r="D14" i="74" l="1"/>
  <c r="D29" i="74" s="1"/>
  <c r="F4" i="52"/>
  <c r="B51" i="72" s="1"/>
  <c r="H4" i="52"/>
  <c r="H119" i="9"/>
  <c r="H5" i="52" s="1"/>
  <c r="C104" i="9"/>
  <c r="G14" i="74"/>
  <c r="B6" i="74" s="1"/>
  <c r="D6" i="74" s="1"/>
  <c r="D118" i="9"/>
  <c r="E4" i="52"/>
  <c r="B48" i="72" s="1"/>
  <c r="D5" i="53"/>
  <c r="D45" i="9"/>
  <c r="D56" i="9" s="1"/>
  <c r="H107" i="9"/>
  <c r="M48" i="9"/>
  <c r="D7" i="53"/>
  <c r="B21" i="72" s="1"/>
  <c r="B5" i="74" l="1"/>
  <c r="F14" i="74"/>
  <c r="D119" i="9"/>
  <c r="D5" i="52" s="1"/>
  <c r="B49" i="72" s="1"/>
  <c r="D4" i="52"/>
  <c r="B47" i="72" s="1"/>
  <c r="C93" i="9"/>
  <c r="C86" i="9" s="1"/>
  <c r="D55" i="9"/>
  <c r="M53" i="9" s="1"/>
  <c r="C85" i="9"/>
  <c r="D52" i="9"/>
  <c r="C64" i="9"/>
  <c r="C63" i="9" s="1"/>
  <c r="C67" i="9" s="1"/>
  <c r="C72" i="9"/>
  <c r="D53" i="9"/>
  <c r="C78" i="9"/>
  <c r="C73" i="9" s="1"/>
  <c r="M49" i="9"/>
  <c r="D122" i="9"/>
  <c r="D13" i="53"/>
  <c r="H108" i="9"/>
  <c r="D6" i="53"/>
  <c r="B22" i="72" s="1"/>
  <c r="B20" i="72"/>
  <c r="D5" i="74" l="1"/>
  <c r="C5" i="74"/>
  <c r="C95" i="9"/>
  <c r="D15" i="53"/>
  <c r="B31" i="72" s="1"/>
  <c r="C6" i="74"/>
  <c r="D14" i="53"/>
  <c r="B32" i="72" s="1"/>
  <c r="B30" i="72"/>
  <c r="C96" i="9"/>
  <c r="E96" i="9" s="1"/>
  <c r="E97" i="9" s="1"/>
  <c r="D8" i="52"/>
  <c r="D123" i="9"/>
  <c r="D9" i="52" s="1"/>
  <c r="C79" i="9"/>
  <c r="L67" i="9"/>
  <c r="M67" i="9" s="1"/>
  <c r="L68" i="9"/>
  <c r="M68" i="9" s="1"/>
  <c r="L66" i="9"/>
  <c r="M66" i="9" s="1"/>
  <c r="L64" i="9"/>
  <c r="M64" i="9" s="1"/>
  <c r="L63" i="9"/>
  <c r="M63" i="9" s="1"/>
  <c r="L65" i="9"/>
  <c r="M65" i="9" s="1"/>
  <c r="D59" i="9"/>
  <c r="M55" i="9" s="1"/>
  <c r="C68" i="9"/>
  <c r="D54" i="9" s="1"/>
  <c r="D48" i="9" s="1"/>
  <c r="M52" i="9" s="1"/>
  <c r="C97" i="9" l="1"/>
  <c r="M69" i="9"/>
  <c r="N69" i="9" s="1"/>
  <c r="C80" i="9"/>
  <c r="E80" i="9" s="1"/>
  <c r="E81" i="9" s="1"/>
  <c r="C81" i="9" l="1"/>
  <c r="D58" i="9" s="1"/>
  <c r="M54" i="9" s="1"/>
  <c r="N57" i="9" s="1"/>
  <c r="N59" i="9" l="1"/>
  <c r="N58" i="9"/>
  <c r="P57" i="9"/>
  <c r="H111" i="9" l="1"/>
  <c r="N60" i="9"/>
  <c r="N61" i="9"/>
  <c r="H112" i="9" s="1"/>
  <c r="D21" i="53" l="1"/>
  <c r="B39" i="72" s="1"/>
  <c r="D126" i="9"/>
  <c r="I14" i="74" s="1"/>
  <c r="B8" i="74" s="1"/>
  <c r="D8" i="74" s="1"/>
  <c r="D19" i="53"/>
  <c r="C8" i="74" l="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<sst xmlns="http://schemas.openxmlformats.org/spreadsheetml/2006/main" count="7913" uniqueCount="3458">
  <si>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</si>
  <si>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</si>
  <si>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</si>
  <si>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</si>
  <si>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</si>
  <si>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</si>
  <si>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</si>
  <si>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</si>
  <si>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</si>
  <si>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</si>
  <si>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</si>
  <si>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</si>
  <si>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</si>
  <si>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</si>
  <si>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</si>
  <si>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</si>
  <si>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</si>
  <si>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</si>
  <si>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</si>
  <si>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</si>
  <si>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</si>
  <si>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</si>
  <si>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</si>
  <si>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</si>
  <si>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</si>
  <si>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</si>
  <si>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</si>
  <si>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</si>
  <si>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</si>
  <si>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</si>
  <si>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</si>
  <si>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</si>
  <si>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</si>
  <si>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</si>
  <si>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</si>
  <si>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</si>
  <si>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</si>
  <si>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</si>
  <si>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</si>
  <si>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</si>
  <si>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</si>
  <si>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</si>
  <si>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</si>
  <si>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</si>
  <si>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</si>
  <si>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</si>
  <si>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</si>
  <si>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</si>
  <si>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</si>
  <si>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</si>
  <si>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</si>
  <si>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</si>
  <si>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</si>
  <si>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</si>
  <si>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</si>
  <si>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</si>
  <si>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</si>
  <si>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</si>
  <si>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</si>
  <si>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</si>
  <si>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</si>
  <si>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</si>
  <si>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</si>
  <si>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</si>
  <si>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</si>
  <si>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</si>
  <si>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</si>
  <si>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</si>
  <si>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</si>
  <si>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</si>
  <si>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</si>
  <si>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</si>
  <si>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</si>
  <si>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</si>
  <si>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</si>
  <si>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</si>
  <si>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</si>
  <si>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</si>
  <si>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</si>
  <si>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</si>
  <si>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</si>
  <si>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</si>
  <si>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</si>
  <si>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</si>
  <si>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</si>
  <si>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</si>
  <si>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</si>
  <si>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</si>
  <si>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</si>
  <si>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</si>
  <si>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</si>
  <si>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</si>
  <si>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</si>
  <si>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</si>
  <si>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</si>
  <si>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</si>
  <si>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</si>
  <si>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</si>
  <si>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</si>
  <si>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</si>
  <si>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</si>
  <si>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</si>
  <si>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</si>
  <si>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</si>
  <si>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</si>
  <si>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</si>
  <si>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</si>
  <si>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</si>
  <si>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</si>
  <si>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</si>
  <si>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</si>
  <si>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</si>
  <si>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</si>
  <si>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</si>
  <si>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</si>
  <si>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</si>
  <si>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</si>
  <si>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</si>
  <si>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</si>
  <si>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</si>
  <si>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</si>
  <si>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</si>
  <si>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</si>
  <si>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</si>
  <si>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</si>
  <si>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</si>
  <si>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</si>
  <si>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</si>
  <si>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</si>
  <si>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</si>
  <si>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</si>
  <si>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</si>
  <si>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</si>
  <si>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</si>
  <si>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</si>
  <si>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</si>
  <si>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</si>
  <si>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</si>
  <si>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</si>
  <si>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</si>
  <si>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</si>
  <si>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</si>
  <si>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</si>
  <si>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</si>
  <si>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</si>
  <si>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</si>
  <si>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</si>
  <si>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</si>
  <si>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</si>
  <si>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</si>
  <si>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</si>
  <si>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</si>
  <si>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</si>
  <si>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</si>
  <si>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</si>
  <si>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</si>
  <si>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</si>
  <si>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</si>
  <si>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</si>
  <si>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</si>
  <si>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</si>
  <si>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</si>
  <si>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</si>
  <si>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</si>
  <si>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</si>
  <si>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</si>
  <si>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</si>
  <si>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</si>
  <si>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</si>
  <si>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</si>
  <si>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</si>
  <si>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</si>
  <si>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</si>
  <si>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</si>
  <si>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</si>
  <si>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</si>
  <si>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</si>
  <si>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</si>
  <si>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</si>
  <si>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</si>
  <si>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</si>
  <si>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</si>
  <si>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</si>
  <si>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</si>
  <si>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</si>
  <si>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</si>
  <si>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</si>
  <si>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</si>
  <si>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</si>
  <si>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</si>
  <si>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</si>
  <si>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</si>
  <si>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</si>
  <si>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</si>
  <si>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</si>
  <si>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</si>
  <si>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</si>
  <si>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</si>
  <si>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</si>
  <si>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</si>
  <si>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</si>
  <si>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</si>
  <si>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</si>
  <si>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</si>
  <si>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</si>
  <si>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</si>
  <si>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</si>
  <si>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</si>
  <si>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</si>
  <si>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</si>
  <si>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</si>
  <si>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</si>
  <si>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</si>
  <si>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</si>
  <si>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</si>
  <si>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</si>
  <si>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</si>
  <si>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</si>
  <si>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</si>
  <si>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</si>
  <si>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</si>
  <si>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</si>
  <si>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</si>
  <si>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</si>
  <si>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</si>
  <si>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</si>
  <si>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</si>
  <si>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</si>
  <si>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</si>
  <si>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</si>
  <si>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</si>
  <si>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</si>
  <si>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</si>
  <si>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</si>
  <si>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</si>
  <si>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</si>
  <si>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</si>
  <si>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</si>
  <si>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</si>
  <si>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</si>
  <si>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</si>
  <si>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</si>
  <si>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</si>
  <si>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</si>
  <si>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</si>
  <si>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</si>
  <si>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</si>
  <si>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</si>
  <si>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</si>
  <si>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</si>
  <si>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</si>
  <si>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</si>
  <si>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</si>
  <si>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</si>
  <si>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</si>
  <si>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</si>
  <si>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</si>
  <si>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</si>
  <si>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</si>
  <si>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</si>
  <si>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</si>
  <si>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</si>
  <si>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</si>
  <si>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</si>
  <si>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</si>
  <si>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</si>
  <si>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</si>
  <si>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</si>
  <si>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</si>
  <si>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</si>
  <si>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</si>
  <si>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</si>
  <si>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</si>
  <si>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</si>
  <si>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</si>
  <si>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</si>
  <si>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</si>
  <si>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</si>
  <si>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</si>
  <si>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</si>
  <si>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</si>
  <si>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</si>
  <si>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</si>
  <si>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</si>
  <si>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</si>
  <si>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</si>
  <si>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</si>
  <si>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</si>
  <si>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</si>
  <si>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</si>
  <si>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</si>
  <si>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</si>
  <si>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</si>
  <si>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</si>
  <si>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</si>
  <si>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</si>
  <si>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</si>
  <si>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</si>
  <si>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</si>
  <si>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</si>
  <si>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</si>
  <si>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</si>
  <si>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</si>
  <si>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</si>
  <si>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</si>
  <si>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</si>
  <si>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</si>
  <si>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</si>
  <si>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</si>
  <si>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</si>
  <si>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</si>
  <si>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</si>
  <si>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</si>
  <si>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</si>
  <si>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</si>
  <si>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</si>
  <si>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</si>
  <si>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</si>
  <si>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</si>
  <si>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</si>
  <si>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</si>
  <si>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</si>
  <si>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</si>
  <si>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</si>
  <si>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</si>
  <si>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</si>
  <si>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</si>
  <si>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</si>
  <si>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</si>
  <si>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</si>
  <si>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</si>
  <si>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</si>
  <si>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</si>
  <si>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</si>
  <si>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</si>
  <si>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</si>
  <si>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</si>
  <si>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</si>
  <si>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</si>
  <si>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</si>
  <si>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</si>
  <si>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</si>
  <si>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</si>
  <si>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</si>
  <si>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</si>
  <si>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</si>
  <si>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</si>
  <si>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</si>
  <si>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</si>
  <si>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</si>
  <si>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</si>
  <si>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</si>
  <si>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</si>
  <si>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</si>
  <si>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</si>
  <si>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</si>
  <si>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</si>
  <si>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</si>
  <si>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</si>
  <si>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</si>
  <si>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</si>
  <si>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</si>
  <si>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</si>
  <si>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</si>
  <si>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</si>
  <si>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</si>
  <si>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</si>
  <si>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</si>
  <si>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</si>
  <si>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</si>
  <si>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</si>
  <si>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</si>
  <si>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</si>
  <si>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</si>
  <si>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</si>
  <si>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</si>
  <si>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</si>
  <si>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</si>
  <si>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</si>
  <si>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</si>
  <si>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</si>
  <si>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</si>
  <si>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</si>
  <si>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</si>
  <si>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</si>
  <si>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</si>
  <si>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</si>
  <si>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</si>
  <si>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</si>
  <si>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</si>
  <si>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</si>
  <si>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</si>
  <si>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</si>
  <si>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</si>
  <si>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</si>
  <si>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</si>
  <si>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</si>
  <si>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</si>
  <si>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</si>
  <si>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</si>
  <si>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</si>
  <si>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</si>
  <si>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</si>
  <si>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</si>
  <si>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</si>
  <si>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</si>
  <si>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</si>
  <si>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</si>
  <si>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</si>
  <si>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</si>
  <si>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</si>
  <si>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</si>
  <si>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</si>
  <si>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</si>
  <si>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</si>
  <si>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</si>
  <si>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</si>
  <si>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</si>
  <si>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</si>
  <si>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</si>
  <si>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</si>
  <si>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</si>
  <si>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</si>
  <si>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</si>
  <si>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</si>
  <si>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</si>
  <si>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</si>
  <si>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</si>
  <si>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</si>
  <si>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</si>
  <si>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</si>
  <si>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</si>
  <si>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</si>
  <si>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</si>
  <si>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</si>
  <si>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</si>
  <si>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</si>
  <si>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</si>
  <si>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</si>
  <si>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</si>
  <si>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</si>
  <si>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</si>
  <si>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</si>
  <si>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</si>
  <si>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</si>
  <si>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</si>
  <si>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</si>
  <si>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</si>
  <si>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</si>
  <si>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</si>
  <si>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</si>
  <si>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</si>
  <si>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</si>
  <si>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</si>
  <si>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</si>
  <si>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</si>
  <si>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</si>
  <si>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</si>
  <si>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</si>
  <si>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</si>
  <si>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</si>
  <si>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</si>
  <si>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</si>
  <si>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</si>
  <si>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</si>
  <si>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</si>
  <si>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</si>
  <si>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</si>
  <si>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</si>
  <si>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</si>
  <si>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</si>
  <si>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</si>
  <si>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</si>
  <si>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</si>
  <si>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</si>
  <si>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</si>
  <si>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</si>
  <si>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</si>
  <si>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</si>
  <si>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</si>
  <si>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</si>
  <si>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</si>
  <si>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</si>
  <si>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</si>
  <si>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</si>
  <si>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</si>
  <si>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</si>
  <si>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</si>
  <si>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</si>
  <si>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</si>
  <si>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</si>
  <si>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</si>
  <si>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</si>
  <si>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</si>
  <si>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</si>
  <si>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</si>
  <si>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</si>
  <si>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</si>
  <si>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</si>
  <si>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</si>
  <si>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</si>
  <si>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</si>
  <si>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</si>
  <si>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</si>
  <si>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</si>
  <si>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</si>
  <si>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</si>
  <si>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</si>
  <si>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</si>
  <si>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</si>
  <si>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</si>
  <si>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</si>
  <si>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</si>
  <si>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</si>
  <si>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</si>
  <si>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</si>
  <si>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</si>
  <si>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</si>
  <si>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</si>
  <si>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</si>
  <si>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</si>
  <si>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</si>
  <si>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</si>
  <si>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</si>
  <si>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</si>
  <si>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</si>
  <si>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</si>
  <si>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</si>
  <si>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</si>
  <si>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</si>
  <si>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</si>
  <si>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</si>
  <si>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</si>
  <si>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</si>
  <si>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</si>
  <si>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</si>
  <si>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</si>
  <si>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</si>
  <si>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</si>
  <si>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</si>
  <si>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</si>
  <si>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</si>
  <si>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</si>
  <si>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</si>
  <si>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</si>
  <si>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</si>
  <si>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</si>
  <si>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</si>
  <si>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</si>
  <si>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</si>
  <si>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</si>
  <si>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</si>
  <si>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</si>
  <si>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</si>
  <si>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</si>
  <si>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</si>
  <si>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</si>
  <si>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</si>
  <si>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</si>
  <si>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</si>
  <si>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</si>
  <si>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</si>
  <si>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</si>
  <si>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</si>
  <si>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</si>
  <si>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</si>
  <si>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</si>
  <si>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</si>
  <si>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</si>
  <si>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</si>
  <si>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</si>
  <si>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</si>
  <si>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</si>
  <si>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</si>
  <si>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</si>
  <si>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</si>
  <si>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</si>
  <si>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</si>
  <si>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</si>
  <si>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</si>
  <si>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</si>
  <si>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</si>
  <si>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</si>
  <si>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</si>
  <si>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</si>
  <si>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</si>
  <si>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</si>
  <si>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</si>
  <si>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</si>
  <si>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</si>
  <si>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</si>
  <si>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</si>
  <si>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</si>
  <si>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</si>
  <si>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</si>
  <si>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</si>
  <si>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</si>
  <si>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</si>
  <si>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</si>
  <si>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</si>
  <si>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</si>
  <si>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</si>
  <si>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</si>
  <si>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</si>
  <si>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</si>
  <si>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</si>
  <si>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</si>
  <si>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</si>
  <si>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</si>
  <si>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</si>
  <si>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</si>
  <si>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</si>
  <si>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</si>
  <si>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</si>
  <si>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</si>
  <si>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</si>
  <si>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</si>
  <si>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</si>
  <si>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</si>
  <si>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</si>
  <si>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</si>
  <si>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</si>
  <si>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</si>
  <si>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</si>
  <si>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</si>
  <si>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</si>
  <si>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</si>
  <si>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</si>
  <si>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</si>
  <si>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</si>
  <si>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</si>
  <si>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</si>
  <si>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</si>
  <si>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</si>
  <si>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</si>
  <si>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</si>
  <si>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</si>
  <si>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</si>
  <si>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</si>
  <si>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</si>
  <si>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</si>
  <si>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</si>
  <si>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</si>
  <si>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</si>
  <si>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</si>
  <si>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</si>
  <si>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</si>
  <si>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</si>
  <si>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</si>
  <si>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</si>
  <si>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</si>
  <si>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</si>
  <si>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</si>
  <si>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</si>
  <si>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</si>
  <si>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</si>
  <si>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</si>
  <si>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</si>
  <si>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</si>
  <si>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</si>
  <si>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</si>
  <si>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</si>
  <si>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</si>
  <si>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</si>
  <si>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</si>
  <si>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</si>
  <si>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</si>
  <si>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</si>
  <si>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</si>
  <si>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</si>
  <si>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</si>
  <si>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</si>
  <si>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</si>
  <si>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</si>
  <si>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</si>
  <si>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</si>
  <si>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</si>
  <si>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</si>
  <si>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</si>
  <si>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</si>
  <si>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</si>
  <si>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</si>
  <si>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</si>
  <si>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</si>
  <si>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</si>
  <si>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</si>
  <si>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</si>
  <si>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</si>
  <si>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</si>
  <si>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</si>
  <si>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</si>
  <si>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</si>
  <si>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</si>
  <si>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</si>
  <si>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</si>
  <si>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</si>
  <si>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</si>
  <si>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</si>
  <si>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</si>
  <si>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</si>
  <si>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</si>
  <si>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</si>
  <si>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</si>
  <si>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</si>
  <si>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</si>
  <si>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</si>
  <si>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</si>
  <si>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</si>
  <si>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</si>
  <si>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</si>
  <si>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</si>
  <si>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</si>
  <si>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</si>
  <si>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</si>
  <si>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</si>
  <si>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</si>
  <si>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</si>
  <si>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</si>
  <si>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</si>
  <si>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</si>
  <si>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</si>
  <si>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</si>
  <si>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</si>
  <si>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</si>
  <si>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</si>
  <si>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</si>
  <si>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</si>
  <si>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</si>
  <si>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</si>
  <si>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</si>
  <si>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</si>
  <si>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</si>
  <si>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</si>
  <si>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</si>
  <si>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</si>
  <si>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</si>
  <si>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</si>
  <si>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</si>
  <si>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</si>
  <si>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</si>
  <si>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</si>
  <si>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</si>
  <si>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</si>
  <si>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</si>
  <si>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</si>
  <si>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</si>
  <si>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</si>
  <si>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</si>
  <si>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</si>
  <si>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</si>
  <si>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</si>
  <si>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</si>
  <si>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</si>
  <si>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</si>
  <si>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</si>
  <si>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</si>
  <si>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</si>
  <si>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</si>
  <si>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</si>
  <si>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</si>
  <si>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</si>
  <si>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</si>
  <si>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</si>
  <si>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</si>
  <si>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</si>
  <si>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</si>
  <si>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</si>
  <si>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</si>
  <si>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</si>
  <si>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</si>
  <si>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</si>
  <si>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</si>
  <si>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</si>
  <si>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</si>
  <si>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</si>
  <si>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</si>
  <si>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</si>
  <si>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</si>
  <si>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</si>
  <si>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</si>
  <si>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</si>
  <si>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</si>
  <si>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</si>
  <si>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</si>
  <si>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</si>
  <si>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</si>
  <si>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</si>
  <si>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</si>
  <si>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</si>
  <si>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</si>
  <si>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</si>
  <si>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</si>
  <si>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</si>
  <si>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</si>
  <si>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</si>
  <si>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</si>
  <si>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</si>
  <si>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</si>
  <si>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</si>
  <si>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</si>
  <si>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</si>
  <si>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</si>
  <si>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</si>
  <si>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</si>
  <si>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</si>
  <si>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</si>
  <si>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</si>
  <si>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</si>
  <si>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</si>
  <si>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</si>
  <si>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</si>
  <si>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</si>
  <si>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</si>
  <si>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</si>
  <si>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</si>
  <si>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</si>
  <si>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</si>
  <si>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</si>
  <si>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</si>
  <si>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</si>
  <si>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</si>
  <si>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</si>
  <si>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</si>
  <si>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</si>
  <si>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</si>
  <si>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</si>
  <si>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</si>
  <si>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</si>
  <si>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</si>
  <si>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</si>
  <si>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</si>
  <si>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</si>
  <si>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</si>
  <si>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</si>
  <si>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</si>
  <si>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</si>
  <si>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</si>
  <si>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</si>
  <si>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</si>
  <si>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</si>
  <si>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</si>
  <si>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</si>
  <si>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</si>
  <si>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</si>
  <si>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</si>
  <si>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</si>
  <si>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</si>
  <si>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</si>
  <si>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</si>
  <si>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</si>
  <si>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</si>
  <si>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</si>
  <si>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</si>
  <si>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</si>
  <si>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</si>
  <si>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</si>
  <si>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</si>
  <si>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</si>
  <si>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</si>
  <si>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</si>
  <si>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</si>
  <si>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</si>
  <si>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</si>
  <si>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</si>
  <si>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</si>
  <si>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</si>
  <si>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</si>
  <si>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</si>
  <si>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</si>
  <si>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</si>
  <si>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</si>
  <si>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</si>
  <si>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</si>
  <si>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</si>
  <si>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</si>
  <si>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</si>
  <si>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</si>
  <si>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</si>
  <si>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</si>
  <si>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</si>
  <si>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</si>
  <si>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</si>
  <si>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</si>
  <si>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</si>
  <si>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</si>
  <si>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</si>
  <si>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</si>
  <si>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</si>
  <si>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</si>
  <si>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</si>
  <si>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</si>
  <si>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</si>
  <si>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</si>
  <si>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</si>
  <si>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</si>
  <si>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</si>
  <si>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</si>
  <si>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</si>
  <si>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</si>
  <si>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</si>
  <si>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</si>
  <si>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</si>
  <si>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</si>
  <si>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</si>
  <si>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</si>
  <si>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</si>
  <si>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</si>
  <si>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</si>
  <si>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</si>
  <si>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</si>
  <si>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</si>
  <si>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</si>
  <si>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</si>
  <si>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</si>
  <si>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</si>
  <si>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</si>
  <si>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</si>
  <si>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</si>
  <si>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</si>
  <si>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</si>
  <si>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</si>
  <si>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</si>
  <si>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</si>
  <si>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</si>
  <si>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</si>
  <si>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</si>
  <si>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</si>
  <si>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</si>
  <si>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</si>
  <si>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</si>
  <si>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</si>
  <si>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</si>
  <si>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</si>
  <si>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</si>
  <si>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</si>
  <si>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</si>
  <si>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</si>
  <si>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</si>
  <si>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</si>
  <si>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</si>
  <si>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</si>
  <si>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</si>
  <si>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</si>
  <si>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</si>
  <si>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</si>
  <si>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</si>
  <si>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</si>
  <si>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</si>
  <si>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</si>
  <si>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</si>
  <si>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</si>
  <si>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</si>
  <si>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</si>
  <si>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</si>
  <si>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</si>
  <si>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</si>
  <si>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</si>
  <si>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</si>
  <si>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</si>
  <si>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</si>
  <si>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</si>
  <si>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</si>
  <si>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</si>
  <si>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</si>
  <si>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</si>
  <si>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</si>
  <si>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</si>
  <si>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</si>
  <si>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</si>
  <si>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</si>
  <si>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</si>
  <si>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</si>
  <si>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</si>
  <si>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</si>
  <si>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</si>
  <si>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</si>
  <si>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</si>
  <si>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</si>
  <si>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</si>
  <si>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</si>
  <si>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</si>
  <si>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</si>
  <si>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</si>
  <si>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</si>
  <si>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</si>
  <si>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</si>
  <si>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</si>
  <si>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</si>
  <si>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</si>
  <si>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</si>
  <si>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</si>
  <si>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</si>
  <si>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</si>
  <si>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</si>
  <si>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</si>
  <si>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</si>
  <si>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</si>
  <si>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</si>
  <si>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</si>
  <si>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</si>
  <si>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</si>
  <si>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</si>
  <si>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</si>
  <si>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</si>
  <si>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</si>
  <si>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</si>
  <si>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</si>
  <si>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</si>
  <si>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</si>
  <si>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</si>
  <si>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</si>
  <si>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</si>
  <si>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</si>
  <si>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</si>
  <si>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</si>
  <si>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</si>
  <si>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</si>
  <si>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</si>
  <si>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</si>
  <si>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</si>
  <si>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</si>
  <si>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</si>
  <si>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</si>
  <si>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</si>
  <si>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</si>
  <si>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</si>
  <si>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</si>
  <si>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</si>
  <si>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</si>
  <si>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</si>
  <si>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</si>
  <si>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</si>
  <si>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</si>
  <si>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</si>
  <si>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</si>
  <si>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</si>
  <si>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</si>
  <si>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</si>
  <si>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</si>
  <si>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</si>
  <si>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</si>
  <si>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</si>
  <si>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</si>
  <si>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</si>
  <si>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</si>
  <si>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</si>
  <si>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</si>
  <si>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</si>
  <si>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</si>
  <si>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</si>
  <si>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</si>
  <si>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</si>
  <si>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</si>
  <si>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</si>
  <si>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</si>
  <si>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</si>
  <si>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</si>
  <si>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</si>
  <si>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</si>
  <si>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</si>
  <si>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</si>
  <si>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</si>
  <si>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</si>
  <si>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</si>
  <si>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</si>
  <si>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</si>
  <si>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</si>
  <si>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</si>
  <si>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</si>
  <si>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</si>
  <si>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</si>
  <si>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</si>
  <si>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</si>
  <si>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</si>
  <si>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</si>
  <si>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</si>
  <si>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</si>
  <si>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</si>
  <si>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</si>
  <si>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</si>
  <si>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</si>
  <si>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</si>
  <si>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</si>
  <si>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</si>
  <si>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</si>
  <si>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</si>
  <si>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</si>
  <si>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</si>
  <si>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</si>
  <si>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</si>
  <si>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</si>
  <si>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</si>
  <si>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</si>
  <si>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</si>
  <si>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</si>
  <si>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</si>
  <si>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</si>
  <si>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</si>
  <si>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</si>
  <si>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</si>
  <si>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</si>
  <si>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</si>
  <si>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</si>
  <si>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</si>
  <si>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</si>
  <si>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</si>
  <si>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</si>
  <si>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</si>
  <si>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</si>
  <si>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</si>
  <si>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</si>
  <si>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</si>
  <si>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</si>
  <si>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</si>
  <si>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</si>
  <si>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</si>
  <si>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</si>
  <si>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</si>
  <si>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</si>
  <si>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</si>
  <si>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</si>
  <si>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</si>
  <si>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</si>
  <si>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</si>
  <si>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</si>
  <si>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</si>
  <si>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</si>
  <si>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</si>
  <si>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</si>
  <si>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</si>
  <si>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</si>
  <si>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</si>
  <si>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</si>
  <si>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</si>
  <si>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</si>
  <si>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</si>
  <si>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</si>
  <si>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</si>
  <si>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</si>
  <si>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</si>
  <si>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</si>
  <si>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</si>
  <si>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</si>
  <si>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</si>
  <si>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</si>
  <si>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</si>
  <si>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</si>
  <si>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</si>
  <si>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</si>
  <si>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</si>
  <si>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</si>
  <si>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</si>
  <si>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</si>
  <si>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</si>
  <si>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</si>
  <si>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</si>
  <si>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</si>
  <si>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</si>
  <si>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</si>
  <si>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</si>
  <si>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</si>
  <si>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</si>
  <si>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</si>
  <si>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</si>
  <si>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</si>
  <si>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</si>
  <si>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</si>
  <si>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</si>
  <si>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</si>
  <si>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</si>
  <si>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</si>
  <si>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</si>
  <si>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</si>
  <si>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</si>
  <si>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</si>
  <si>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</si>
  <si>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</si>
  <si>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</si>
  <si>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</si>
  <si>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</si>
  <si>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</si>
  <si>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</si>
  <si>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</si>
  <si>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</si>
  <si>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</si>
  <si>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</si>
  <si>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</si>
  <si>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</si>
  <si>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</si>
  <si>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</si>
  <si>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</si>
  <si>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</si>
  <si>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</si>
  <si>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</si>
  <si>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</si>
  <si>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</si>
  <si>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</si>
  <si>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</si>
  <si>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</si>
  <si>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</si>
  <si>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</si>
  <si>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</si>
  <si>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</si>
  <si>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</si>
  <si>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</si>
  <si>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</si>
  <si>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</si>
  <si>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</si>
  <si>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</si>
  <si>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</si>
  <si>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</si>
  <si>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</si>
  <si>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</si>
  <si>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</si>
  <si>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</si>
  <si>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</si>
  <si>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</si>
  <si>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</si>
  <si>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</si>
  <si>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</si>
  <si>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</si>
  <si>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</si>
  <si>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</si>
  <si>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</si>
  <si>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</si>
  <si>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</si>
  <si>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</si>
  <si>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</si>
  <si>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</si>
  <si>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</si>
  <si>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</si>
  <si>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</si>
  <si>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</si>
  <si>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</si>
  <si>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</si>
  <si>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</si>
  <si>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</si>
  <si>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</si>
  <si>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</si>
  <si>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</si>
  <si>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</si>
  <si>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</si>
  <si>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</si>
  <si>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</si>
  <si>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</si>
  <si>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</si>
  <si>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</si>
  <si>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</si>
  <si>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</si>
  <si>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</si>
  <si>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</si>
  <si>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</si>
  <si>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</si>
  <si>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</si>
  <si>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</si>
  <si>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</si>
  <si>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</si>
  <si>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</si>
  <si>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</si>
  <si>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</si>
  <si>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</si>
  <si>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</si>
  <si>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</si>
  <si>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</si>
  <si>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</si>
  <si>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</si>
  <si>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</si>
  <si>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</si>
  <si>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</si>
  <si>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</si>
  <si>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</si>
  <si>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</si>
  <si>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</si>
  <si>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</si>
  <si>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</si>
  <si>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</si>
  <si>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</si>
  <si>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</si>
  <si>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</si>
  <si>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</si>
  <si>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</si>
  <si>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</si>
  <si>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</si>
  <si>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</si>
  <si>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</si>
  <si>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</si>
  <si>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</si>
  <si>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</si>
  <si>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</si>
  <si>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</si>
  <si>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</si>
  <si>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</si>
  <si>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</si>
  <si>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</si>
  <si>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</si>
  <si>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</si>
  <si>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</si>
  <si>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</si>
  <si>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</si>
  <si>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</si>
  <si>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</si>
  <si>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</si>
  <si>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</si>
  <si>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</si>
  <si>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</si>
  <si>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</si>
  <si>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</si>
  <si>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</si>
  <si>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</si>
  <si>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</si>
  <si>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</si>
  <si>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</si>
  <si>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</si>
  <si>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</si>
  <si>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</si>
  <si>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</si>
  <si>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</si>
  <si>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</si>
  <si>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</si>
  <si>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</si>
  <si>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</si>
  <si>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</si>
  <si>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</si>
  <si>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</si>
  <si>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</si>
  <si>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</si>
  <si>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</si>
  <si>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</si>
  <si>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</si>
  <si>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</si>
  <si>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</si>
  <si>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</si>
  <si>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</si>
  <si>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</si>
  <si>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</si>
  <si>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</si>
  <si>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</si>
  <si>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</si>
  <si>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</si>
  <si>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</si>
  <si>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</si>
  <si>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</si>
  <si>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</si>
  <si>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</si>
  <si>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</si>
  <si>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</si>
  <si>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</si>
  <si>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</si>
  <si>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</si>
  <si>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</si>
  <si>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</si>
  <si>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</si>
  <si>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</si>
  <si>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</si>
  <si>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</si>
  <si>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</si>
  <si>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</si>
  <si>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</si>
  <si>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</si>
  <si>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</si>
  <si>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</si>
  <si>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</si>
  <si>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</si>
  <si>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</si>
  <si>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</si>
  <si>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</si>
  <si>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</si>
  <si>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</si>
  <si>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</si>
  <si>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</si>
  <si>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</si>
  <si>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</si>
  <si>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</si>
  <si>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</si>
  <si>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</si>
  <si>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</si>
  <si>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</si>
  <si>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</si>
  <si>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</si>
  <si>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</si>
  <si>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</si>
  <si>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</si>
  <si>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</si>
  <si>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</si>
  <si>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</si>
  <si>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</si>
  <si>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</si>
  <si>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</si>
  <si>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</si>
  <si>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</si>
  <si>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</si>
  <si>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</si>
  <si>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</si>
  <si>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</si>
  <si>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</si>
  <si>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</si>
  <si>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</si>
  <si>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</si>
  <si>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</si>
  <si>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</si>
  <si>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</si>
  <si>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</si>
  <si>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</si>
  <si>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</si>
  <si>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</si>
  <si>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</si>
  <si>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</si>
  <si>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</si>
  <si>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</si>
  <si>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</si>
  <si>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</si>
  <si>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</si>
  <si>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</si>
  <si>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</si>
  <si>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</si>
  <si>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</si>
  <si>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</si>
  <si>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</si>
  <si>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</si>
  <si>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</si>
  <si>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</si>
  <si>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</si>
  <si>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</si>
  <si>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</si>
  <si>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</si>
  <si>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</si>
  <si>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</si>
  <si>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</si>
  <si>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</si>
  <si>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</si>
  <si>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</si>
  <si>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</si>
  <si>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</si>
  <si>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</si>
  <si>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</si>
  <si>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</si>
  <si>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</si>
  <si>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</si>
  <si>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</si>
  <si>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</si>
  <si>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</si>
  <si>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</si>
  <si>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</si>
  <si>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</si>
  <si>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</si>
  <si>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</si>
  <si>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</si>
  <si>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</si>
  <si>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</si>
  <si>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</si>
  <si>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</si>
  <si>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</si>
  <si>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</si>
  <si>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</si>
  <si>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</si>
  <si>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</si>
  <si>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</si>
  <si>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</si>
  <si>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</si>
  <si>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</si>
  <si>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</si>
  <si>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</si>
  <si>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</si>
  <si>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</si>
  <si>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</si>
  <si>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</si>
  <si>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</si>
  <si>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</si>
  <si>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</si>
  <si>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</si>
  <si>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</si>
  <si>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</si>
  <si>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</si>
  <si>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</si>
  <si>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</si>
  <si>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</si>
  <si>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</si>
  <si>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</si>
  <si>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</si>
  <si>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</si>
  <si>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</si>
  <si>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</si>
  <si>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</si>
  <si>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</si>
  <si>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</si>
  <si>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</si>
  <si>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</si>
  <si>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</si>
  <si>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</si>
  <si>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</si>
  <si>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</si>
  <si>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</si>
  <si>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</si>
  <si>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</si>
  <si>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</si>
  <si>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</si>
  <si>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</si>
  <si>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</si>
  <si>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</si>
  <si>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</si>
  <si>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</si>
  <si>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</si>
  <si>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</si>
  <si>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</si>
  <si>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</si>
  <si>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</si>
  <si>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</si>
  <si>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</si>
  <si>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</si>
  <si>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</si>
  <si>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</si>
  <si>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</si>
  <si>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</si>
  <si>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</si>
  <si>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</si>
  <si>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</si>
  <si>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</si>
  <si>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</si>
  <si>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</si>
  <si>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</si>
  <si>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</si>
  <si>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</si>
  <si>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</si>
  <si>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</si>
  <si>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</si>
  <si>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</si>
  <si>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</si>
  <si>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</si>
  <si>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</si>
  <si>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</si>
  <si>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</si>
  <si>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</si>
  <si>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</si>
  <si>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</si>
  <si>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</si>
  <si>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</si>
  <si>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</si>
  <si>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</si>
  <si>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</si>
  <si>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</si>
  <si>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</si>
  <si>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</si>
  <si>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</si>
  <si>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</si>
  <si>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</si>
  <si>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</si>
  <si>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</si>
  <si>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</si>
  <si>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</si>
  <si>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</si>
  <si>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</si>
  <si>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</si>
  <si>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</si>
  <si>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</si>
  <si>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</si>
  <si>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</si>
  <si>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</si>
  <si>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</si>
  <si>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</si>
  <si>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</si>
  <si>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</si>
  <si>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</si>
  <si>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</si>
  <si>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</si>
  <si>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</si>
  <si>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</si>
  <si>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</si>
  <si>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</si>
  <si>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</si>
  <si>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</si>
  <si>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</si>
  <si>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</si>
  <si>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</si>
  <si>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</si>
  <si>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</si>
  <si>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</si>
  <si>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</si>
  <si>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</si>
  <si>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</si>
  <si>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</si>
  <si>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</si>
  <si>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</si>
  <si>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</si>
  <si>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</si>
  <si>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</si>
  <si>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</si>
  <si>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</si>
  <si>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</si>
  <si>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</si>
  <si>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</si>
  <si>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</si>
  <si>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</si>
  <si>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</si>
  <si>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</si>
  <si>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</si>
  <si>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</si>
  <si>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</si>
  <si>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</si>
  <si>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</si>
  <si>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</si>
  <si>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</si>
  <si>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</si>
  <si>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</si>
  <si>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</si>
  <si>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</si>
  <si>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</si>
  <si>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</si>
  <si>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</si>
  <si>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</si>
  <si>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</si>
  <si>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</si>
  <si>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</si>
  <si>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</si>
  <si>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</si>
  <si>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</si>
  <si>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</si>
  <si>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</si>
  <si>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</si>
  <si>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</si>
  <si>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</si>
  <si>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</si>
  <si>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</si>
  <si>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</si>
  <si>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</si>
  <si>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</si>
  <si>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</si>
  <si>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</si>
  <si>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</si>
  <si>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</si>
  <si>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</si>
  <si>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</si>
  <si>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</si>
  <si>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</si>
  <si>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</si>
  <si>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</si>
  <si>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</si>
  <si>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</si>
  <si>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</si>
  <si>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</si>
  <si>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</si>
  <si>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</si>
  <si>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</si>
  <si>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</si>
  <si>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</si>
  <si>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</si>
  <si>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</si>
  <si>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</si>
  <si>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</si>
  <si>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</si>
  <si>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</si>
  <si>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</si>
  <si>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</si>
  <si>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</si>
  <si>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</si>
  <si>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</si>
  <si>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</si>
  <si>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</si>
  <si>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</si>
  <si>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</si>
  <si>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</si>
  <si>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</si>
  <si>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</si>
  <si>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</si>
  <si>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</si>
  <si>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</si>
  <si>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</si>
  <si>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</si>
  <si>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</si>
  <si>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</si>
  <si>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</si>
  <si>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</si>
  <si>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</si>
  <si>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</si>
  <si>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</si>
  <si>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</si>
  <si>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</si>
  <si>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</si>
  <si>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</si>
  <si>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</si>
  <si>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</si>
  <si>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</si>
  <si>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</si>
  <si>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</si>
  <si>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</si>
  <si>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</si>
  <si>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</si>
  <si>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</si>
  <si>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</si>
  <si>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</si>
  <si>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</si>
  <si>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</si>
  <si>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</si>
  <si>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</si>
  <si>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</si>
  <si>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</si>
  <si>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</si>
  <si>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</si>
  <si>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</si>
  <si>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</si>
  <si>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</si>
  <si>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</si>
  <si>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</si>
  <si>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</si>
  <si>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</si>
  <si>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</si>
  <si>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</si>
  <si>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</si>
  <si>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</si>
  <si>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</si>
  <si>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</si>
  <si>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</si>
  <si>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</si>
  <si>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</si>
  <si>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</si>
  <si>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</si>
  <si>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</si>
  <si>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</si>
  <si>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</si>
  <si>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</si>
  <si>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</si>
  <si>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</si>
  <si>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</si>
  <si>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</si>
  <si>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</si>
  <si>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</si>
  <si>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</si>
  <si>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</si>
  <si>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</si>
  <si>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</si>
  <si>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</si>
  <si>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</si>
  <si>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</si>
  <si>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</si>
  <si>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</si>
  <si>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</si>
  <si>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</si>
  <si>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</si>
  <si>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</si>
  <si>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</si>
  <si>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</si>
  <si>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</si>
  <si>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</si>
  <si>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</si>
  <si>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</si>
  <si>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</si>
  <si>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</si>
  <si>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</si>
  <si>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</si>
  <si>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</si>
  <si>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</si>
  <si>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</si>
  <si>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</si>
  <si>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</si>
  <si>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</si>
  <si>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</si>
  <si>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</si>
  <si>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</si>
  <si>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</si>
  <si>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</si>
  <si>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</si>
  <si>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</si>
  <si>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</si>
  <si>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</si>
  <si>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</si>
  <si>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</si>
  <si>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</si>
  <si>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</si>
  <si>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</si>
  <si>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</si>
  <si>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</si>
  <si>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</si>
  <si>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</si>
  <si>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</si>
  <si>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</si>
  <si>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</si>
  <si>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</si>
  <si>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</si>
  <si>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</si>
  <si>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</si>
  <si>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</si>
  <si>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</si>
  <si>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</si>
  <si>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</si>
  <si>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</si>
  <si>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</si>
  <si>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</si>
  <si>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</si>
  <si>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</si>
  <si>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</si>
  <si>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</si>
  <si>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</si>
  <si>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</si>
  <si>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</si>
  <si>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</si>
  <si>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</si>
  <si>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</si>
  <si>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</si>
  <si>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</si>
  <si>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</si>
  <si>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</si>
  <si>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</si>
  <si>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</si>
  <si>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</si>
  <si>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</si>
  <si>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</si>
  <si>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</si>
  <si>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</si>
  <si>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</si>
  <si>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</si>
  <si>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</si>
  <si>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</si>
  <si>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</si>
  <si>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</si>
  <si>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</si>
  <si>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</si>
  <si>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</si>
  <si>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</si>
  <si>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</si>
  <si>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</si>
  <si>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</si>
  <si>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</si>
  <si>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</si>
  <si>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</si>
  <si>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</si>
  <si>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</si>
  <si>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</si>
  <si>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</si>
  <si>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</si>
  <si>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</si>
  <si>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</si>
  <si>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</si>
  <si>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</si>
  <si>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</si>
  <si>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</si>
  <si>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</si>
  <si>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</si>
  <si>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</si>
  <si>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</si>
  <si>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</si>
  <si>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</si>
  <si>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</si>
  <si>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</si>
  <si>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</si>
  <si>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</si>
  <si>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</si>
  <si>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</si>
  <si>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</si>
  <si>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</si>
  <si>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</si>
  <si>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</si>
  <si>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</si>
  <si>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</si>
  <si>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</si>
  <si>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</si>
  <si>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</si>
  <si>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</si>
  <si>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</si>
  <si>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</si>
  <si>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</si>
  <si>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</si>
  <si>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</si>
  <si>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</si>
  <si>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</si>
  <si>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</si>
  <si>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</si>
  <si>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</si>
  <si>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</si>
  <si>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</si>
  <si>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</si>
  <si>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</si>
  <si>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</si>
  <si>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</si>
  <si>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</si>
  <si>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</si>
  <si>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</si>
  <si>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</si>
  <si>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</si>
  <si>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</si>
  <si>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</si>
  <si>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</si>
  <si>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</si>
  <si>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</si>
  <si>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</si>
  <si>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</si>
  <si>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</si>
  <si>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</si>
  <si>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</si>
  <si>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</si>
  <si>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</si>
  <si>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</si>
  <si>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</si>
  <si>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</si>
  <si>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</si>
  <si>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</si>
  <si>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</si>
  <si>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</si>
  <si>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</si>
  <si>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</si>
  <si>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</si>
  <si>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</si>
  <si>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</si>
  <si>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</si>
  <si>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</si>
  <si>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</si>
  <si>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</si>
  <si>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</si>
  <si>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</si>
  <si>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</si>
  <si>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</si>
  <si>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</si>
  <si>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</si>
  <si>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</si>
  <si>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</si>
  <si>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</si>
  <si>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</si>
  <si>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</si>
  <si>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</si>
  <si>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</si>
  <si>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</si>
  <si>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</si>
  <si>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</si>
  <si>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</si>
  <si>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</si>
  <si>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</si>
  <si>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</si>
  <si>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</si>
  <si>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</si>
  <si>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</si>
  <si>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</si>
  <si>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</si>
  <si>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</si>
  <si>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</si>
  <si>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</si>
  <si>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</si>
  <si>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</si>
  <si>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</si>
  <si>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</si>
  <si>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</si>
  <si>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</si>
  <si>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</si>
  <si>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</si>
  <si>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</si>
  <si>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</si>
  <si>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</si>
  <si>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</si>
  <si>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</si>
  <si>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</si>
  <si>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</si>
  <si>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</si>
  <si>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</si>
  <si>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</si>
  <si>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</si>
  <si>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</si>
  <si>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</si>
  <si>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</si>
  <si>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</si>
  <si>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</si>
  <si>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</si>
  <si>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</si>
  <si>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</si>
  <si>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</si>
  <si>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</si>
  <si>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</si>
  <si>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</si>
  <si>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</si>
  <si>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</si>
  <si>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</si>
  <si>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</si>
  <si>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</si>
  <si>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</si>
  <si>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</si>
  <si>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</si>
  <si>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</si>
  <si>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</si>
  <si>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</si>
  <si>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</si>
  <si>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</si>
  <si>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</si>
  <si>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</si>
  <si>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</si>
  <si>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</si>
  <si>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</si>
  <si>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</si>
  <si>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</si>
  <si>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</si>
  <si>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</si>
  <si>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</si>
  <si>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</si>
  <si>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</si>
  <si>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</si>
  <si>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</si>
  <si>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</si>
  <si>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</si>
  <si>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</si>
  <si>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</si>
  <si>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</si>
  <si>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</si>
  <si>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</si>
  <si>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</si>
  <si>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</si>
  <si>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</si>
  <si>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</si>
  <si>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</si>
  <si>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</si>
  <si>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</si>
  <si>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</si>
  <si>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</si>
  <si>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</si>
  <si>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</si>
  <si>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</si>
  <si>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</si>
  <si>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</si>
  <si>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</si>
  <si>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</si>
  <si>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</si>
  <si>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</si>
  <si>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</si>
  <si>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</si>
  <si>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</si>
  <si>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</si>
  <si>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</si>
  <si>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</si>
  <si>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</si>
  <si>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</si>
  <si>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</si>
  <si>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</si>
  <si>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</si>
  <si>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</si>
  <si>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</si>
  <si>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</si>
  <si>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</si>
  <si>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</si>
  <si>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</si>
  <si>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</si>
  <si>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</si>
  <si>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</si>
  <si>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</si>
  <si>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</si>
  <si>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</si>
  <si>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</si>
  <si>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</si>
  <si>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</si>
  <si>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</si>
  <si>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</si>
  <si>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</si>
  <si>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</si>
  <si>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</si>
  <si>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</si>
  <si>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</si>
  <si>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</si>
  <si>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</si>
  <si>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</si>
  <si>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</si>
  <si>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</si>
  <si>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</si>
  <si>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</si>
  <si>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</si>
  <si>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</si>
  <si>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</si>
  <si>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</si>
  <si>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</si>
  <si>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</si>
  <si>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</si>
  <si>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</si>
  <si>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</si>
  <si>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</si>
  <si>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</si>
  <si>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</si>
  <si>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</si>
  <si>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</si>
  <si>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</si>
  <si>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</si>
  <si>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</si>
  <si>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</si>
  <si>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</si>
  <si>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</si>
  <si>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</si>
  <si>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</si>
  <si>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</si>
  <si>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</si>
  <si>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</si>
  <si>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</si>
  <si>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</si>
  <si>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</si>
  <si>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</si>
  <si>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</si>
  <si>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</si>
  <si>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</si>
  <si>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</si>
  <si>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</si>
  <si>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</si>
  <si>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</si>
  <si>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</si>
  <si>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</si>
  <si>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</si>
  <si>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</si>
  <si>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</si>
  <si>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</si>
  <si>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</si>
  <si>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</si>
  <si>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</si>
  <si>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</si>
  <si>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</si>
  <si>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</si>
  <si>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</si>
  <si>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</si>
  <si>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</si>
  <si>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</si>
  <si>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</si>
  <si>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</si>
  <si>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</si>
  <si>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</si>
  <si>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</si>
  <si>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</si>
  <si>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</si>
  <si>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</si>
  <si>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</si>
  <si>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</si>
  <si>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</si>
  <si>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</si>
  <si>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</si>
  <si>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</si>
  <si>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</si>
  <si>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</si>
  <si>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</si>
  <si>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</si>
  <si>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</si>
  <si>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</si>
  <si>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</si>
  <si>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</si>
  <si>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</si>
  <si>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</si>
  <si>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</si>
  <si>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</si>
  <si>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</si>
  <si>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</si>
  <si>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</si>
  <si>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</si>
  <si>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</si>
  <si>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</si>
  <si>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</si>
  <si>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</si>
  <si>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</si>
  <si>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</si>
  <si>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</si>
  <si>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</si>
  <si>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</si>
  <si>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</si>
  <si>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</si>
  <si>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</si>
  <si>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</si>
  <si>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</si>
  <si>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</si>
  <si>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</si>
  <si>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</si>
  <si>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</si>
  <si>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</si>
  <si>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</si>
  <si>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</si>
  <si>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</si>
  <si>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</si>
  <si>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</si>
  <si>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</si>
  <si>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</si>
  <si>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</si>
  <si>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</si>
  <si>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</si>
  <si>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</si>
  <si>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</si>
  <si>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</si>
  <si>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</si>
  <si>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</si>
  <si>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</si>
  <si>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</si>
  <si>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</si>
  <si>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</si>
  <si>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</si>
  <si>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</si>
  <si>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</si>
  <si>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</si>
  <si>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</si>
  <si>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</si>
  <si>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</si>
  <si>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</si>
  <si>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</si>
  <si>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</si>
  <si>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</si>
  <si>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</si>
  <si>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</si>
  <si>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</si>
  <si>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</si>
  <si>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</si>
  <si>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</si>
  <si>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</si>
  <si>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</si>
  <si>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</si>
  <si>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</si>
  <si>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</si>
  <si>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</si>
  <si>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</si>
  <si>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</si>
  <si>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</si>
  <si>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</si>
  <si>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</si>
  <si>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</si>
  <si>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</si>
  <si>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</si>
  <si>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</si>
  <si>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</si>
  <si>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</si>
  <si>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</si>
  <si>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</si>
  <si>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</si>
  <si>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</si>
  <si>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</si>
  <si>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</si>
  <si>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</si>
  <si>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</si>
  <si>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</si>
  <si>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</si>
  <si>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</si>
  <si>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</si>
  <si>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</si>
  <si>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</si>
  <si>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</si>
  <si>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</si>
  <si>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</si>
  <si>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</si>
  <si>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</si>
  <si>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</si>
  <si>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</si>
  <si>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</si>
  <si>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</si>
  <si>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</si>
  <si>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</si>
  <si>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</si>
  <si>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</si>
  <si>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</si>
  <si>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</si>
  <si>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</si>
  <si>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</si>
  <si>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</si>
  <si>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</si>
  <si>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</si>
  <si>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</si>
  <si>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</si>
  <si>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</si>
  <si>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</si>
  <si>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</si>
  <si>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</si>
  <si>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</si>
  <si>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</si>
  <si>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</si>
  <si>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</si>
  <si>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</si>
  <si>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</si>
  <si>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</si>
  <si>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</si>
  <si>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</si>
  <si>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</si>
  <si>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</si>
  <si>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</si>
  <si>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</si>
  <si>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</si>
  <si>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</si>
  <si>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</si>
  <si>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</si>
  <si>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</si>
  <si>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</si>
  <si>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</si>
  <si>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</si>
  <si>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</si>
  <si>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</si>
  <si>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</si>
  <si>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</si>
  <si>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</si>
  <si>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</si>
  <si>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</si>
  <si>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</si>
  <si>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</si>
  <si>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</si>
  <si>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</si>
  <si>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</si>
  <si>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</si>
  <si>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</si>
  <si>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</si>
  <si>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</si>
  <si>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</si>
  <si>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</si>
  <si>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</si>
  <si>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</si>
  <si>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</si>
  <si>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</si>
  <si>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</si>
  <si>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</si>
  <si>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</si>
  <si>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</si>
  <si>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</si>
  <si>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</si>
  <si>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</si>
  <si>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</si>
  <si>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</si>
  <si>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</si>
  <si>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</si>
  <si>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</si>
  <si>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</si>
  <si>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</si>
  <si>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</si>
  <si>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</si>
  <si>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</si>
  <si>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</si>
  <si>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</si>
  <si>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</si>
  <si>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</si>
  <si>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</si>
  <si>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</si>
  <si>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</si>
  <si>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</si>
  <si>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</si>
  <si>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</si>
  <si>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</si>
  <si>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</si>
  <si>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</si>
  <si>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</si>
  <si>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</si>
  <si>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</si>
  <si>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</si>
  <si>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</si>
  <si>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</si>
  <si>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</si>
  <si>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</si>
  <si>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</si>
  <si>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</si>
  <si>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</si>
  <si>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</si>
  <si>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</si>
  <si>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</si>
  <si>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</si>
  <si>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</si>
  <si>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</si>
  <si>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</si>
  <si>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</si>
  <si>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</si>
  <si>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</si>
  <si>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</si>
  <si>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</si>
  <si>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</si>
  <si>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</si>
  <si>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</si>
  <si>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</si>
  <si>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</si>
  <si>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</si>
  <si>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</si>
  <si>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</si>
  <si>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</si>
  <si>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</si>
  <si>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</si>
  <si>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</si>
  <si>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</si>
  <si>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</si>
  <si>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</si>
  <si>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</si>
  <si>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</si>
  <si>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</si>
  <si>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</si>
  <si>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</si>
  <si>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</si>
  <si>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</si>
  <si>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</si>
  <si>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</si>
  <si>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</si>
  <si>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</si>
  <si>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</si>
  <si>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</si>
  <si>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</si>
  <si>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</si>
  <si>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</si>
  <si>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</si>
  <si>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</si>
  <si>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</si>
  <si>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</si>
  <si>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</si>
  <si>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</si>
  <si>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</si>
  <si>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</si>
  <si>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</si>
  <si>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</si>
  <si>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</si>
  <si>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</si>
  <si>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</si>
  <si>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</si>
  <si>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</si>
  <si>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</si>
  <si>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</si>
  <si>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</si>
  <si>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</si>
  <si>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</si>
  <si>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</si>
  <si>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</si>
  <si>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</si>
  <si>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</si>
  <si>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</si>
  <si>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</si>
  <si>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</si>
  <si>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</si>
  <si>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</si>
  <si>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</si>
  <si>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</si>
  <si>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</si>
  <si>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</si>
  <si>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</si>
  <si>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</si>
  <si>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</si>
  <si>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</si>
  <si>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</si>
  <si>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</si>
  <si>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</si>
  <si>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</si>
  <si>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</si>
  <si>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</si>
  <si>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</si>
  <si>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</si>
  <si>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</si>
  <si>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</si>
  <si>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</si>
  <si>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</si>
  <si>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</si>
  <si>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</si>
  <si>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</si>
  <si>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</si>
  <si>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</si>
  <si>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</si>
  <si>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</si>
  <si>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</si>
  <si>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</si>
  <si>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</si>
  <si>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</si>
  <si>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</si>
  <si>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</si>
  <si>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</si>
  <si>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</si>
  <si>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</si>
  <si>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</si>
  <si>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</si>
  <si>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</si>
  <si>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</si>
  <si>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</si>
  <si>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</si>
  <si>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</si>
  <si>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</si>
  <si>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</si>
  <si>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</si>
  <si>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</si>
  <si>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</si>
  <si>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</si>
  <si>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</si>
  <si>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</si>
  <si>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</si>
  <si>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</si>
  <si>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</si>
  <si>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</si>
  <si>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</si>
  <si>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</si>
  <si>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</si>
  <si>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</si>
  <si>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</si>
  <si>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</si>
  <si>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</si>
  <si>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</si>
  <si>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</si>
  <si>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</si>
  <si>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</si>
  <si>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</si>
  <si>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</si>
  <si>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</si>
  <si>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</si>
  <si>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</si>
  <si>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</si>
  <si>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</si>
  <si>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</si>
  <si>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</si>
  <si>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</si>
  <si>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</si>
  <si>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</si>
  <si>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</si>
  <si>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</si>
  <si>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</si>
  <si>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</si>
  <si>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</si>
  <si>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</si>
  <si>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</si>
  <si>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</si>
  <si>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</si>
  <si>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</si>
  <si>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</si>
  <si>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</si>
  <si>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</si>
  <si>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</si>
  <si>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</si>
  <si>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</si>
  <si>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</si>
  <si>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</si>
  <si>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</si>
  <si>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</si>
  <si>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</si>
  <si>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</si>
  <si>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</si>
  <si>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</si>
  <si>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</si>
  <si>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</si>
  <si>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</si>
  <si>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</si>
  <si>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</si>
  <si>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</si>
  <si>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</si>
  <si>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</si>
  <si>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</si>
  <si>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</si>
  <si>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</si>
  <si>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</si>
  <si>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</si>
  <si>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</si>
  <si>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</si>
  <si>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</si>
  <si>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</si>
  <si>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</si>
  <si>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</si>
  <si>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</si>
  <si>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</si>
  <si>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</si>
  <si>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</si>
  <si>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</si>
  <si>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</si>
  <si>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</si>
  <si>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</si>
  <si>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</si>
  <si>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</si>
  <si>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</si>
  <si>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</si>
  <si>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</si>
  <si>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</si>
  <si>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</si>
  <si>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</si>
  <si>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</si>
  <si>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</si>
  <si>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</si>
  <si>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</si>
  <si>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</si>
  <si>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</si>
  <si>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</si>
  <si>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</si>
  <si>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</si>
  <si>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</si>
  <si>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</si>
  <si>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</si>
  <si>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</si>
  <si>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</si>
  <si>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</si>
  <si>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</si>
  <si>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</si>
  <si>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</si>
  <si>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</si>
  <si>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</si>
  <si>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</si>
  <si>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</si>
  <si>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</si>
  <si>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</si>
  <si>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</si>
  <si>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</si>
  <si>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</si>
  <si>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</si>
  <si>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</si>
  <si>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</si>
  <si>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</si>
  <si>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</si>
  <si>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</si>
  <si>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</si>
  <si>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</si>
  <si>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</si>
  <si>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</si>
  <si>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</si>
  <si>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</si>
  <si>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</si>
  <si>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</si>
  <si>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</si>
  <si>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</si>
  <si>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</si>
  <si>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</si>
  <si>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</si>
  <si>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</si>
  <si>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</si>
  <si>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</si>
  <si>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</si>
  <si>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</si>
  <si>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</si>
  <si>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</si>
  <si>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</si>
  <si>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</si>
  <si>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</si>
  <si>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</si>
  <si>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</si>
  <si>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</si>
  <si>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</si>
  <si>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</si>
  <si>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</si>
  <si>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</si>
  <si>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</si>
  <si>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</si>
  <si>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</si>
  <si>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</si>
  <si>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</si>
  <si>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</si>
  <si>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</si>
  <si>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</si>
  <si>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</si>
  <si>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</si>
  <si>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</si>
  <si>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</si>
  <si>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</si>
  <si>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</si>
  <si>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</si>
  <si>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</si>
  <si>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</si>
  <si>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</si>
  <si>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</si>
  <si>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</si>
  <si>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</si>
  <si>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</si>
  <si>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</si>
  <si>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</si>
  <si>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</si>
  <si>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</si>
  <si>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</si>
  <si>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</si>
  <si>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</si>
  <si>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</si>
  <si>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</si>
  <si>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</si>
  <si>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</si>
  <si>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</si>
  <si>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</si>
  <si>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</si>
  <si>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</si>
  <si>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</si>
  <si>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</si>
  <si>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</si>
  <si>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</si>
  <si>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</si>
  <si>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</si>
  <si>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</si>
  <si>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</si>
  <si>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</si>
  <si>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</si>
  <si>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</si>
  <si>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</si>
  <si>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</si>
  <si>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</si>
  <si>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</si>
  <si>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</si>
  <si>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</si>
  <si>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</si>
  <si>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</si>
  <si>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</si>
  <si>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</si>
  <si>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</si>
  <si>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</si>
  <si>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</si>
  <si>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</si>
  <si>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</si>
  <si>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</si>
  <si>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</si>
  <si>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</si>
  <si>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</si>
  <si>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</si>
  <si>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</si>
  <si>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</si>
  <si>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</si>
  <si>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</si>
  <si>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</si>
  <si>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</si>
  <si>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</si>
  <si>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</si>
  <si>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</si>
  <si>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</si>
  <si>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</si>
  <si>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</si>
  <si>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</si>
  <si>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</si>
  <si>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</si>
  <si>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</si>
  <si>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</si>
  <si>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</si>
  <si>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</si>
  <si>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</si>
  <si>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</si>
  <si>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</si>
  <si>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</si>
  <si>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</si>
  <si>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</si>
  <si>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</si>
  <si>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</si>
  <si>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</si>
  <si>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</si>
  <si>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</si>
  <si>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</si>
  <si>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</si>
  <si>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</si>
  <si>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</si>
  <si>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</si>
  <si>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</si>
  <si>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</si>
  <si>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</si>
  <si>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</si>
  <si>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</si>
  <si>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</si>
  <si>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</si>
  <si>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</si>
  <si>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</si>
  <si>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</si>
  <si>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</si>
  <si>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</si>
  <si>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</si>
  <si>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</si>
  <si>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</si>
  <si>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</si>
  <si>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</si>
  <si>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</si>
  <si>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</si>
  <si>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</si>
  <si>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</si>
  <si>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</si>
  <si>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</si>
  <si>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</si>
  <si>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</si>
  <si>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</si>
  <si>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</si>
  <si>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</si>
  <si>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</si>
  <si>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</si>
  <si>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</si>
  <si>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</si>
  <si>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</si>
  <si>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</si>
  <si>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</si>
  <si>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</si>
  <si>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</si>
  <si>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</si>
  <si>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</si>
  <si>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</si>
  <si>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</si>
  <si>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</si>
  <si>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</si>
  <si>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</si>
  <si>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</si>
  <si>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</si>
  <si>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</si>
  <si>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</si>
  <si>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</si>
  <si>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</si>
  <si>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</si>
  <si>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</si>
  <si>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</si>
  <si>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</si>
  <si>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</si>
  <si>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</si>
  <si>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</si>
  <si>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</si>
  <si>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</si>
  <si>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</si>
  <si>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</si>
  <si>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</si>
  <si>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</si>
  <si>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</si>
  <si>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</si>
  <si>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</si>
  <si>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</si>
  <si>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</si>
  <si>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</si>
  <si>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</si>
  <si>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</si>
  <si>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</si>
  <si>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</si>
  <si>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</si>
  <si>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</si>
  <si>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</si>
  <si>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</si>
  <si>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</si>
  <si>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</si>
  <si>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</si>
  <si>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</si>
  <si>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</si>
  <si>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</si>
  <si>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</si>
  <si>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</si>
  <si>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</si>
  <si>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</si>
  <si>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</si>
  <si>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</si>
  <si>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</si>
  <si>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</si>
  <si>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</si>
  <si>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</si>
  <si>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</si>
  <si>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</si>
  <si>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</si>
  <si>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</si>
  <si>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</si>
  <si>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</si>
  <si>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</si>
  <si>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</si>
  <si>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</si>
  <si>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</si>
  <si>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</si>
  <si>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</si>
  <si>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</si>
  <si>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</si>
  <si>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</si>
  <si>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</si>
  <si>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</si>
  <si>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</si>
  <si>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</si>
  <si>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</si>
  <si>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</si>
  <si>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</si>
  <si>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</si>
  <si>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</si>
  <si>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</si>
  <si>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</si>
  <si>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</si>
  <si>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</si>
  <si>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</si>
  <si>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</si>
  <si>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</si>
  <si>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</si>
  <si>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</si>
  <si>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</si>
  <si>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</si>
  <si>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</si>
  <si>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</si>
  <si>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</si>
  <si>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</si>
  <si>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</si>
  <si>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</si>
  <si>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</si>
  <si>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</si>
  <si>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</si>
  <si>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</si>
  <si>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</si>
  <si>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</si>
  <si>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</si>
  <si>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</si>
  <si>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</si>
  <si>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</si>
  <si>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</si>
  <si>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</si>
  <si>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</si>
  <si>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</si>
  <si>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</si>
  <si>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</si>
  <si>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</si>
  <si>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</si>
  <si>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</si>
  <si>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</si>
  <si>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</si>
  <si>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</si>
  <si>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</si>
  <si>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</si>
  <si>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</si>
  <si>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</si>
  <si>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</si>
  <si>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</si>
  <si>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</si>
  <si>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</si>
  <si>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</si>
  <si>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</si>
  <si>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</si>
  <si>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</si>
  <si>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</si>
  <si>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</si>
  <si>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</si>
  <si>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</si>
  <si>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</si>
  <si>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</si>
  <si>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</si>
  <si>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</si>
  <si>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</si>
  <si>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</si>
  <si>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</si>
  <si>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</si>
  <si>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</si>
  <si>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</si>
  <si>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</si>
  <si>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</si>
  <si>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</si>
  <si>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</si>
  <si>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</si>
  <si>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</si>
  <si>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</si>
  <si>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</si>
  <si>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</si>
  <si>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</si>
  <si>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</si>
  <si>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</si>
  <si>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</si>
  <si>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</si>
  <si>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</si>
  <si>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</si>
  <si>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</si>
  <si>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</si>
  <si>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</si>
  <si>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</si>
  <si>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</si>
  <si>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</si>
  <si>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</si>
  <si>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</si>
  <si>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</si>
  <si>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</si>
  <si>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</si>
  <si>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</si>
  <si>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</si>
  <si>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</si>
  <si>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</si>
  <si>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</si>
  <si>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</si>
  <si>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</si>
  <si>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</si>
  <si>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</si>
  <si>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</si>
  <si>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</si>
  <si>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</si>
  <si>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</si>
  <si>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</si>
  <si>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</si>
  <si>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</si>
  <si>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</si>
  <si>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</si>
  <si>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</si>
  <si>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</si>
  <si>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</si>
  <si>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</si>
  <si>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</si>
  <si>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</si>
  <si>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</si>
  <si>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</si>
  <si>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</si>
  <si>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</si>
  <si>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</si>
  <si>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</si>
  <si>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</si>
  <si>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</si>
  <si>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</si>
  <si>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</si>
  <si>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</si>
  <si>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</si>
  <si>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</si>
  <si>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</si>
  <si>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</si>
  <si>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</si>
  <si>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</si>
  <si>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</si>
  <si>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</si>
  <si>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</si>
  <si>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</si>
  <si>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</si>
  <si>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</si>
  <si>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</si>
  <si>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</si>
  <si>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</si>
  <si>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</si>
  <si>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</si>
  <si>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</si>
  <si>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</si>
  <si>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</si>
  <si>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</si>
  <si>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</si>
  <si>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</si>
  <si>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</si>
  <si>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</si>
  <si>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</si>
  <si>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</si>
  <si>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</si>
  <si>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</si>
  <si>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</si>
  <si>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</si>
  <si>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</si>
  <si>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</si>
  <si>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</si>
  <si>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</si>
  <si>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</si>
  <si>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</si>
  <si>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</si>
  <si>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</si>
  <si>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</si>
  <si>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</si>
  <si>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</si>
  <si>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</si>
  <si>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</si>
  <si>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</si>
  <si>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</si>
  <si>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</si>
  <si>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</si>
  <si>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</si>
  <si>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</si>
  <si>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</si>
  <si>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</si>
  <si>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</si>
  <si>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</si>
  <si>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</si>
  <si>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</si>
  <si>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</si>
  <si>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</si>
  <si>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</si>
  <si>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</si>
  <si>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</si>
  <si>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</si>
  <si>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</si>
  <si>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</si>
  <si>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</si>
  <si>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</si>
  <si>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</si>
  <si>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</si>
  <si>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</si>
  <si>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</si>
  <si>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</si>
  <si>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</si>
  <si>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</si>
  <si>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</si>
  <si>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</si>
  <si>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</si>
  <si>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</si>
  <si>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</si>
  <si>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</si>
  <si>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</si>
  <si>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</si>
  <si>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</si>
  <si>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</si>
  <si>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</si>
  <si>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</si>
  <si>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</si>
  <si>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</si>
  <si>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</si>
  <si>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</si>
  <si>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</si>
  <si>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</si>
  <si>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</si>
  <si>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</si>
  <si>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</si>
  <si>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</si>
  <si>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</si>
  <si>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</si>
  <si>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</si>
  <si>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</si>
  <si>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</si>
  <si>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</si>
  <si>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</si>
  <si>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</si>
  <si>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</si>
  <si>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</si>
  <si>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</si>
  <si>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</si>
  <si>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</si>
  <si>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</si>
  <si>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</si>
  <si>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</si>
  <si>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</si>
  <si>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</si>
  <si>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</si>
  <si>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</si>
  <si>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</si>
  <si>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</si>
  <si>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</si>
  <si>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</si>
  <si>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</si>
  <si>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</si>
  <si>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</si>
  <si>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</si>
  <si>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</si>
  <si>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</si>
  <si>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</si>
  <si>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</si>
  <si>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</si>
  <si>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</si>
  <si>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</si>
  <si>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</si>
  <si>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</si>
  <si>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</si>
  <si>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</si>
  <si>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</si>
  <si>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</si>
  <si>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</si>
  <si>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</si>
  <si>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</si>
  <si>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</si>
  <si>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</si>
  <si>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</si>
  <si>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</si>
  <si>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</si>
  <si>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</si>
  <si>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</si>
  <si>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</si>
  <si>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</si>
  <si>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</si>
  <si>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</si>
  <si>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</si>
  <si>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</si>
  <si>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</si>
  <si>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</si>
  <si>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</si>
  <si>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</si>
  <si>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</si>
  <si>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</si>
  <si>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</si>
  <si>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</si>
  <si>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</si>
  <si>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</si>
  <si>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</si>
  <si>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</si>
  <si>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</si>
  <si>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</si>
  <si>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</si>
  <si>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</si>
  <si>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</si>
  <si>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</si>
  <si>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</si>
  <si>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</si>
  <si>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</si>
  <si>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</si>
  <si>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</si>
  <si>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</si>
  <si>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</si>
  <si>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</si>
  <si>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</si>
  <si>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</si>
  <si>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</si>
  <si>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</si>
  <si>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</si>
  <si>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</si>
  <si>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</si>
  <si>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</si>
  <si>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</si>
  <si>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</si>
  <si>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</si>
  <si>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</si>
  <si>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</si>
  <si>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</si>
  <si>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</si>
  <si>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</si>
  <si>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</si>
  <si>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</si>
  <si>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</si>
  <si>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</si>
  <si>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</si>
  <si>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</si>
  <si>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</si>
  <si>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</si>
  <si>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</si>
  <si>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</si>
  <si>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</si>
  <si>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</si>
  <si>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</si>
  <si>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</si>
  <si>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</si>
  <si>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</si>
  <si>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</si>
  <si>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</si>
  <si>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</si>
  <si>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</si>
  <si>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</si>
  <si>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</si>
  <si>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</si>
  <si>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</si>
  <si>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</si>
  <si>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</si>
  <si>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</si>
  <si>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</si>
  <si>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</si>
  <si>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</si>
  <si>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</si>
  <si>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</si>
  <si>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</si>
  <si>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</si>
  <si>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</si>
  <si>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</si>
  <si>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</si>
  <si>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</si>
  <si>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</si>
  <si>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</si>
  <si>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</si>
  <si>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</si>
  <si>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</si>
  <si>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</si>
  <si>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</si>
  <si>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</si>
  <si>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</si>
  <si>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</si>
  <si>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</si>
  <si>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</si>
  <si>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</si>
  <si>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</si>
  <si>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</si>
  <si>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</si>
  <si>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</si>
  <si>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</si>
  <si>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</si>
  <si>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</si>
  <si>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</si>
  <si>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</si>
  <si>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</si>
  <si>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</si>
  <si>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</si>
  <si>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</si>
  <si>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</si>
  <si>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</si>
  <si>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</si>
  <si>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</si>
  <si>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</si>
  <si>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</si>
  <si>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</si>
  <si>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</si>
  <si>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</si>
  <si>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</si>
  <si>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</si>
  <si>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</si>
  <si>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</si>
  <si>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</si>
  <si>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</si>
  <si>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</si>
  <si>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</si>
  <si>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</si>
  <si>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</si>
  <si>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</si>
  <si>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</si>
  <si>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</si>
  <si>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</si>
  <si>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</si>
  <si>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</si>
  <si>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</si>
  <si>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</si>
  <si>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</si>
  <si>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</si>
  <si>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</si>
  <si>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</si>
  <si>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</si>
  <si>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</si>
  <si>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</si>
  <si>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</si>
  <si>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</si>
  <si>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</si>
  <si>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</si>
  <si>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</si>
  <si>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</si>
  <si>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</si>
  <si>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</si>
  <si>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</si>
  <si>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</si>
  <si>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</si>
  <si>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</si>
  <si>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</si>
  <si>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</si>
  <si>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</si>
  <si>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</si>
  <si>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</si>
  <si>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</si>
  <si>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</si>
  <si>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</si>
  <si>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</si>
  <si>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</si>
  <si>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</si>
  <si>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</si>
  <si>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</si>
  <si>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</si>
  <si>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</si>
  <si>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</si>
  <si>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</si>
  <si>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</si>
  <si>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</si>
  <si>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</si>
  <si>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</si>
  <si>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</si>
  <si>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</si>
  <si>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</si>
  <si>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</si>
  <si>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</si>
  <si>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</si>
  <si>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</si>
  <si>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</si>
  <si>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</si>
  <si>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</si>
  <si>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</si>
  <si>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</si>
  <si>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</si>
  <si>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</si>
  <si>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</si>
  <si>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</si>
  <si>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</si>
  <si>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</si>
  <si>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</si>
  <si>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</si>
  <si>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</si>
  <si>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</si>
  <si>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</si>
  <si>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</si>
  <si>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</si>
  <si>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</si>
  <si>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</si>
  <si>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</si>
  <si>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</si>
  <si>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</si>
  <si>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</si>
  <si>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</si>
  <si>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</si>
  <si>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</si>
  <si>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</si>
  <si>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</si>
  <si>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</si>
  <si>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</si>
  <si>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</si>
  <si>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</si>
  <si>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</si>
  <si>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</si>
  <si>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</si>
  <si>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</si>
  <si>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</si>
  <si>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</si>
  <si>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</si>
  <si>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</si>
  <si>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</si>
  <si>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</si>
  <si>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</si>
  <si>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</si>
  <si>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</si>
  <si>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</si>
  <si>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</si>
  <si>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</si>
  <si>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</si>
  <si>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</si>
  <si>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</si>
  <si>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</si>
  <si>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</si>
  <si>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</si>
  <si>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</si>
  <si>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</si>
  <si>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</si>
  <si>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</si>
  <si>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</si>
  <si>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</si>
  <si>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</si>
  <si>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</si>
  <si>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</si>
  <si>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</si>
  <si>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</si>
  <si>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</si>
  <si>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</si>
  <si>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</si>
  <si>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</si>
  <si>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</si>
  <si>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</si>
  <si>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</si>
  <si>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</si>
  <si>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</si>
  <si>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</si>
  <si>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</si>
  <si>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</si>
  <si>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</si>
  <si>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</si>
  <si>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</si>
  <si>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</si>
  <si>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</si>
  <si>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</si>
  <si>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</si>
  <si>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</si>
  <si>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</si>
  <si>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</si>
  <si>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</si>
  <si>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</si>
  <si>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</si>
  <si>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</si>
  <si>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</si>
  <si>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</si>
  <si>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</si>
  <si>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</si>
  <si>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抵押</t>
  </si>
  <si>
    <t>房地产抵押价值</t>
  </si>
  <si>
    <t>北京市</t>
  </si>
  <si>
    <t>企业</t>
  </si>
  <si>
    <r>
      <rPr>
        <sz val="10"/>
        <color theme="9" tint="-0.249977111117893"/>
        <rFont val="宋体"/>
        <family val="3"/>
        <charset val="134"/>
      </rPr>
      <t>顺义区金关北二路</t>
    </r>
    <r>
      <rPr>
        <sz val="10"/>
        <color theme="9" tint="-0.249977111117893"/>
        <rFont val="Arial"/>
        <family val="2"/>
      </rPr>
      <t>2</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115</t>
    </r>
    <phoneticPr fontId="6" type="noConversion"/>
  </si>
  <si>
    <t>是</t>
  </si>
  <si>
    <t>地上</t>
  </si>
  <si>
    <t>建成年代</t>
    <phoneticPr fontId="3" type="noConversion"/>
  </si>
  <si>
    <t>直线</t>
    <phoneticPr fontId="3" type="noConversion"/>
  </si>
  <si>
    <t>观察</t>
    <phoneticPr fontId="3" type="noConversion"/>
  </si>
  <si>
    <t>综合</t>
    <phoneticPr fontId="3" type="noConversion"/>
  </si>
  <si>
    <t>成新度</t>
  </si>
  <si>
    <r>
      <rPr>
        <sz val="10"/>
        <color indexed="8"/>
        <rFont val="宋体"/>
        <family val="3"/>
        <charset val="134"/>
      </rPr>
      <t>北京市顺义区金关北二路</t>
    </r>
    <r>
      <rPr>
        <sz val="10"/>
        <color indexed="8"/>
        <rFont val="Arial"/>
        <family val="2"/>
      </rPr>
      <t>2</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115</t>
    </r>
    <r>
      <rPr>
        <sz val="10"/>
        <color indexed="8"/>
        <rFont val="宋体"/>
        <family val="3"/>
        <charset val="134"/>
      </rPr>
      <t>商业用房，估值大约是</t>
    </r>
    <r>
      <rPr>
        <sz val="10"/>
        <color indexed="8"/>
        <rFont val="Arial"/>
        <family val="2"/>
      </rPr>
      <t>1200-1300</t>
    </r>
    <r>
      <rPr>
        <sz val="10"/>
        <color indexed="8"/>
        <rFont val="宋体"/>
        <family val="3"/>
        <charset val="134"/>
      </rPr>
      <t>万</t>
    </r>
    <phoneticPr fontId="8" type="noConversion"/>
  </si>
  <si>
    <t>收益法 (元)</t>
  </si>
  <si>
    <t>押一</t>
  </si>
  <si>
    <t>钢混</t>
  </si>
  <si>
    <t>非生产用房</t>
  </si>
  <si>
    <t>报价</t>
    <phoneticPr fontId="3" type="noConversion"/>
  </si>
  <si>
    <t>正常</t>
  </si>
  <si>
    <t>商业</t>
    <phoneticPr fontId="30" type="noConversion"/>
  </si>
  <si>
    <t>报价</t>
  </si>
  <si>
    <t>单套模式</t>
  </si>
  <si>
    <t>售价</t>
  </si>
  <si>
    <t>现房</t>
  </si>
  <si>
    <t>项目局部</t>
  </si>
  <si>
    <t>比较法-商业</t>
  </si>
  <si>
    <t>估价对象周边以住宅配套商业为主，周边商业氛围成熟一般，人流量一般，商业繁华度一般</t>
    <phoneticPr fontId="24" type="noConversion"/>
  </si>
  <si>
    <t>估价对象周边道路状况、公共交通通达情况915、918、955等、停车便捷程度，综合评价交通便捷度一般</t>
    <phoneticPr fontId="40" type="noConversion"/>
  </si>
  <si>
    <t>估价对象所在区域公共配套设施齐备情况一般</t>
    <phoneticPr fontId="40" type="noConversion"/>
  </si>
  <si>
    <t>六通</t>
  </si>
  <si>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南焦路</t>
    </r>
    <phoneticPr fontId="24" type="noConversion"/>
  </si>
  <si>
    <t>一般</t>
  </si>
  <si>
    <t>七通</t>
  </si>
  <si>
    <t>七通</t>
    <phoneticPr fontId="24" type="noConversion"/>
  </si>
  <si>
    <t>街角地</t>
    <phoneticPr fontId="30" type="noConversion"/>
  </si>
  <si>
    <t>多面临街</t>
    <phoneticPr fontId="30" type="noConversion"/>
  </si>
  <si>
    <t>双面临街</t>
    <phoneticPr fontId="30" type="noConversion"/>
  </si>
  <si>
    <t>单面临街</t>
  </si>
  <si>
    <t>单面临街</t>
    <phoneticPr fontId="30" type="noConversion"/>
  </si>
  <si>
    <t>好</t>
  </si>
  <si>
    <t>较好</t>
  </si>
  <si>
    <t>较差</t>
  </si>
  <si>
    <t>差</t>
  </si>
  <si>
    <t>多</t>
  </si>
  <si>
    <t>较多</t>
  </si>
  <si>
    <t>较少</t>
  </si>
  <si>
    <t>少</t>
  </si>
  <si>
    <t>钢混</t>
    <phoneticPr fontId="3" type="noConversion"/>
  </si>
  <si>
    <t>配套商业</t>
  </si>
  <si>
    <t>配套商业</t>
    <phoneticPr fontId="30" type="noConversion"/>
  </si>
  <si>
    <t>精装修</t>
  </si>
  <si>
    <t>普通装修</t>
  </si>
  <si>
    <t>简单装修</t>
  </si>
  <si>
    <t>毛坯</t>
  </si>
  <si>
    <t>七通</t>
    <phoneticPr fontId="3" type="noConversion"/>
  </si>
  <si>
    <t>六通</t>
    <phoneticPr fontId="3" type="noConversion"/>
  </si>
  <si>
    <t>五通</t>
    <phoneticPr fontId="3" type="noConversion"/>
  </si>
  <si>
    <t>标准</t>
  </si>
  <si>
    <t>标准</t>
    <phoneticPr fontId="30" type="noConversion"/>
  </si>
  <si>
    <t>超高</t>
  </si>
  <si>
    <t>超高</t>
    <phoneticPr fontId="30" type="noConversion"/>
  </si>
  <si>
    <t>较好</t>
    <phoneticPr fontId="30" type="noConversion"/>
  </si>
  <si>
    <t>中建国际城</t>
    <phoneticPr fontId="3" type="noConversion"/>
  </si>
  <si>
    <t>楼面单价</t>
  </si>
  <si>
    <t>收益比率</t>
  </si>
  <si>
    <t>情况4</t>
  </si>
  <si>
    <t>转让取得</t>
  </si>
  <si>
    <t>非个人房产</t>
  </si>
  <si>
    <t>否</t>
  </si>
  <si>
    <t>吴薇</t>
  </si>
  <si>
    <t>旭辉空港中心</t>
    <phoneticPr fontId="3" type="noConversion"/>
  </si>
  <si>
    <t>怡馨家园</t>
    <phoneticPr fontId="3" type="noConversion"/>
  </si>
  <si>
    <t>0-10</t>
    <phoneticPr fontId="30" type="noConversion"/>
  </si>
  <si>
    <t>10-20</t>
    <phoneticPr fontId="30" type="noConversion"/>
  </si>
  <si>
    <t>20-30</t>
    <phoneticPr fontId="30" type="noConversion"/>
  </si>
  <si>
    <t>30-40</t>
    <phoneticPr fontId="30" type="noConversion"/>
  </si>
  <si>
    <t>40-50</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</si>
</sst>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9" fontId="47" fillId="12" borderId="0" xfId="17" applyFont="1" applyFill="1" applyAlignment="1" applyProtection="1">
      <alignment horizontal="center" vertical="center"/>
      <protection locked="0"/>
    </xf>
    <xf numFmtId="0" fontId="47" fillId="8" borderId="5" xfId="0" applyFont="1" applyFill="1" applyBorder="1" applyAlignment="1" applyProtection="1">
      <alignment horizontal="left" vertical="center"/>
    </xf>
    <xf numFmtId="10" fontId="47" fillId="8" borderId="61" xfId="0" applyNumberFormat="1" applyFont="1" applyFill="1" applyBorder="1" applyAlignment="1" applyProtection="1">
      <alignment horizontal="center" vertical="center"/>
    </xf>
    <xf numFmtId="49" fontId="51"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北京市顺义区金关北二路2号院2号楼1层115房地产抵押价值预评估</v>
      </c>
    </row>
    <row r="3" spans="1:2" s="1201" customFormat="1">
      <c r="A3" s="1199" t="s">
        <v>523</v>
      </c>
      <c r="B3" s="1200">
        <f>'预评函-封皮'!B40</f>
        <v>0</v>
      </c>
    </row>
    <row r="4" spans="1:2" s="1201" customFormat="1">
      <c r="A4" s="1199" t="s">
        <v>524</v>
      </c>
      <c r="B4" s="1200" t="str">
        <f ca="1">'预评函-封皮'!B46</f>
        <v>吴薇（注册号：1419970001)、（注册号：0)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受贵公司委托，我公司对北京市顺义区金关北二路2号院2号楼1层115房地产抵押价值进行了预评估。</v>
      </c>
    </row>
    <row r="7" spans="1:2" s="1201" customFormat="1">
      <c r="A7" s="1199" t="s">
        <v>566</v>
      </c>
      <c r="B7" s="1200" t="str">
        <f>'预评函-1'!A7</f>
        <v>估价对象为北京市顺义区金关北二路2号院2号楼1层115房地产，为所有。根据《国有土地使用证》[]，估价对象（分摊）出让国有建设用地使用权面积为0平方米，建筑面积为453.74平方米。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顺义区金关北二路2号院2号楼1层115房地产,属开发建设的，该项目尚在开发建设中。根据《国有土地使用证》[]，估价对象（分摊）出让国有建设用地使用权面积为0平方米，规划建筑面积为453.74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顺义区金关北二路2号院2号楼1层115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2024年7月31日（评估专业人员实地查勘之日）</v>
      </c>
    </row>
    <row r="13" spans="1:2" s="1201" customFormat="1">
      <c r="A13" s="1199" t="s">
        <v>529</v>
      </c>
      <c r="B13" s="1200" t="str">
        <f>'预评函-1'!A18</f>
        <v>本次估价的“房地产价值”是指在正常市场情况下，在价值时点2024年7月31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1258</v>
      </c>
    </row>
    <row r="21" spans="1:2" s="1201" customFormat="1">
      <c r="A21" s="1199" t="s">
        <v>537</v>
      </c>
      <c r="B21" s="1200">
        <f ca="1">'预评函-2'!D7</f>
        <v>27717</v>
      </c>
    </row>
    <row r="22" spans="1:2" s="1201" customFormat="1">
      <c r="A22" s="1199" t="s">
        <v>538</v>
      </c>
      <c r="B22" s="1200" t="str">
        <f ca="1">'预评函-2'!D6</f>
        <v>壹仟贰佰伍拾捌万元整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1258</v>
      </c>
    </row>
    <row r="31" spans="1:2" s="1201" customFormat="1">
      <c r="A31" s="1199" t="s">
        <v>576</v>
      </c>
      <c r="B31" s="1200">
        <f ca="1">'预评函-2'!D15</f>
        <v>27717</v>
      </c>
    </row>
    <row r="32" spans="1:2" s="1201" customFormat="1">
      <c r="A32" s="1199" t="s">
        <v>543</v>
      </c>
      <c r="B32" s="1200" t="str">
        <f ca="1">'预评函-2'!D14</f>
        <v>壹仟贰佰伍拾捌万元整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1131</v>
      </c>
    </row>
    <row r="39" spans="1:2" s="1201" customFormat="1">
      <c r="A39" s="1199" t="s">
        <v>545</v>
      </c>
      <c r="B39" s="1200">
        <f ca="1">'预评函-2'!D21</f>
        <v>24926</v>
      </c>
    </row>
    <row r="40" spans="1:2" s="1201" customFormat="1">
      <c r="A40" s="1199" t="s">
        <v>546</v>
      </c>
      <c r="B40" s="1200" t="str">
        <f ca="1">'预评函-2'!D20</f>
        <v>壹仟壹佰叁拾壹万元整</v>
      </c>
    </row>
    <row r="41" spans="1:2" s="1201" customFormat="1">
      <c r="A41" s="1199" t="s">
        <v>592</v>
      </c>
      <c r="B41" s="1200" t="str">
        <f>'预评函-3'!A4</f>
        <v>北京市顺义区金关北二路2号院2号楼1层115房地产</v>
      </c>
    </row>
    <row r="42" spans="1:2" s="1201" customFormat="1">
      <c r="A42" s="1199" t="s">
        <v>590</v>
      </c>
      <c r="B42" s="1200" t="str">
        <f>'预评函-3'!B2</f>
        <v>建筑面积</v>
      </c>
    </row>
    <row r="43" spans="1:2" s="1201" customFormat="1">
      <c r="A43" s="1199" t="s">
        <v>591</v>
      </c>
      <c r="B43" s="1200">
        <f>'预评函-3'!B4</f>
        <v>453.74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800</v>
      </c>
    </row>
    <row r="48" spans="1:2" s="1201" customFormat="1">
      <c r="A48" s="1199" t="s">
        <v>549</v>
      </c>
      <c r="B48" s="1200">
        <f ca="1">'预评函-3'!E4</f>
        <v>17628</v>
      </c>
    </row>
    <row r="49" spans="1:2" s="1201" customFormat="1">
      <c r="A49" s="1199" t="s">
        <v>550</v>
      </c>
      <c r="B49" s="1200" t="str">
        <f ca="1">'预评函-3'!D5</f>
        <v>捌佰万元整</v>
      </c>
    </row>
    <row r="50" spans="1:2" s="1201" customFormat="1">
      <c r="A50" s="1199" t="s">
        <v>574</v>
      </c>
      <c r="B50" s="1200" t="str">
        <f>'预评函-3'!F2</f>
        <v>在建建筑物价值</v>
      </c>
    </row>
    <row r="51" spans="1:2" s="1201" customFormat="1">
      <c r="A51" s="1199" t="s">
        <v>551</v>
      </c>
      <c r="B51" s="1200">
        <f ca="1">'预评函-3'!F4</f>
        <v>458</v>
      </c>
    </row>
    <row r="52" spans="1:2" s="1201" customFormat="1">
      <c r="A52" s="1199" t="s">
        <v>552</v>
      </c>
      <c r="B52" s="1200">
        <f ca="1">'预评函-3'!G4</f>
        <v>10089</v>
      </c>
    </row>
    <row r="53" spans="1:2" s="1201" customFormat="1">
      <c r="A53" s="1199" t="s">
        <v>580</v>
      </c>
      <c r="B53" s="1200" t="str">
        <f ca="1">'预评函-3'!F5</f>
        <v>肆佰伍拾捌万元整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2578</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2579</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2290</v>
      </c>
      <c r="C17" s="1545"/>
    </row>
    <row r="18" spans="1:3">
      <c r="A18" s="1544" t="s">
        <v>1046</v>
      </c>
      <c r="B18" s="1544" t="s">
        <v>2434</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金关北二路2号院2号楼1层115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2" t="s">
        <v>385</v>
      </c>
      <c r="C54" s="1549" t="s">
        <v>583</v>
      </c>
    </row>
    <row r="55" spans="1:4">
      <c r="A55" s="3501"/>
      <c r="B55" s="1552" t="s">
        <v>386</v>
      </c>
      <c r="C55" s="1549" t="s">
        <v>584</v>
      </c>
    </row>
    <row r="56" spans="1:4">
      <c r="A56" s="3501"/>
      <c r="B56" s="1552" t="s">
        <v>387</v>
      </c>
      <c r="C56" s="1549" t="s">
        <v>588</v>
      </c>
    </row>
    <row r="57" spans="1:4">
      <c r="A57" s="350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02" t="s">
        <v>2581</v>
      </c>
      <c r="J2" s="3502"/>
      <c r="K2" s="3502"/>
      <c r="L2" s="3502"/>
      <c r="M2" s="3502"/>
      <c r="N2" s="3502"/>
      <c r="O2" s="3502"/>
      <c r="P2" s="3502"/>
      <c r="Q2" s="3502"/>
      <c r="R2" s="3502"/>
    </row>
    <row r="3" spans="1:18">
      <c r="A3" s="3018" t="s">
        <v>2502</v>
      </c>
      <c r="B3" s="3019">
        <f>项目基本情况!D3</f>
        <v>45504</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2.38</v>
      </c>
      <c r="D5" s="3023">
        <f>IF(ISERROR(ROUND(POWER(1+E5,A5-C5)*(POWER(1+E5,C5)-1)/(POWER(1+E5,A5)-1),3)),0,ROUND(POWER(1+E5,A5-C5)*(POWER(1+E5,C5)-1)/(POWER(1+E5,A5)-1),4))</f>
        <v>0.11260000000000001</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12.39</v>
      </c>
      <c r="D6" s="3023">
        <f>IF(ISERROR(ROUND(POWER(1+E6,A6-C6)*(POWER(1+E6,C6)-1)/(POWER(1+E6,A6)-1),3)),0,ROUND(POWER(1+E6,A6-C6)*(POWER(1+E6,C6)-1)/(POWER(1+E6,A6)-1),4))</f>
        <v>0.44790000000000002</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32.4</v>
      </c>
      <c r="D7" s="3023">
        <f>IF(ISERROR(ROUND(POWER(1+E7,A7-C7)*(POWER(1+E7,C7)-1)/(POWER(1+E7,A7)-1),3)),0,ROUND(POWER(1+E7,A7-C7)*(POWER(1+E7,C7)-1)/(POWER(1+E7,A7)-1),4))</f>
        <v>0.76870000000000005</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C4" sqref="C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03" t="str">
        <f>IF(B10="北京市","北京市",C10)&amp;F10&amp;IF(结果表!G1="在建","出让国有建设用地使用权及在建建筑物",IF(结果表!G1="土地","出让国有建设用地使用权",))&amp;B9&amp;"预评估"</f>
        <v>北京市顺义区金关北二路2号院2号楼1层115房地产抵押价值预评估</v>
      </c>
      <c r="C1" s="3504"/>
      <c r="D1" s="3504"/>
      <c r="E1" s="3504"/>
      <c r="F1" s="3504"/>
      <c r="G1" s="3504"/>
      <c r="H1" s="3504"/>
      <c r="I1" s="350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北京市顺义区金关北二路2号院2号楼1层115房地产抵押价值</v>
      </c>
      <c r="T1" s="1743"/>
      <c r="U1" s="1743"/>
      <c r="V1" s="1743"/>
      <c r="W1" s="1743"/>
      <c r="X1" s="1743"/>
      <c r="Y1" s="1743"/>
      <c r="Z1" s="1743"/>
      <c r="AA1" s="1743"/>
      <c r="AB1" s="1743"/>
    </row>
    <row r="2" spans="1:30">
      <c r="A2" s="2365" t="s">
        <v>2169</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北京市顺义区金关北二路2号院2号楼1层115房地产</v>
      </c>
      <c r="T2" s="1743"/>
      <c r="U2" s="1743"/>
      <c r="V2" s="1743"/>
      <c r="W2" s="1743"/>
      <c r="X2" s="1743"/>
      <c r="Y2" s="1743"/>
      <c r="Z2" s="1743"/>
      <c r="AA2" s="1743"/>
      <c r="AB2" s="1743"/>
    </row>
    <row r="3" spans="1:30">
      <c r="A3" s="302" t="s">
        <v>2170</v>
      </c>
      <c r="B3" s="2371">
        <v>45504</v>
      </c>
      <c r="C3" s="2372" t="s">
        <v>2171</v>
      </c>
      <c r="D3" s="2371">
        <f>B3</f>
        <v>45504</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2172</v>
      </c>
      <c r="B4" s="2373" t="s">
        <v>3450</v>
      </c>
      <c r="C4" s="2374">
        <f ca="1">SUMIF(注册房地产估价师,B4,估价师及机构信息!B3:B24)</f>
        <v>1419970001</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 ca="1">CONCATENATE(B4,"（注册号：",C4,")、",D4,"（注册号：",E4,")")</f>
        <v>吴薇（注册号：1419970001)、（注册号：0)</v>
      </c>
      <c r="L4" s="2367"/>
      <c r="M4" s="2367"/>
      <c r="N4" s="2368"/>
      <c r="O4" s="1574"/>
      <c r="P4" s="2368"/>
      <c r="Q4" s="2368"/>
      <c r="R4" s="2368"/>
      <c r="S4" s="1680"/>
      <c r="T4" s="1743"/>
      <c r="U4" s="1743"/>
      <c r="V4" s="1743"/>
      <c r="W4" s="1743"/>
      <c r="X4" s="1743"/>
      <c r="Y4" s="1743"/>
      <c r="Z4" s="1743"/>
      <c r="AA4" s="1743"/>
      <c r="AB4" s="1743"/>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3381</v>
      </c>
      <c r="C8" s="2388"/>
      <c r="D8" s="3506" t="s">
        <v>2177</v>
      </c>
      <c r="E8" s="2389" t="s">
        <v>3382</v>
      </c>
      <c r="F8" s="2390"/>
      <c r="G8" s="2661"/>
      <c r="H8" s="2661"/>
      <c r="I8" s="2661"/>
      <c r="J8" s="2437"/>
      <c r="K8" s="2612"/>
      <c r="L8" s="2611"/>
      <c r="M8" s="2611"/>
      <c r="N8" s="2437"/>
      <c r="O8" s="2448"/>
      <c r="P8" s="2437"/>
      <c r="Q8" s="2437"/>
      <c r="R8" s="2437"/>
    </row>
    <row r="9" spans="1:30" ht="13.5" thickBot="1">
      <c r="A9" s="2391" t="s">
        <v>2178</v>
      </c>
      <c r="B9" s="2392" t="s">
        <v>3382</v>
      </c>
      <c r="C9" s="2393"/>
      <c r="D9" s="3507"/>
      <c r="E9" s="2392" t="s">
        <v>587</v>
      </c>
      <c r="F9" s="2394"/>
      <c r="G9" s="2663"/>
      <c r="H9" s="2663"/>
      <c r="I9" s="2663"/>
      <c r="J9" s="2437"/>
      <c r="K9" s="2614"/>
      <c r="L9" s="2611"/>
      <c r="M9" s="2611"/>
      <c r="N9" s="2437"/>
      <c r="O9" s="2448"/>
      <c r="P9" s="2437"/>
      <c r="Q9" s="2437"/>
      <c r="R9" s="2437"/>
    </row>
    <row r="10" spans="1:30" ht="13.5" thickTop="1">
      <c r="A10" s="2395" t="s">
        <v>2179</v>
      </c>
      <c r="B10" s="2396" t="s">
        <v>3383</v>
      </c>
      <c r="C10" s="2397"/>
      <c r="D10" s="2380"/>
      <c r="E10" s="2398" t="s">
        <v>2180</v>
      </c>
      <c r="F10" s="2664" t="s">
        <v>3385</v>
      </c>
      <c r="G10" s="2665"/>
      <c r="H10" s="2666"/>
      <c r="I10" s="2667"/>
      <c r="J10" s="2437"/>
      <c r="K10" s="2614"/>
      <c r="L10" s="2611"/>
      <c r="M10" s="2611"/>
      <c r="N10" s="2437"/>
      <c r="O10" s="2448"/>
      <c r="P10" s="2437"/>
      <c r="Q10" s="2437"/>
      <c r="R10" s="2437"/>
    </row>
    <row r="11" spans="1:30">
      <c r="A11" s="2399" t="s">
        <v>2181</v>
      </c>
      <c r="B11" s="2400" t="s">
        <v>3384</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2577</v>
      </c>
      <c r="J12" s="3060"/>
      <c r="K12" s="2611"/>
      <c r="L12" s="2611"/>
      <c r="M12" s="2437"/>
      <c r="N12" s="2448"/>
      <c r="O12" s="2437"/>
      <c r="P12" s="2437"/>
      <c r="Q12" s="2437"/>
      <c r="AD12" s="1743"/>
    </row>
    <row r="13" spans="1:30">
      <c r="A13" s="3421" t="s">
        <v>3333</v>
      </c>
      <c r="B13" s="2405" t="s">
        <v>2190</v>
      </c>
      <c r="C13" s="855"/>
      <c r="D13" s="855">
        <v>52427</v>
      </c>
      <c r="E13" s="855"/>
      <c r="F13" s="855"/>
      <c r="G13" s="855"/>
      <c r="H13" s="855"/>
      <c r="I13" s="855"/>
      <c r="J13" s="3060"/>
      <c r="K13" s="2611"/>
      <c r="L13" s="2611"/>
      <c r="M13" s="2437"/>
      <c r="N13" s="2448"/>
      <c r="O13" s="2437"/>
      <c r="P13" s="2437"/>
      <c r="Q13" s="2437"/>
      <c r="AD13" s="1743"/>
    </row>
    <row r="14" spans="1:30">
      <c r="A14" s="1079"/>
      <c r="B14" s="2405" t="s">
        <v>2191</v>
      </c>
      <c r="C14" s="2406"/>
      <c r="D14" s="2406">
        <v>40</v>
      </c>
      <c r="E14" s="2406"/>
      <c r="F14" s="2406"/>
      <c r="G14" s="2406"/>
      <c r="H14" s="2406"/>
      <c r="I14" s="2406"/>
      <c r="J14" s="3061"/>
      <c r="K14" s="2611"/>
      <c r="L14" s="2611"/>
      <c r="M14" s="2437"/>
      <c r="N14" s="2448"/>
      <c r="O14" s="2437"/>
      <c r="P14" s="2437"/>
      <c r="Q14" s="2437"/>
      <c r="AD14" s="1743"/>
    </row>
    <row r="15" spans="1:30">
      <c r="A15" s="320"/>
      <c r="B15" s="2407" t="s">
        <v>2192</v>
      </c>
      <c r="C15" s="2408" t="str">
        <f>IF(A13="出让",IF(C13="","",ROUNDDOWN(MIN((C13-$D$3)/365,C14),2)),C14)</f>
        <v/>
      </c>
      <c r="D15" s="2408">
        <f>IF(A13="出让",IF(D13="","",ROUNDDOWN(MIN((D13-$D$3)/365,D14),2)),D14)</f>
        <v>18.96</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2193</v>
      </c>
      <c r="B16" s="3513"/>
      <c r="C16" s="3514"/>
      <c r="D16" s="3515"/>
      <c r="E16" s="2411" t="s">
        <v>2194</v>
      </c>
      <c r="F16" s="3516"/>
      <c r="G16" s="3517"/>
      <c r="H16" s="3517"/>
      <c r="I16" s="3518"/>
      <c r="J16" s="2437"/>
      <c r="K16" s="2615"/>
      <c r="L16" s="2449"/>
      <c r="M16" s="2449"/>
      <c r="N16" s="2507"/>
      <c r="O16" s="2449"/>
      <c r="P16" s="2507"/>
      <c r="Q16" s="2437"/>
      <c r="R16" s="2437"/>
    </row>
    <row r="17" spans="1:28">
      <c r="A17" s="313" t="s">
        <v>2195</v>
      </c>
      <c r="B17" s="302" t="s">
        <v>2196</v>
      </c>
      <c r="C17" s="8">
        <f>'数据-汇总表'!E3</f>
        <v>453.74</v>
      </c>
      <c r="D17" s="2320" t="s">
        <v>2197</v>
      </c>
      <c r="E17" s="3519" t="s">
        <v>2198</v>
      </c>
      <c r="F17" s="3520"/>
      <c r="G17" s="3520"/>
      <c r="H17" s="3520"/>
      <c r="I17" s="3521"/>
      <c r="J17" s="2437"/>
      <c r="K17" s="2616"/>
      <c r="L17" s="2449"/>
      <c r="M17" s="2449"/>
      <c r="N17" s="2507"/>
      <c r="O17" s="2449"/>
      <c r="P17" s="2507"/>
      <c r="Q17" s="2437"/>
      <c r="R17" s="2437"/>
      <c r="S17" s="2437"/>
      <c r="T17" s="2437"/>
      <c r="U17" s="2437"/>
      <c r="V17" s="2437"/>
    </row>
    <row r="18" spans="1:28" ht="24.75" thickBot="1">
      <c r="A18" s="2412" t="s">
        <v>2199</v>
      </c>
      <c r="B18" s="1088" t="s">
        <v>2200</v>
      </c>
      <c r="C18" s="2413">
        <f>'数据-汇总表'!D3</f>
        <v>0</v>
      </c>
      <c r="D18" s="1090" t="s">
        <v>2201</v>
      </c>
      <c r="E18" s="3522" t="s">
        <v>2202</v>
      </c>
      <c r="F18" s="3523"/>
      <c r="G18" s="3523"/>
      <c r="H18" s="3523"/>
      <c r="I18" s="3524"/>
      <c r="J18" s="2437"/>
      <c r="K18" s="2616"/>
      <c r="L18" s="2449"/>
      <c r="M18" s="2449"/>
      <c r="N18" s="2507"/>
      <c r="O18" s="2449"/>
      <c r="P18" s="2507"/>
      <c r="Q18" s="2437"/>
      <c r="R18" s="2437"/>
      <c r="S18" s="2437"/>
      <c r="T18" s="2437"/>
      <c r="U18" s="2437"/>
      <c r="V18" s="2437"/>
    </row>
    <row r="19" spans="1:28" ht="37.5" thickTop="1" thickBot="1">
      <c r="A19" s="327" t="s">
        <v>1055</v>
      </c>
      <c r="B19" s="307" t="s">
        <v>2203</v>
      </c>
      <c r="C19" s="1561"/>
      <c r="D19" s="1562" t="s">
        <v>2204</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2205</v>
      </c>
      <c r="B20" s="3509" t="s">
        <v>2206</v>
      </c>
      <c r="C20" s="3510"/>
      <c r="D20" s="3511" t="s">
        <v>2207</v>
      </c>
      <c r="E20" s="3512"/>
      <c r="F20" s="2645" t="s">
        <v>1056</v>
      </c>
      <c r="G20" s="2662"/>
      <c r="H20" s="2662"/>
      <c r="I20" s="2662"/>
      <c r="J20" s="2437"/>
      <c r="K20" s="3508"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2209</v>
      </c>
      <c r="C21" s="2632" t="s">
        <v>1057</v>
      </c>
      <c r="D21" s="1566" t="s">
        <v>2210</v>
      </c>
      <c r="E21" s="2633" t="s">
        <v>1057</v>
      </c>
      <c r="F21" s="2646"/>
      <c r="G21" s="2662"/>
      <c r="H21" s="2662"/>
      <c r="I21" s="2662"/>
      <c r="J21" s="2437"/>
      <c r="K21" s="350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2211</v>
      </c>
      <c r="C22" s="2632" t="s">
        <v>1058</v>
      </c>
      <c r="D22" s="2661"/>
      <c r="E22" s="2661"/>
      <c r="F22" s="2661"/>
      <c r="G22" s="2662"/>
      <c r="H22" s="2662"/>
      <c r="I22" s="2662"/>
      <c r="J22" s="2437"/>
      <c r="K22" s="350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6"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6"/>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6"/>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7"/>
      <c r="B30" s="302" t="s">
        <v>2218</v>
      </c>
      <c r="C30" s="3528"/>
      <c r="D30" s="3529"/>
      <c r="E30" s="2662"/>
      <c r="F30" s="2662"/>
      <c r="G30" s="2662"/>
      <c r="H30" s="2662"/>
      <c r="I30" s="2662"/>
      <c r="J30" s="2437"/>
      <c r="K30" s="2614"/>
      <c r="L30" s="2611"/>
      <c r="M30" s="2611"/>
      <c r="N30" s="2437"/>
      <c r="O30" s="2448"/>
      <c r="P30" s="2437"/>
      <c r="Q30" s="2437"/>
      <c r="R30" s="2437"/>
      <c r="S30" s="2437"/>
      <c r="T30" s="2437"/>
      <c r="U30" s="2437"/>
      <c r="V30" s="2437"/>
    </row>
    <row r="31" spans="1:28">
      <c r="A31" s="3530" t="s">
        <v>2219</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3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3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525" t="s">
        <v>2228</v>
      </c>
      <c r="T34" s="2426" t="str">
        <f>NUMBERSTRING(7-K34,1)&amp;"通"</f>
        <v>七通</v>
      </c>
      <c r="U34" s="2437"/>
      <c r="V34" s="2437"/>
    </row>
    <row r="35" spans="1:30">
      <c r="A35" s="2427"/>
      <c r="B35" s="3532" t="s">
        <v>2229</v>
      </c>
      <c r="C35" s="3532"/>
      <c r="D35" s="3532"/>
      <c r="E35" s="3532"/>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7"/>
      <c r="V35" s="2437"/>
    </row>
    <row r="36" spans="1:30">
      <c r="A36" s="2428"/>
      <c r="B36" s="663" t="s">
        <v>2185</v>
      </c>
      <c r="C36" s="663" t="s">
        <v>2186</v>
      </c>
      <c r="D36" s="663" t="s">
        <v>2184</v>
      </c>
      <c r="E36" s="663" t="s">
        <v>2189</v>
      </c>
      <c r="F36" s="3063" t="s">
        <v>2580</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2233</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453.74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453.74</v>
      </c>
      <c r="H5" s="13">
        <f t="shared" ref="H5:AT5" si="0">SUM(H13:H656)</f>
        <v>453.74</v>
      </c>
      <c r="I5" s="13">
        <f t="shared" si="0"/>
        <v>453.74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453.74</v>
      </c>
      <c r="BA5" s="15">
        <f t="shared" si="1"/>
        <v>453.74</v>
      </c>
      <c r="BB5" s="15">
        <f t="shared" si="1"/>
        <v>453.74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3387</v>
      </c>
      <c r="J9" s="808"/>
      <c r="K9" s="1601"/>
      <c r="L9" s="808"/>
      <c r="M9" s="1601"/>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c r="L10" s="808"/>
      <c r="M10" s="1607"/>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v>115</v>
      </c>
      <c r="D13" s="1623" t="s">
        <v>3386</v>
      </c>
      <c r="E13" s="13">
        <f>IF($C$3="是",ROUND($A$3*G13/$B$3,2),ROUND($A$3*(G13-AT13)/$B$3,2))</f>
        <v>0</v>
      </c>
      <c r="F13" s="29"/>
      <c r="G13" s="30">
        <f>H13+AC13+AT13</f>
        <v>453.74</v>
      </c>
      <c r="H13" s="17">
        <f>SUMIF(I$12:AB$12,"总值",I13:AB13)</f>
        <v>453.74</v>
      </c>
      <c r="I13" s="1624">
        <v>453.74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115</v>
      </c>
      <c r="AY13" s="1347">
        <f>ROUND($AY$6*AZ13/$AZ$5,2)</f>
        <v>0</v>
      </c>
      <c r="AZ13" s="13">
        <f>BA13+BL13</f>
        <v>453.74</v>
      </c>
      <c r="BA13" s="13">
        <f>SUM(BB13:BK13)</f>
        <v>453.74</v>
      </c>
      <c r="BB13" s="13">
        <f>IF($D13="是",I13-J13,0)</f>
        <v>453.74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2" t="s">
        <v>1131</v>
      </c>
      <c r="B2" s="3542"/>
      <c r="C2" s="3542"/>
      <c r="D2" s="795" t="s">
        <v>1107</v>
      </c>
      <c r="E2" s="1637" t="s">
        <v>1108</v>
      </c>
      <c r="F2" s="2657"/>
      <c r="G2" s="2648"/>
      <c r="H2" s="2649"/>
      <c r="I2" s="2323" t="s">
        <v>1132</v>
      </c>
      <c r="J2" s="2657"/>
      <c r="K2" s="2657"/>
      <c r="L2" s="2657"/>
      <c r="M2" s="2657"/>
      <c r="N2" s="2659"/>
      <c r="O2" s="2657"/>
      <c r="P2" s="2657"/>
    </row>
    <row r="3" spans="1:16" ht="15.75" thickBot="1">
      <c r="A3" s="3543" t="s">
        <v>1105</v>
      </c>
      <c r="B3" s="3543"/>
      <c r="C3" s="3543"/>
      <c r="D3" s="43">
        <f>'数据-基础表'!AY6</f>
        <v>0</v>
      </c>
      <c r="E3" s="43">
        <f>'数据-基础表'!AZ5</f>
        <v>453.74</v>
      </c>
      <c r="F3" s="2657"/>
      <c r="G3" s="1143"/>
      <c r="H3" s="1025" t="s">
        <v>1106</v>
      </c>
      <c r="I3" s="854" t="e">
        <f>ROUND('数据-基础表'!B3/'数据-基础表'!A3,2)</f>
        <v>#DIV/0!</v>
      </c>
      <c r="J3" s="2657"/>
      <c r="K3" s="2657"/>
      <c r="L3" s="2657"/>
      <c r="M3" s="2657"/>
      <c r="N3" s="2659"/>
      <c r="O3" s="2657"/>
      <c r="P3" s="2657"/>
    </row>
    <row r="4" spans="1:16" ht="15">
      <c r="A4" s="3544"/>
      <c r="B4" s="3545"/>
      <c r="C4" s="3546"/>
      <c r="D4" s="1639" t="s">
        <v>1107</v>
      </c>
      <c r="E4" s="1640"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47" t="s">
        <v>1110</v>
      </c>
      <c r="C5" s="3547"/>
      <c r="D5" s="45">
        <f>ROUND($D$3*E5/$E$3,2)</f>
        <v>0</v>
      </c>
      <c r="E5" s="46">
        <f>SUMIF('数据-基础表'!$11:$11,"住宅",'数据-基础表'!$5:$5)</f>
        <v>0</v>
      </c>
      <c r="F5" s="2657"/>
      <c r="G5" s="1143"/>
      <c r="H5" s="1025" t="s">
        <v>1106</v>
      </c>
      <c r="I5" s="854" t="e">
        <f>ROUND(E31/D31,2)</f>
        <v>#DIV/0!</v>
      </c>
      <c r="J5" s="2657"/>
      <c r="K5" s="2657"/>
      <c r="L5" s="2657"/>
      <c r="M5" s="2657"/>
      <c r="N5" s="2657"/>
      <c r="O5" s="2657"/>
      <c r="P5" s="2657"/>
    </row>
    <row r="6" spans="1:16" ht="15" thickBot="1">
      <c r="A6" s="1642"/>
      <c r="B6" s="3547" t="s">
        <v>1111</v>
      </c>
      <c r="C6" s="3547"/>
      <c r="D6" s="45">
        <f>ROUND($D$3*E6/$E$3,2)</f>
        <v>0</v>
      </c>
      <c r="E6" s="46">
        <f>E3-E5</f>
        <v>453.74</v>
      </c>
      <c r="F6" s="2657"/>
      <c r="G6" s="2651" t="s">
        <v>1112</v>
      </c>
      <c r="H6" s="1144" t="s">
        <v>1113</v>
      </c>
      <c r="I6" s="2652" t="e">
        <f>ROUND(F31/D31,2)</f>
        <v>#DIV/0!</v>
      </c>
      <c r="J6" s="2657"/>
      <c r="K6" s="2657"/>
      <c r="L6" s="2657"/>
      <c r="M6" s="2657"/>
      <c r="N6" s="2657"/>
      <c r="O6" s="2657"/>
      <c r="P6" s="2657"/>
    </row>
    <row r="7" spans="1:16" ht="15.75" thickBot="1">
      <c r="A7" s="3539"/>
      <c r="B7" s="3540"/>
      <c r="C7" s="354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453.74</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453.74</v>
      </c>
      <c r="F16" s="2657"/>
      <c r="G16" s="2658"/>
      <c r="H16" s="1646" t="s">
        <v>1135</v>
      </c>
      <c r="I16" s="1647"/>
      <c r="J16" s="1137"/>
      <c r="K16" s="3536" t="s">
        <v>1135</v>
      </c>
      <c r="L16" s="3537"/>
      <c r="M16" s="3537"/>
      <c r="N16" s="3537"/>
      <c r="O16" s="3537"/>
      <c r="P16" s="3538"/>
    </row>
    <row r="17" spans="1:19" ht="15">
      <c r="A17" s="1648" t="s">
        <v>1136</v>
      </c>
      <c r="B17" s="1649" t="s">
        <v>1137</v>
      </c>
      <c r="C17" s="1650" t="s">
        <v>1138</v>
      </c>
      <c r="D17" s="1651" t="s">
        <v>1126</v>
      </c>
      <c r="E17" s="1652" t="s">
        <v>1127</v>
      </c>
      <c r="F17" s="1653"/>
      <c r="G17" s="1654"/>
      <c r="H17" s="1655" t="s">
        <v>1139</v>
      </c>
      <c r="I17" s="1656" t="s">
        <v>1124</v>
      </c>
      <c r="J17" s="1137"/>
      <c r="K17" s="3533" t="s">
        <v>1140</v>
      </c>
      <c r="L17" s="3534"/>
      <c r="M17" s="3535"/>
      <c r="N17" s="3533" t="s">
        <v>1141</v>
      </c>
      <c r="O17" s="3534"/>
      <c r="P17" s="3535"/>
      <c r="R17" s="1638" t="s">
        <v>1142</v>
      </c>
      <c r="S17" s="56"/>
    </row>
    <row r="18" spans="1:19" ht="15">
      <c r="A18" s="1644"/>
      <c r="B18" s="1657"/>
      <c r="C18" s="1658"/>
      <c r="D18" s="1659"/>
      <c r="E18" s="1660" t="s">
        <v>1143</v>
      </c>
      <c r="F18" s="1661" t="s">
        <v>1144</v>
      </c>
      <c r="G18" s="1662" t="s">
        <v>1145</v>
      </c>
      <c r="H18" s="1040" t="s">
        <v>1146</v>
      </c>
      <c r="I18" s="1663" t="s">
        <v>1147</v>
      </c>
      <c r="J18" s="1137"/>
      <c r="K18" s="1040" t="s">
        <v>1148</v>
      </c>
      <c r="L18" s="1664" t="s">
        <v>1149</v>
      </c>
      <c r="M18" s="854" t="s">
        <v>1150</v>
      </c>
      <c r="N18" s="1040" t="s">
        <v>1148</v>
      </c>
      <c r="O18" s="1664" t="s">
        <v>1149</v>
      </c>
      <c r="P18" s="854" t="s">
        <v>1150</v>
      </c>
      <c r="R18" s="1025" t="s">
        <v>1151</v>
      </c>
      <c r="S18" s="1025" t="s">
        <v>1152</v>
      </c>
    </row>
    <row r="19" spans="1:19">
      <c r="A19" s="1665"/>
      <c r="B19" s="47" t="s">
        <v>1125</v>
      </c>
      <c r="C19" s="3415">
        <v>115</v>
      </c>
      <c r="D19" s="45">
        <f>ROUND($D$3*E19/$E$3,2)</f>
        <v>0</v>
      </c>
      <c r="E19" s="53">
        <f t="shared" ref="E19:E26" si="1">SUM(F19:G19)</f>
        <v>453.74</v>
      </c>
      <c r="F19" s="2793">
        <f>'数据-基础表'!I13</f>
        <v>453.74</v>
      </c>
      <c r="G19" s="2794"/>
      <c r="H19" s="669">
        <f>ROUND($D$3*I19/$E$3,2)</f>
        <v>0</v>
      </c>
      <c r="I19" s="48">
        <f t="shared" ref="I19:I26" si="2">IF($I$17="自定义",P19,M19)</f>
        <v>0</v>
      </c>
      <c r="J19" s="1137"/>
      <c r="K19" s="1136">
        <f t="shared" ref="K19:K26" si="3">ROUND(E$28*E19/E$27,2)</f>
        <v>0</v>
      </c>
      <c r="L19" s="1025">
        <f t="shared" ref="L19:L26" si="4">ROUND(IF(COUNTIF(C19,"*住宅*")&gt;0,E$29*E19/E$32,0),2)</f>
        <v>0</v>
      </c>
      <c r="M19" s="1148">
        <f>K19+L19</f>
        <v>0</v>
      </c>
      <c r="N19" s="1666"/>
      <c r="O19" s="1667"/>
      <c r="P19" s="1148">
        <f>N19+O19</f>
        <v>0</v>
      </c>
      <c r="R19" s="1025">
        <f t="shared" ref="R19:S26" si="5">D19+H19</f>
        <v>0</v>
      </c>
      <c r="S19" s="1026">
        <f t="shared" si="5"/>
        <v>453.74</v>
      </c>
    </row>
    <row r="20" spans="1:19">
      <c r="A20" s="1668"/>
      <c r="B20" s="47" t="s">
        <v>1153</v>
      </c>
      <c r="C20" s="3415"/>
      <c r="D20" s="45">
        <f t="shared" ref="D20:D26" si="6">ROUND($D$3*E20/$E$3,2)</f>
        <v>0</v>
      </c>
      <c r="E20" s="53">
        <f t="shared" si="1"/>
        <v>0</v>
      </c>
      <c r="F20" s="2793"/>
      <c r="G20" s="2794"/>
      <c r="H20" s="669">
        <f t="shared" ref="H20:H26" si="7">ROUND($D$3*I20/$E$3,2)</f>
        <v>0</v>
      </c>
      <c r="I20" s="48">
        <f t="shared" si="2"/>
        <v>0</v>
      </c>
      <c r="J20" s="1137"/>
      <c r="K20" s="1136">
        <f t="shared" si="3"/>
        <v>0</v>
      </c>
      <c r="L20" s="1025">
        <f t="shared" si="4"/>
        <v>0</v>
      </c>
      <c r="M20" s="1148">
        <f t="shared" ref="M20:M26" si="8">K20+L20</f>
        <v>0</v>
      </c>
      <c r="N20" s="1666"/>
      <c r="O20" s="1667"/>
      <c r="P20" s="1148">
        <f t="shared" ref="P20:P26" si="9">N20+O20</f>
        <v>0</v>
      </c>
      <c r="R20" s="1025">
        <f t="shared" si="5"/>
        <v>0</v>
      </c>
      <c r="S20" s="1026">
        <f t="shared" si="5"/>
        <v>0</v>
      </c>
    </row>
    <row r="21" spans="1:19">
      <c r="A21" s="1668"/>
      <c r="B21" s="47" t="s">
        <v>1153</v>
      </c>
      <c r="C21" s="3415"/>
      <c r="D21" s="45">
        <f t="shared" si="6"/>
        <v>0</v>
      </c>
      <c r="E21" s="53">
        <f t="shared" si="1"/>
        <v>0</v>
      </c>
      <c r="F21" s="2793"/>
      <c r="G21" s="2794"/>
      <c r="H21" s="669">
        <f t="shared" si="7"/>
        <v>0</v>
      </c>
      <c r="I21" s="48">
        <f t="shared" si="2"/>
        <v>0</v>
      </c>
      <c r="J21" s="1137"/>
      <c r="K21" s="1136">
        <f t="shared" si="3"/>
        <v>0</v>
      </c>
      <c r="L21" s="1025">
        <f t="shared" si="4"/>
        <v>0</v>
      </c>
      <c r="M21" s="1148">
        <f t="shared" si="8"/>
        <v>0</v>
      </c>
      <c r="N21" s="1666"/>
      <c r="O21" s="1667"/>
      <c r="P21" s="1148">
        <f t="shared" si="9"/>
        <v>0</v>
      </c>
      <c r="R21" s="1025">
        <f t="shared" si="5"/>
        <v>0</v>
      </c>
      <c r="S21" s="1026">
        <f t="shared" si="5"/>
        <v>0</v>
      </c>
    </row>
    <row r="22" spans="1:19">
      <c r="A22" s="1668"/>
      <c r="B22" s="47" t="s">
        <v>1153</v>
      </c>
      <c r="C22" s="3416"/>
      <c r="D22" s="45">
        <f t="shared" si="6"/>
        <v>0</v>
      </c>
      <c r="E22" s="53">
        <f t="shared" si="1"/>
        <v>0</v>
      </c>
      <c r="F22" s="2795"/>
      <c r="G22" s="2796"/>
      <c r="H22" s="669">
        <f t="shared" si="7"/>
        <v>0</v>
      </c>
      <c r="I22" s="48">
        <f t="shared" si="2"/>
        <v>0</v>
      </c>
      <c r="J22" s="1137"/>
      <c r="K22" s="1136">
        <f t="shared" si="3"/>
        <v>0</v>
      </c>
      <c r="L22" s="1025">
        <f t="shared" si="4"/>
        <v>0</v>
      </c>
      <c r="M22" s="1148">
        <f t="shared" si="8"/>
        <v>0</v>
      </c>
      <c r="N22" s="1666"/>
      <c r="O22" s="1667"/>
      <c r="P22" s="1148">
        <f t="shared" si="9"/>
        <v>0</v>
      </c>
      <c r="R22" s="1025">
        <f t="shared" si="5"/>
        <v>0</v>
      </c>
      <c r="S22" s="1026">
        <f t="shared" si="5"/>
        <v>0</v>
      </c>
    </row>
    <row r="23" spans="1:19">
      <c r="A23" s="1668"/>
      <c r="B23" s="47" t="s">
        <v>1153</v>
      </c>
      <c r="C23" s="3416"/>
      <c r="D23" s="45">
        <f>ROUND($D$3*E23/$E$3,2)</f>
        <v>0</v>
      </c>
      <c r="E23" s="53">
        <f>SUM(F23:G23)</f>
        <v>0</v>
      </c>
      <c r="F23" s="2795"/>
      <c r="G23" s="2796"/>
      <c r="H23" s="669">
        <f>ROUND($D$3*I23/$E$3,2)</f>
        <v>0</v>
      </c>
      <c r="I23" s="48">
        <f t="shared" si="2"/>
        <v>0</v>
      </c>
      <c r="J23" s="1137"/>
      <c r="K23" s="1136">
        <f t="shared" si="3"/>
        <v>0</v>
      </c>
      <c r="L23" s="1025">
        <f t="shared" si="4"/>
        <v>0</v>
      </c>
      <c r="M23" s="1148">
        <f t="shared" si="8"/>
        <v>0</v>
      </c>
      <c r="N23" s="1666"/>
      <c r="O23" s="1667"/>
      <c r="P23" s="1148">
        <f t="shared" si="9"/>
        <v>0</v>
      </c>
      <c r="R23" s="1025">
        <f t="shared" si="5"/>
        <v>0</v>
      </c>
      <c r="S23" s="1026">
        <f t="shared" si="5"/>
        <v>0</v>
      </c>
    </row>
    <row r="24" spans="1:19">
      <c r="A24" s="1668"/>
      <c r="B24" s="47" t="s">
        <v>1153</v>
      </c>
      <c r="C24" s="3416"/>
      <c r="D24" s="45">
        <f>ROUND($D$3*E24/$E$3,2)</f>
        <v>0</v>
      </c>
      <c r="E24" s="53">
        <f>SUM(F24:G24)</f>
        <v>0</v>
      </c>
      <c r="F24" s="2795"/>
      <c r="G24" s="2796"/>
      <c r="H24" s="669">
        <f>ROUND($D$3*I24/$E$3,2)</f>
        <v>0</v>
      </c>
      <c r="I24" s="48">
        <f t="shared" si="2"/>
        <v>0</v>
      </c>
      <c r="J24" s="1137"/>
      <c r="K24" s="1136">
        <f t="shared" si="3"/>
        <v>0</v>
      </c>
      <c r="L24" s="1025">
        <f t="shared" si="4"/>
        <v>0</v>
      </c>
      <c r="M24" s="1148">
        <f t="shared" si="8"/>
        <v>0</v>
      </c>
      <c r="N24" s="1666"/>
      <c r="O24" s="1667"/>
      <c r="P24" s="1148">
        <f t="shared" si="9"/>
        <v>0</v>
      </c>
      <c r="R24" s="1025">
        <f t="shared" si="5"/>
        <v>0</v>
      </c>
      <c r="S24" s="1026">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5">
        <f t="shared" si="4"/>
        <v>0</v>
      </c>
      <c r="M25" s="1148">
        <f t="shared" si="8"/>
        <v>0</v>
      </c>
      <c r="N25" s="1666"/>
      <c r="O25" s="1667"/>
      <c r="P25" s="1148">
        <f t="shared" si="9"/>
        <v>0</v>
      </c>
      <c r="R25" s="1025">
        <f t="shared" si="5"/>
        <v>0</v>
      </c>
      <c r="S25" s="1026">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5">
        <f t="shared" si="5"/>
        <v>0</v>
      </c>
      <c r="S26" s="1026">
        <f t="shared" si="5"/>
        <v>0</v>
      </c>
    </row>
    <row r="27" spans="1:19" ht="15.75" thickBot="1">
      <c r="A27" s="1668"/>
      <c r="B27" s="45"/>
      <c r="C27" s="1671" t="s">
        <v>1154</v>
      </c>
      <c r="D27" s="1138">
        <f>SUM(D19:D26)</f>
        <v>0</v>
      </c>
      <c r="E27" s="1139">
        <f>IF(SUM(E19:E26)='数据-基础表'!BA5,SUM(E19:E26),IF(F27="地上面积有误","面积有误","地下面积有误"))</f>
        <v>453.74</v>
      </c>
      <c r="F27" s="1138">
        <f>IF(SUM(F19:F26)=E8,SUM(F19:F26),"地上面积有误")</f>
        <v>453.74</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7">
        <f>IF(SUM(R19:R26)=$D$3,SUM(R19:R26),SUM(R19:R26)&amp;"误差"&amp;ROUND(SUM(R19:R26)-$D$3,2))</f>
        <v>0</v>
      </c>
      <c r="S27" s="1025">
        <f>IF(SUM(S19:S26)=$E$3,SUM(S19:S26),SUM(S19:S26)&amp;"误差"&amp;ROUND(SUM(S19:S26)-E3,2))</f>
        <v>453.74</v>
      </c>
    </row>
    <row r="28" spans="1:19">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4" t="s">
        <v>1158</v>
      </c>
      <c r="D31" s="675">
        <f>D27+D30</f>
        <v>0</v>
      </c>
      <c r="E31" s="675">
        <f>E27+E30</f>
        <v>453.74</v>
      </c>
      <c r="F31" s="676">
        <f>F27+F30</f>
        <v>453.74</v>
      </c>
      <c r="G31" s="677">
        <f>G27+G30</f>
        <v>0</v>
      </c>
      <c r="H31" s="2657"/>
      <c r="I31" s="2657"/>
      <c r="J31" s="2657"/>
      <c r="K31" s="2657"/>
      <c r="L31" s="2657"/>
      <c r="M31" s="2657"/>
      <c r="N31" s="2657"/>
      <c r="O31" s="2657"/>
      <c r="P31" s="2657"/>
    </row>
    <row r="32" spans="1:19">
      <c r="A32" s="1641"/>
      <c r="B32" s="1641" t="s">
        <v>1159</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J18" sqref="AJ1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4">
        <f>项目基本情况!D3</f>
        <v>45504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3392</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f>'数据-汇总表'!C19</f>
        <v>115</v>
      </c>
      <c r="B6" s="1711" t="str">
        <f>IF(A6=0,"","经营性")</f>
        <v>经营性</v>
      </c>
      <c r="C6" s="1712" t="s">
        <v>673</v>
      </c>
      <c r="D6" s="857">
        <f>SUMIF(项目基本情况!C$12:I$12,C6,项目基本情况!C$14:I$14)</f>
        <v>40</v>
      </c>
      <c r="E6" s="856">
        <f>IF(B6="","",SUMIF(项目基本情况!C$12:I$12,C6,项目基本情况!C$13:I$13))</f>
        <v>52427</v>
      </c>
      <c r="F6" s="64">
        <f>SUMIF(项目基本情况!C$12:I$12,C6,项目基本情况!C$15:I$15)</f>
        <v>18.96</v>
      </c>
      <c r="G6" s="65">
        <f>IF(ISERROR(ROUND(POWER(1+H6,D6-F6)*(POWER(1+H6,F6)-1)/(POWER(1+H6,D6)-1),3)),0,ROUND(POWER(1+H6,D6-F6)*(POWER(1+H6,F6)-1)/(POWER(1+H6,D6)-1),3))</f>
        <v>0.70299999999999996</v>
      </c>
      <c r="H6" s="731">
        <v>0.05</v>
      </c>
      <c r="I6" s="731">
        <v>5.5E-2</v>
      </c>
      <c r="J6" s="66">
        <v>7.0000000000000007E-2</v>
      </c>
      <c r="K6" s="1029">
        <f>SUMIF('数据-汇总表'!C$19:C$33,A6,'数据-汇总表'!E$19:E$33)</f>
        <v>453.74</v>
      </c>
      <c r="L6" s="732">
        <v>4000</v>
      </c>
      <c r="M6" s="67">
        <f t="shared" ref="M6:M14" si="0">ROUND(K6*L6/10000,0)</f>
        <v>181</v>
      </c>
      <c r="N6" s="730">
        <f>N20</f>
        <v>0.85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0">
        <f>ROUND($L$14*S6/10000,0)</f>
        <v>0</v>
      </c>
      <c r="U6" s="3426">
        <v>4</v>
      </c>
      <c r="V6" s="70">
        <v>0.02</v>
      </c>
      <c r="W6" s="70">
        <v>0.15</v>
      </c>
      <c r="X6" s="1039"/>
      <c r="Y6" s="71">
        <f>N6</f>
        <v>0.85</v>
      </c>
      <c r="Z6" s="72"/>
      <c r="AA6" s="66"/>
      <c r="AB6" s="66"/>
      <c r="AC6" s="1039"/>
      <c r="AD6" s="73"/>
      <c r="AE6" s="1040">
        <f ca="1">IF(AN6="",0,SUMIF(INDIRECT("'"&amp;AN6&amp;"'"&amp;"!E:E"),$AE$5,INDIRECT("'"&amp;AN6&amp;"'"&amp;"!F:F")))</f>
        <v>18.96</v>
      </c>
      <c r="AF6" s="1346"/>
      <c r="AG6" s="138">
        <f>IF(AF6="",0,AE6-AF6)</f>
        <v>0</v>
      </c>
      <c r="AH6" s="74"/>
      <c r="AI6" s="76">
        <v>365</v>
      </c>
      <c r="AJ6" s="77"/>
      <c r="AK6" s="78">
        <v>7.0000000000000001E-3</v>
      </c>
      <c r="AL6" s="79">
        <v>1E-3</v>
      </c>
      <c r="AM6" s="80">
        <f>AK6</f>
        <v>7.0000000000000001E-3</v>
      </c>
      <c r="AN6" s="1713" t="s">
        <v>3394</v>
      </c>
      <c r="AO6" s="52">
        <f ca="1">SUMIF(INDIRECT("'"&amp;AN6&amp;"'"&amp;"!A:A"),"总价",INDIRECT("'"&amp;AN6&amp;"'"&amp;"!B:B"))</f>
        <v>637.19100000000003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7"/>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0"/>
      <c r="U14" s="669"/>
      <c r="V14" s="1034"/>
      <c r="W14" s="1034"/>
      <c r="X14" s="1035"/>
      <c r="Y14" s="1036"/>
      <c r="Z14" s="1037"/>
      <c r="AA14" s="1038"/>
      <c r="AB14" s="1038"/>
      <c r="AC14" s="1039"/>
      <c r="AD14" s="1035"/>
      <c r="AE14" s="1040"/>
      <c r="AF14" s="52"/>
      <c r="AG14" s="138"/>
      <c r="AH14" s="1040"/>
      <c r="AI14" s="1355"/>
      <c r="AJ14" s="703"/>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0"/>
      <c r="U15" s="669"/>
      <c r="V15" s="1034"/>
      <c r="W15" s="1034"/>
      <c r="X15" s="1035"/>
      <c r="Y15" s="1036"/>
      <c r="Z15" s="1037"/>
      <c r="AA15" s="1038"/>
      <c r="AB15" s="1038"/>
      <c r="AC15" s="1039"/>
      <c r="AD15" s="1035"/>
      <c r="AE15" s="1040"/>
      <c r="AF15" s="52"/>
      <c r="AG15" s="138"/>
      <c r="AH15" s="1040"/>
      <c r="AI15" s="1355"/>
      <c r="AJ15" s="703"/>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0.70299999999999996</v>
      </c>
      <c r="H16" s="90">
        <f>ROUND(SUMPRODUCT(H6:H13,K6:K13)/SUMPRODUCT((H6:H13&gt;0)*(K6:K13)),3)</f>
        <v>0.05</v>
      </c>
      <c r="I16" s="91"/>
      <c r="J16" s="91"/>
      <c r="K16" s="92">
        <f>SUM(K6:K15)</f>
        <v>453.74</v>
      </c>
      <c r="L16" s="93">
        <f>ROUND(M16*10000/SUM(K6:K14),0)</f>
        <v>3989</v>
      </c>
      <c r="M16" s="93">
        <f>SUM(M6:M14)</f>
        <v>181</v>
      </c>
      <c r="N16" s="94">
        <f>ROUND(SUMPRODUCT(M6:M14,N6:N14)/M16,3)</f>
        <v>0.85</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2302</v>
      </c>
      <c r="D19" s="2674"/>
      <c r="E19" s="2671"/>
      <c r="F19" s="2671"/>
      <c r="G19" s="2671"/>
      <c r="H19" s="2671"/>
      <c r="I19" s="2671"/>
      <c r="J19" s="2671"/>
      <c r="K19" s="2670"/>
      <c r="L19" s="2670"/>
      <c r="M19" s="3447" t="s">
        <v>3388</v>
      </c>
      <c r="N19" s="2670">
        <v>2015</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2300</v>
      </c>
      <c r="D20" s="2674"/>
      <c r="E20" s="2671"/>
      <c r="F20" s="2671"/>
      <c r="G20" s="2671"/>
      <c r="H20" s="2671"/>
      <c r="I20" s="2671"/>
      <c r="J20" s="2671"/>
      <c r="K20" s="2670"/>
      <c r="L20" s="2670"/>
      <c r="M20" s="3447" t="s">
        <v>3389</v>
      </c>
      <c r="N20" s="2670">
        <f>ROUND(1-(1-0)*(2024-N19)/60,2)</f>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f>B20</f>
        <v>2</v>
      </c>
      <c r="C21" s="2671"/>
      <c r="D21" s="2674"/>
      <c r="E21" s="2671"/>
      <c r="F21" s="2671"/>
      <c r="G21" s="2671"/>
      <c r="H21" s="2671"/>
      <c r="I21" s="2671"/>
      <c r="J21" s="2671"/>
      <c r="K21" s="2670"/>
      <c r="L21" s="2670"/>
      <c r="M21" s="3447" t="s">
        <v>3390</v>
      </c>
      <c r="N21" s="2670">
        <v>0.9</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3447" t="s">
        <v>3391</v>
      </c>
      <c r="N22" s="2670">
        <f>ROUND((N20+N21)/2,2)</f>
        <v>0.88</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0.02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2311</v>
      </c>
      <c r="B40" s="3459">
        <v>3.3500000000000002E-2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48" t="s">
        <v>2283</v>
      </c>
      <c r="B1" s="3549"/>
      <c r="C1" s="3549"/>
      <c r="D1" s="3549"/>
      <c r="E1" s="3549"/>
      <c r="F1" s="3549"/>
      <c r="G1" s="354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2279</v>
      </c>
      <c r="D2" s="2459"/>
      <c r="E2" s="2456"/>
      <c r="F2" s="2460"/>
      <c r="G2" s="2458" t="s">
        <v>2280</v>
      </c>
      <c r="H2" s="798"/>
      <c r="I2" s="798"/>
      <c r="J2" s="798"/>
      <c r="K2" s="798"/>
      <c r="L2" s="798"/>
      <c r="M2" s="798"/>
      <c r="N2" s="798"/>
      <c r="O2" s="798"/>
      <c r="P2" s="798"/>
      <c r="Q2" s="798"/>
      <c r="R2" s="798"/>
    </row>
    <row r="3" spans="1:29" ht="25.5">
      <c r="A3" s="2439" t="s">
        <v>2281</v>
      </c>
      <c r="B3" s="2461" t="s">
        <v>2252</v>
      </c>
      <c r="C3" s="2462"/>
      <c r="D3" s="2463"/>
      <c r="E3" s="2440" t="s">
        <v>2281</v>
      </c>
      <c r="F3" s="2464" t="s">
        <v>2253</v>
      </c>
      <c r="G3" s="2465" t="s">
        <v>2282</v>
      </c>
      <c r="H3" s="798"/>
      <c r="I3" s="798"/>
      <c r="J3" s="798"/>
      <c r="K3" s="798"/>
      <c r="L3" s="798"/>
      <c r="M3" s="798"/>
      <c r="N3" s="798"/>
      <c r="O3" s="798"/>
      <c r="P3" s="798"/>
      <c r="Q3" s="798"/>
      <c r="R3" s="798"/>
    </row>
    <row r="4" spans="1:29" ht="36">
      <c r="A4" s="2440"/>
      <c r="B4" s="323" t="s">
        <v>2254</v>
      </c>
      <c r="C4" s="3450" t="s">
        <v>3407</v>
      </c>
      <c r="D4" s="2463"/>
      <c r="E4" s="2467"/>
      <c r="F4" s="1371" t="s">
        <v>2255</v>
      </c>
      <c r="G4" s="2468" t="s">
        <v>2256</v>
      </c>
      <c r="H4" s="798"/>
      <c r="I4" s="798"/>
      <c r="J4" s="798"/>
      <c r="K4" s="798"/>
      <c r="L4" s="798"/>
      <c r="M4" s="798"/>
      <c r="N4" s="798"/>
      <c r="O4" s="798"/>
      <c r="P4" s="798"/>
      <c r="Q4" s="798"/>
      <c r="R4" s="798"/>
    </row>
    <row r="5" spans="1:29" ht="24">
      <c r="A5" s="2440"/>
      <c r="B5" s="323" t="s">
        <v>2257</v>
      </c>
      <c r="C5" s="2466"/>
      <c r="D5" s="2463"/>
      <c r="E5" s="2467"/>
      <c r="F5" s="323" t="s">
        <v>2258</v>
      </c>
      <c r="G5" s="2468" t="s">
        <v>2259</v>
      </c>
      <c r="H5" s="798"/>
      <c r="I5" s="798"/>
      <c r="J5" s="798"/>
      <c r="K5" s="798"/>
      <c r="L5" s="798"/>
      <c r="M5" s="798"/>
      <c r="N5" s="798"/>
      <c r="O5" s="798"/>
      <c r="P5" s="798"/>
      <c r="Q5" s="798"/>
      <c r="R5" s="798"/>
    </row>
    <row r="6" spans="1:29" ht="48">
      <c r="A6" s="2440"/>
      <c r="B6" s="323" t="s">
        <v>2260</v>
      </c>
      <c r="C6" s="3451" t="s">
        <v>3408</v>
      </c>
      <c r="D6" s="2463"/>
      <c r="E6" s="2467"/>
      <c r="F6" s="323" t="s">
        <v>2261</v>
      </c>
      <c r="G6" s="2468" t="s">
        <v>2262</v>
      </c>
      <c r="H6" s="798"/>
      <c r="I6" s="798"/>
      <c r="J6" s="798"/>
      <c r="K6" s="798"/>
      <c r="L6" s="798"/>
      <c r="M6" s="798"/>
      <c r="N6" s="798"/>
      <c r="O6" s="798"/>
      <c r="P6" s="798"/>
      <c r="Q6" s="798"/>
      <c r="R6" s="798"/>
    </row>
    <row r="7" spans="1:29" ht="24.75" thickBot="1">
      <c r="A7" s="2440"/>
      <c r="B7" s="323" t="s">
        <v>2258</v>
      </c>
      <c r="C7" s="3451" t="s">
        <v>3409</v>
      </c>
      <c r="D7" s="2469"/>
      <c r="E7" s="2470"/>
      <c r="F7" s="2471" t="s">
        <v>2263</v>
      </c>
      <c r="G7" s="2472" t="s">
        <v>2264</v>
      </c>
      <c r="H7" s="798"/>
      <c r="I7" s="798"/>
      <c r="J7" s="798"/>
      <c r="K7" s="798"/>
      <c r="L7" s="798"/>
      <c r="M7" s="798"/>
      <c r="N7" s="798"/>
      <c r="O7" s="798"/>
      <c r="P7" s="798"/>
      <c r="Q7" s="798"/>
      <c r="R7" s="798"/>
    </row>
    <row r="8" spans="1:29" ht="22.5" customHeight="1">
      <c r="A8" s="2440"/>
      <c r="B8" s="323" t="s">
        <v>2261</v>
      </c>
      <c r="C8" s="3451" t="s">
        <v>3414</v>
      </c>
      <c r="D8" s="2469"/>
      <c r="E8" s="2469"/>
      <c r="F8" s="2473"/>
      <c r="G8" s="2473"/>
      <c r="H8" s="798"/>
      <c r="I8" s="798"/>
      <c r="J8" s="798"/>
      <c r="K8" s="798"/>
      <c r="L8" s="798"/>
      <c r="M8" s="798"/>
      <c r="N8" s="798"/>
      <c r="O8" s="798"/>
      <c r="P8" s="798"/>
      <c r="Q8" s="798"/>
      <c r="R8" s="798"/>
    </row>
    <row r="9" spans="1:29" ht="24">
      <c r="A9" s="2440"/>
      <c r="B9" s="323" t="s">
        <v>2265</v>
      </c>
      <c r="C9" s="2466" t="s">
        <v>2266</v>
      </c>
      <c r="D9" s="2463"/>
      <c r="E9" s="2469"/>
      <c r="F9" s="2473"/>
      <c r="G9" s="2473"/>
      <c r="H9" s="798"/>
      <c r="I9" s="798"/>
      <c r="J9" s="798"/>
      <c r="K9" s="798"/>
      <c r="L9" s="798"/>
      <c r="M9" s="798"/>
      <c r="N9" s="798"/>
      <c r="O9" s="798"/>
      <c r="P9" s="798"/>
      <c r="Q9" s="798"/>
      <c r="R9" s="798"/>
    </row>
    <row r="10" spans="1:29" s="2479" customFormat="1" ht="15" thickBot="1">
      <c r="A10" s="2441"/>
      <c r="B10" s="2474" t="s">
        <v>2267</v>
      </c>
      <c r="C10" s="2475" t="s">
        <v>3411</v>
      </c>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2268</v>
      </c>
      <c r="D14" s="2463"/>
      <c r="E14" s="2494"/>
      <c r="F14" s="2494"/>
      <c r="G14" s="2458" t="s">
        <v>2269</v>
      </c>
    </row>
    <row r="15" spans="1:29" ht="25.5">
      <c r="A15" s="2442" t="s">
        <v>2270</v>
      </c>
      <c r="B15" s="2495" t="s">
        <v>2252</v>
      </c>
      <c r="C15" s="2496">
        <f>C3</f>
        <v>0</v>
      </c>
      <c r="D15" s="2463"/>
      <c r="E15" s="2443" t="s">
        <v>2271</v>
      </c>
      <c r="F15" s="2495" t="s">
        <v>2272</v>
      </c>
      <c r="G15" s="2497" t="str">
        <f>G3</f>
        <v>估价对象位于XX开发区，园区建设成熟度XX，产业集聚程度XX</v>
      </c>
    </row>
    <row r="16" spans="1:29" ht="38.25">
      <c r="A16" s="2444"/>
      <c r="B16" s="2498" t="s">
        <v>2254</v>
      </c>
      <c r="C16" s="2499" t="str">
        <f>C4</f>
        <v>估价对象周边以住宅配套商业为主，周边商业氛围成熟一般，人流量一般，商业繁华度一般</v>
      </c>
      <c r="D16" s="2463"/>
      <c r="E16" s="2445"/>
      <c r="F16" s="2500" t="s">
        <v>2255</v>
      </c>
      <c r="G16" s="2501" t="str">
        <f>G4</f>
        <v>估价对象周边道路状况、公共交通通达情况、停车便捷程度，综合评价交通便捷度较好</v>
      </c>
    </row>
    <row r="17" spans="1:18">
      <c r="A17" s="2444"/>
      <c r="B17" s="2498" t="s">
        <v>2257</v>
      </c>
      <c r="C17" s="2499">
        <f>C5</f>
        <v>0</v>
      </c>
      <c r="D17" s="2469"/>
      <c r="E17" s="2445"/>
      <c r="F17" s="2500" t="s">
        <v>2273</v>
      </c>
      <c r="G17" s="2502"/>
    </row>
    <row r="18" spans="1:18" ht="51">
      <c r="A18" s="2444"/>
      <c r="B18" s="2500" t="s">
        <v>2260</v>
      </c>
      <c r="C18" s="2501" t="str">
        <f>C6</f>
        <v>估价对象周边道路状况、公共交通通达情况915、918、955等、停车便捷程度，综合评价交通便捷度一般</v>
      </c>
      <c r="D18" s="2469"/>
      <c r="E18" s="2445"/>
      <c r="F18" s="2500" t="s">
        <v>2263</v>
      </c>
      <c r="G18" s="2501" t="str">
        <f>G7</f>
        <v>该园区内是否有污染型企业，绿化情况，卫生条件，整体环境状况判断</v>
      </c>
    </row>
    <row r="19" spans="1:18" ht="25.5">
      <c r="A19" s="2444"/>
      <c r="B19" s="2500" t="s">
        <v>2274</v>
      </c>
      <c r="C19" s="2502"/>
      <c r="D19" s="2463"/>
      <c r="E19" s="2445"/>
      <c r="F19" s="323" t="s">
        <v>2258</v>
      </c>
      <c r="G19" s="2501" t="str">
        <f>G5</f>
        <v>估价对象所在区域公共配套设施齐备情况</v>
      </c>
    </row>
    <row r="20" spans="1:18" ht="25.5">
      <c r="A20" s="2444"/>
      <c r="B20" s="2500" t="s">
        <v>2275</v>
      </c>
      <c r="C20" s="2499" t="str">
        <f>C9</f>
        <v>区域自然环境：；人文环境；综合评价环境状况一般</v>
      </c>
      <c r="D20" s="2469"/>
      <c r="E20" s="2445"/>
      <c r="F20" s="323" t="s">
        <v>2261</v>
      </c>
      <c r="G20" s="2501" t="str">
        <f>G6</f>
        <v>估价对象所在区域基础设施水平</v>
      </c>
    </row>
    <row r="21" spans="1:18" ht="25.5">
      <c r="A21" s="2444"/>
      <c r="B21" s="323" t="s">
        <v>2258</v>
      </c>
      <c r="C21" s="2501" t="str">
        <f>C7</f>
        <v>估价对象所在区域公共配套设施齐备情况一般</v>
      </c>
      <c r="D21" s="2463"/>
      <c r="E21" s="2445"/>
      <c r="F21" s="2500" t="s">
        <v>2276</v>
      </c>
      <c r="G21" s="2503"/>
    </row>
    <row r="22" spans="1:18" ht="13.5" customHeight="1">
      <c r="A22" s="2444"/>
      <c r="B22" s="323" t="s">
        <v>2261</v>
      </c>
      <c r="C22" s="2501" t="str">
        <f>C8</f>
        <v>七通</v>
      </c>
      <c r="D22" s="2463"/>
      <c r="E22" s="2445"/>
      <c r="F22" s="2500" t="s">
        <v>2267</v>
      </c>
      <c r="G22" s="2502"/>
    </row>
    <row r="23" spans="1:18" s="798" customFormat="1" ht="15" thickBot="1">
      <c r="A23" s="2444"/>
      <c r="B23" s="2500" t="s">
        <v>2276</v>
      </c>
      <c r="C23" s="2503"/>
      <c r="D23" s="1739"/>
      <c r="E23" s="2446"/>
      <c r="F23" s="2504" t="s">
        <v>2277</v>
      </c>
      <c r="G23" s="2505"/>
      <c r="H23" s="2489"/>
      <c r="I23" s="2490"/>
      <c r="J23" s="2489"/>
      <c r="K23" s="2489"/>
      <c r="L23" s="2490"/>
      <c r="M23" s="2489"/>
      <c r="N23" s="2489"/>
      <c r="O23" s="2490"/>
      <c r="P23" s="2489"/>
      <c r="Q23" s="2489"/>
      <c r="R23" s="2491"/>
    </row>
    <row r="24" spans="1:18" s="798" customFormat="1" ht="15" thickBot="1">
      <c r="A24" s="2447"/>
      <c r="B24" s="2504" t="s">
        <v>2278</v>
      </c>
      <c r="C24" s="2506" t="str">
        <f>C10</f>
        <v>次干道-南焦路</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tabSelected="1" view="pageBreakPreview" zoomScale="80" zoomScaleNormal="80" zoomScaleSheetLayoutView="80" workbookViewId="0">
      <selection activeCell="E11" sqref="E1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453.74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45504</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1257.6312</v>
      </c>
      <c r="C5" s="2510">
        <f ca="1">IF(B5=D14,结果表!H102,ROUND(B5*10000/$B$1,0))</f>
        <v>27717</v>
      </c>
      <c r="D5" s="2510" t="e">
        <f ca="1">ROUND(B5*10000/$B$2,0)</f>
        <v>#DIV/0!</v>
      </c>
      <c r="E5" s="2684"/>
      <c r="F5" s="2685"/>
      <c r="G5" s="2685"/>
      <c r="H5" s="2686"/>
      <c r="I5" s="2686"/>
      <c r="J5" s="2686"/>
      <c r="K5" s="2686"/>
    </row>
    <row r="6" spans="1:11" ht="16.5">
      <c r="A6" s="2510" t="s">
        <v>656</v>
      </c>
      <c r="B6" s="2510">
        <f ca="1">SUM(G14:G23)</f>
        <v>1257.6312</v>
      </c>
      <c r="C6" s="2510">
        <f ca="1">IF(B6=G14,结果表!H108,ROUND(B6*10000/$B$1,0))</f>
        <v>27717</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 ca="1">SUM(I14:I23)</f>
        <v>1131</v>
      </c>
      <c r="C8" s="2510">
        <f ca="1">IF(B8=I14,结果表!H112,ROUND(B8*10000/$B$1,0))</f>
        <v>24926</v>
      </c>
      <c r="D8" s="2510" t="e">
        <f ca="1">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3357</v>
      </c>
      <c r="D10" s="2510" t="s">
        <v>3358</v>
      </c>
      <c r="E10" s="3439"/>
      <c r="F10" s="3443" t="s">
        <v>3359</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453.74</v>
      </c>
      <c r="C14" s="2516"/>
      <c r="D14" s="2516">
        <f ca="1">ROUND(E14*B14/10000,4)</f>
        <v>1257.6312</v>
      </c>
      <c r="E14" s="2516">
        <f ca="1">结果表!I118</f>
        <v>27717</v>
      </c>
      <c r="F14" s="2516" t="e">
        <f ca="1">ROUND(D14*10000/C14,0)</f>
        <v>#DIV/0!</v>
      </c>
      <c r="G14" s="2516">
        <f ca="1">D14</f>
        <v>1257.6312</v>
      </c>
      <c r="H14" s="2516"/>
      <c r="I14" s="2516">
        <f ca="1">结果表!D126</f>
        <v>1131</v>
      </c>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row r="29" spans="1:11" ht="14.25">
      <c r="D29" s="3802" t="str">
        <f ca="1">NUMBERSTRING(INT(D14),2)&amp;"元整"</f>
        <v>壹仟贰佰伍拾柒元整</v>
      </c>
      <c r="E29" s="3803"/>
    </row>
  </sheetData>
  <sheetProtection password="CEE9" sheet="1" objects="1" scenarios="1" formatCells="0" formatColumns="0" formatRows="0"/>
  <mergeCells count="1">
    <mergeCell ref="D29:E29"/>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3" zoomScaleNormal="100" zoomScaleSheetLayoutView="100" zoomScalePageLayoutView="80" workbookViewId="0">
      <selection activeCell="H119" sqref="H119:I119"/>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v>115</v>
      </c>
      <c r="D1" s="1745"/>
      <c r="E1" s="1745"/>
      <c r="F1" s="1747" t="s">
        <v>1263</v>
      </c>
      <c r="G1" s="1559" t="s">
        <v>3404</v>
      </c>
      <c r="H1" s="1748" t="str">
        <f>IF(G1="现房","——","估价对象范围")</f>
        <v>——</v>
      </c>
      <c r="I1" s="1749" t="s">
        <v>3405</v>
      </c>
    </row>
    <row r="2" spans="1:12" ht="21.75" customHeight="1" thickBot="1">
      <c r="A2" s="3617" t="str">
        <f>项目基本情况!S2</f>
        <v>北京市顺义区金关北二路2号院2号楼1层115房地产</v>
      </c>
      <c r="B2" s="3618"/>
      <c r="C2" s="3618"/>
      <c r="D2" s="3618"/>
      <c r="E2" s="3618"/>
      <c r="F2" s="3618"/>
      <c r="G2" s="3618"/>
      <c r="H2" s="3618"/>
      <c r="I2" s="3619"/>
    </row>
    <row r="3" spans="1:12" ht="12.75">
      <c r="A3" s="3621" t="s">
        <v>1264</v>
      </c>
      <c r="B3" s="3622"/>
      <c r="C3" s="3622"/>
      <c r="D3" s="3622"/>
      <c r="E3" s="3622"/>
      <c r="F3" s="3622"/>
      <c r="G3" s="3622"/>
      <c r="H3" s="3622"/>
      <c r="I3" s="3622"/>
    </row>
    <row r="4" spans="1:12" ht="14.25">
      <c r="A4" s="1752" t="s">
        <v>1265</v>
      </c>
      <c r="B4" s="1753" t="s">
        <v>1266</v>
      </c>
      <c r="C4" s="1754" t="s">
        <v>3406</v>
      </c>
      <c r="D4" s="1754" t="s">
        <v>3394</v>
      </c>
      <c r="E4" s="3626" t="s">
        <v>1267</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1268</v>
      </c>
      <c r="B5" s="3620">
        <v>25</v>
      </c>
      <c r="C5" s="3623"/>
      <c r="D5" s="3611"/>
      <c r="E5" s="131" t="s">
        <v>1269</v>
      </c>
      <c r="F5" s="1755"/>
      <c r="G5" s="1755"/>
      <c r="H5" s="1755"/>
      <c r="I5" s="1371"/>
    </row>
    <row r="6" spans="1:12" ht="12.75">
      <c r="A6" s="3565"/>
      <c r="B6" s="3620"/>
      <c r="C6" s="3625"/>
      <c r="D6" s="3611"/>
      <c r="E6" s="131" t="s">
        <v>1270</v>
      </c>
      <c r="F6" s="1755"/>
      <c r="G6" s="1755"/>
      <c r="H6" s="1755"/>
      <c r="I6" s="1371"/>
    </row>
    <row r="7" spans="1:12" ht="12.75">
      <c r="A7" s="3565"/>
      <c r="B7" s="3620"/>
      <c r="C7" s="3624"/>
      <c r="D7" s="3611"/>
      <c r="E7" s="131" t="s">
        <v>1271</v>
      </c>
      <c r="F7" s="1755"/>
      <c r="G7" s="1755"/>
      <c r="H7" s="1755"/>
      <c r="I7" s="1371"/>
    </row>
    <row r="8" spans="1:12" ht="12.75">
      <c r="A8" s="3565" t="s">
        <v>1272</v>
      </c>
      <c r="B8" s="3620">
        <v>15</v>
      </c>
      <c r="C8" s="3623"/>
      <c r="D8" s="3611"/>
      <c r="E8" s="131" t="s">
        <v>1273</v>
      </c>
      <c r="F8" s="1755"/>
      <c r="G8" s="1755"/>
      <c r="H8" s="1755"/>
      <c r="I8" s="1371"/>
    </row>
    <row r="9" spans="1:12" ht="12.75">
      <c r="A9" s="3565"/>
      <c r="B9" s="3620"/>
      <c r="C9" s="3624"/>
      <c r="D9" s="3611"/>
      <c r="E9" s="131" t="s">
        <v>1274</v>
      </c>
      <c r="F9" s="1755"/>
      <c r="G9" s="1755"/>
      <c r="H9" s="1755"/>
      <c r="I9" s="1371"/>
    </row>
    <row r="10" spans="1:12" ht="12.75">
      <c r="A10" s="3565" t="s">
        <v>1275</v>
      </c>
      <c r="B10" s="3620">
        <v>15</v>
      </c>
      <c r="C10" s="3623"/>
      <c r="D10" s="3611"/>
      <c r="E10" s="131" t="s">
        <v>1276</v>
      </c>
      <c r="F10" s="1755"/>
      <c r="G10" s="1755"/>
      <c r="H10" s="1755"/>
      <c r="I10" s="1371"/>
    </row>
    <row r="11" spans="1:12" ht="12.75">
      <c r="A11" s="3565"/>
      <c r="B11" s="3620"/>
      <c r="C11" s="3624"/>
      <c r="D11" s="3611"/>
      <c r="E11" s="131" t="s">
        <v>1277</v>
      </c>
      <c r="F11" s="1755"/>
      <c r="G11" s="1755"/>
      <c r="H11" s="1755"/>
      <c r="I11" s="1371"/>
    </row>
    <row r="12" spans="1:12" ht="12.75">
      <c r="A12" s="3565" t="s">
        <v>1278</v>
      </c>
      <c r="B12" s="3620">
        <v>15</v>
      </c>
      <c r="C12" s="3623"/>
      <c r="D12" s="3611"/>
      <c r="E12" s="131" t="s">
        <v>1279</v>
      </c>
      <c r="F12" s="1755"/>
      <c r="G12" s="1755"/>
      <c r="H12" s="1755"/>
      <c r="I12" s="1371"/>
    </row>
    <row r="13" spans="1:12" ht="12.75">
      <c r="A13" s="3565"/>
      <c r="B13" s="3620"/>
      <c r="C13" s="3624"/>
      <c r="D13" s="3611"/>
      <c r="E13" s="131" t="s">
        <v>1280</v>
      </c>
      <c r="F13" s="1755"/>
      <c r="G13" s="1755"/>
      <c r="H13" s="1755"/>
      <c r="I13" s="1371"/>
    </row>
    <row r="14" spans="1:12" ht="12.75">
      <c r="A14" s="3565" t="s">
        <v>1281</v>
      </c>
      <c r="B14" s="3620">
        <v>30</v>
      </c>
      <c r="C14" s="3623">
        <v>6</v>
      </c>
      <c r="D14" s="3611">
        <v>4</v>
      </c>
      <c r="E14" s="131" t="s">
        <v>1282</v>
      </c>
      <c r="F14" s="1755"/>
      <c r="G14" s="1755"/>
      <c r="H14" s="1755"/>
      <c r="I14" s="1371"/>
    </row>
    <row r="15" spans="1:12" ht="12.75">
      <c r="A15" s="3565"/>
      <c r="B15" s="3620"/>
      <c r="C15" s="3625"/>
      <c r="D15" s="3611"/>
      <c r="E15" s="131" t="s">
        <v>1283</v>
      </c>
      <c r="F15" s="1755"/>
      <c r="G15" s="1755"/>
      <c r="H15" s="1755"/>
      <c r="I15" s="1371"/>
    </row>
    <row r="16" spans="1:12" ht="12.75">
      <c r="A16" s="3565"/>
      <c r="B16" s="3620"/>
      <c r="C16" s="3624"/>
      <c r="D16" s="3611"/>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642" t="s">
        <v>2131</v>
      </c>
      <c r="F18" s="3643"/>
      <c r="G18" s="3643"/>
      <c r="H18" s="3643"/>
      <c r="I18" s="3643"/>
      <c r="K18" s="302" t="s">
        <v>1289</v>
      </c>
      <c r="L18" s="302">
        <f>IF(C1="",'数据-汇总表'!E3,SUMIF(项目类型,C1,'数据-汇总表'!E17:E26)+SUMIF(项目类型,C1,'数据-汇总表'!I17:I26))</f>
        <v>453.74</v>
      </c>
      <c r="M18" s="302">
        <f>IF(C1="",'数据-汇总表'!E3,SUMIF(项目类型,C1,'数据-汇总表'!E17:E26))</f>
        <v>453.74</v>
      </c>
    </row>
    <row r="19" spans="1:36" ht="15">
      <c r="A19" s="1759" t="s">
        <v>1290</v>
      </c>
      <c r="B19" s="1760" t="s">
        <v>1291</v>
      </c>
      <c r="C19" s="134">
        <f ca="1">SUMIF(INDIRECT("'"&amp;C4&amp;"'"&amp;"!A:A"),结果表!B19,INDIRECT("'"&amp;C4&amp;"'"&amp;"!B:B"))</f>
        <v>1671.2605000000001</v>
      </c>
      <c r="D19" s="135">
        <f ca="1">SUMIF(INDIRECT("'"&amp;D4&amp;"'"&amp;"!A:A"),结果表!B19,INDIRECT("'"&amp;D4&amp;"'"&amp;"!B:B"))</f>
        <v>637.19100000000003</v>
      </c>
      <c r="E19" s="1759" t="s">
        <v>1292</v>
      </c>
      <c r="F19" s="1760" t="s">
        <v>1291</v>
      </c>
      <c r="G19" s="136">
        <f ca="1">ROUND(C19*$C$18+D19*$D$18,0)</f>
        <v>1258</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f ca="1">SUMIF(INDIRECT("'"&amp;C4&amp;"'"&amp;"!A:A"),结果表!B20,INDIRECT("'"&amp;C4&amp;"'"&amp;"!B:B"))</f>
        <v>36833</v>
      </c>
      <c r="D20" s="138">
        <f ca="1">SUMIF(INDIRECT("'"&amp;D4&amp;"'"&amp;"!A:A"),结果表!B20,INDIRECT("'"&amp;D4&amp;"'"&amp;"!B:B"))</f>
        <v>14043</v>
      </c>
      <c r="E20" s="1762"/>
      <c r="F20" s="1025" t="s">
        <v>1295</v>
      </c>
      <c r="G20" s="139">
        <f ca="1">ROUND(C20*$C$18+D20*$D$18,0)</f>
        <v>27717</v>
      </c>
      <c r="H20" s="807" t="s">
        <v>1296</v>
      </c>
      <c r="I20" s="129"/>
    </row>
    <row r="21" spans="1:36" ht="15" customHeight="1" thickBot="1">
      <c r="A21" s="827"/>
      <c r="B21" s="1763" t="s">
        <v>1297</v>
      </c>
      <c r="C21" s="718" t="e">
        <f ca="1">ROUND(C19*10000/L19,0)</f>
        <v>#DIV/0!</v>
      </c>
      <c r="D21" s="719" t="e">
        <f ca="1">ROUND(D19*10000/L19,0)</f>
        <v>#DIV/0!</v>
      </c>
      <c r="E21" s="827"/>
      <c r="F21" s="1763" t="s">
        <v>1297</v>
      </c>
      <c r="G21" s="140" t="e">
        <f ca="1">ROUND(G19*10000/L19,0)</f>
        <v>#DIV/0!</v>
      </c>
      <c r="H21" s="1764" t="s">
        <v>1296</v>
      </c>
      <c r="I21" s="129"/>
    </row>
    <row r="22" spans="1:36" ht="15" thickBot="1">
      <c r="A22" s="1686" t="s">
        <v>1298</v>
      </c>
      <c r="B22" s="1765"/>
      <c r="C22" s="1766"/>
      <c r="D22" s="720">
        <f ca="1">IF(C19&lt;D19,D19/C19-1,C19/D19-1)</f>
        <v>1.6228564119706652</v>
      </c>
      <c r="E22" s="129"/>
      <c r="F22" s="129"/>
      <c r="G22" s="129"/>
      <c r="H22" s="129"/>
      <c r="I22" s="129"/>
      <c r="K22" s="724" t="s">
        <v>3393</v>
      </c>
    </row>
    <row r="23" spans="1:36" ht="13.5" thickBot="1">
      <c r="A23" s="1745"/>
      <c r="B23" s="1745"/>
      <c r="C23" s="1745"/>
      <c r="D23" s="1745"/>
      <c r="E23" s="129"/>
      <c r="F23" s="129"/>
      <c r="G23" s="129"/>
      <c r="H23" s="129"/>
      <c r="I23" s="129"/>
    </row>
    <row r="24" spans="1:36" ht="14.25">
      <c r="A24" s="3635" t="s">
        <v>1299</v>
      </c>
      <c r="B24" s="1760" t="s">
        <v>1291</v>
      </c>
      <c r="C24" s="136">
        <f>IF(B30=0,0,D30)</f>
        <v>0</v>
      </c>
      <c r="D24" s="1767"/>
      <c r="E24" s="129"/>
      <c r="F24" s="129"/>
      <c r="G24" s="129"/>
      <c r="H24" s="129"/>
      <c r="I24" s="129"/>
      <c r="K24" s="724">
        <v>1300</v>
      </c>
      <c r="L24" s="724">
        <f>K24*10000/L18</f>
        <v>28650.76916295676</v>
      </c>
    </row>
    <row r="25" spans="1:36" ht="14.25">
      <c r="A25" s="3636"/>
      <c r="B25" s="1025" t="s">
        <v>1295</v>
      </c>
      <c r="C25" s="141">
        <f>IF(B30=0,0,C30)</f>
        <v>0</v>
      </c>
      <c r="D25" s="1768"/>
      <c r="E25" s="129"/>
      <c r="F25" s="129"/>
      <c r="G25" s="129"/>
      <c r="H25" s="129"/>
      <c r="I25" s="129"/>
      <c r="K25" s="724">
        <v>1200</v>
      </c>
      <c r="L25" s="724">
        <f>K25*10000/L18</f>
        <v>26446.863842729315</v>
      </c>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27717</v>
      </c>
      <c r="D32" s="1773" t="s">
        <v>3444</v>
      </c>
      <c r="E32" s="129"/>
      <c r="F32" s="129"/>
      <c r="G32" s="129"/>
      <c r="H32" s="129"/>
      <c r="I32" s="129"/>
    </row>
    <row r="33" spans="1:15" ht="15">
      <c r="A33" s="785" t="s">
        <v>1306</v>
      </c>
      <c r="B33" s="1774"/>
      <c r="C33" s="1775" t="s">
        <v>3445</v>
      </c>
      <c r="D33" s="1776" t="s">
        <v>3394</v>
      </c>
      <c r="E33" s="1777" t="s">
        <v>1307</v>
      </c>
      <c r="F33" s="1778" t="str">
        <f>IF(D32="楼面单价","取值（单价）","取值（总价）")</f>
        <v>取值（单价）</v>
      </c>
      <c r="G33" s="129"/>
      <c r="H33" s="129"/>
      <c r="I33" s="129"/>
    </row>
    <row r="34" spans="1:15" ht="15">
      <c r="A34" s="1779"/>
      <c r="B34" s="1780" t="s">
        <v>1308</v>
      </c>
      <c r="C34" s="148">
        <f ca="1">IF(C33="自定义",F34,C32-C35)</f>
        <v>17628</v>
      </c>
      <c r="D34" s="860">
        <f ca="1">IF(C33="自定义",ROUND(C34/C32,3),IF(C33="收益比率",SUMIF(INDIRECT("'"&amp;D33&amp;"'"&amp;"!b:b"),"土地收益比率",INDIRECT("'"&amp;D33&amp;"'"&amp;"!c:c")),SUMIF(INDIRECT("'"&amp;D33&amp;"'"&amp;"!b:b"),"土地成本比率",INDIRECT("'"&amp;D33&amp;"'"&amp;"!c:c"))))</f>
        <v>0.63600000000000001</v>
      </c>
      <c r="E34" s="1781" t="s">
        <v>1309</v>
      </c>
      <c r="F34" s="1328"/>
      <c r="G34" s="129"/>
      <c r="H34" s="129"/>
      <c r="I34" s="129"/>
    </row>
    <row r="35" spans="1:15" ht="15.75" thickBot="1">
      <c r="A35" s="1782"/>
      <c r="B35" s="1783" t="s">
        <v>1310</v>
      </c>
      <c r="C35" s="1168">
        <f ca="1">IF(C33="自定义",F35,ROUND(C32*D35,0))</f>
        <v>10089</v>
      </c>
      <c r="D35" s="1169">
        <f ca="1">IF(C33="自定义",ROUND(C35/C32,3),IF(C33="收益比率",SUMIF(INDIRECT("'"&amp;D33&amp;"'"&amp;"!b:b"),"建筑物收益比率",INDIRECT("'"&amp;D33&amp;"'"&amp;"!c:c")),SUMIF(INDIRECT("'"&amp;D33&amp;"'"&amp;"!b:b"),"建筑物成本比率",INDIRECT("'"&amp;D33&amp;"'"&amp;"!c:c"))))</f>
        <v>0.36399999999999999</v>
      </c>
      <c r="E35" s="1784" t="s">
        <v>1311</v>
      </c>
      <c r="F35" s="154"/>
      <c r="G35" s="129"/>
      <c r="H35" s="129"/>
      <c r="I35" s="129"/>
    </row>
    <row r="36" spans="1:15" ht="15.75" thickBot="1">
      <c r="A36" s="3612" t="s">
        <v>1312</v>
      </c>
      <c r="B36" s="1785" t="s">
        <v>1313</v>
      </c>
      <c r="C36" s="145"/>
      <c r="D36" s="1786"/>
      <c r="E36" s="1787"/>
      <c r="F36" s="1788"/>
      <c r="G36" s="129"/>
      <c r="H36" s="129"/>
      <c r="I36" s="129"/>
    </row>
    <row r="37" spans="1:15" ht="15.75" thickBot="1">
      <c r="A37" s="3613"/>
      <c r="B37" s="1672" t="s">
        <v>1314</v>
      </c>
      <c r="C37" s="147"/>
      <c r="D37" s="1137"/>
      <c r="E37" s="1137"/>
      <c r="F37" s="1788"/>
      <c r="G37" s="129"/>
      <c r="H37" s="129"/>
      <c r="I37" s="129"/>
    </row>
    <row r="38" spans="1:15" ht="15.75" thickBot="1">
      <c r="A38" s="3614"/>
      <c r="B38" s="1789" t="s">
        <v>1315</v>
      </c>
      <c r="C38" s="673"/>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2" t="s">
        <v>1326</v>
      </c>
      <c r="B45" s="3633"/>
      <c r="C45" s="3634"/>
      <c r="D45" s="155">
        <f ca="1">ROUND(H101*F45,0)</f>
        <v>1258</v>
      </c>
      <c r="E45" s="156" t="s">
        <v>1327</v>
      </c>
      <c r="F45" s="157">
        <v>1</v>
      </c>
      <c r="G45" s="158" t="s">
        <v>1328</v>
      </c>
      <c r="H45" s="129"/>
      <c r="I45" s="129"/>
      <c r="J45" s="3552" t="s">
        <v>1329</v>
      </c>
      <c r="K45" s="3552"/>
      <c r="L45" s="3552"/>
      <c r="M45" s="3552"/>
      <c r="N45" s="3552"/>
      <c r="O45" s="3552"/>
    </row>
    <row r="46" spans="1:15" ht="14.25" customHeight="1">
      <c r="A46" s="3629" t="s">
        <v>1330</v>
      </c>
      <c r="B46" s="3630"/>
      <c r="C46" s="3630"/>
      <c r="D46" s="3630"/>
      <c r="E46" s="3630"/>
      <c r="F46" s="3630"/>
      <c r="G46" s="3631"/>
      <c r="H46" s="1804"/>
      <c r="I46" s="159"/>
      <c r="J46" s="2521">
        <v>1</v>
      </c>
      <c r="K46" s="3553" t="s">
        <v>1331</v>
      </c>
      <c r="L46" s="3553"/>
      <c r="M46" s="3554"/>
      <c r="N46" s="3554"/>
      <c r="O46" s="3554"/>
    </row>
    <row r="47" spans="1:15" ht="12" customHeight="1">
      <c r="A47" s="160" t="s">
        <v>1332</v>
      </c>
      <c r="B47" s="161"/>
      <c r="C47" s="162"/>
      <c r="D47" s="1085" t="s">
        <v>1333</v>
      </c>
      <c r="E47" s="302" t="s">
        <v>1334</v>
      </c>
      <c r="F47" s="163" t="s">
        <v>1335</v>
      </c>
      <c r="G47" s="2544" t="s">
        <v>1336</v>
      </c>
      <c r="H47" s="2545"/>
      <c r="I47" s="159"/>
      <c r="J47" s="2521">
        <v>2</v>
      </c>
      <c r="K47" s="3553" t="s">
        <v>1337</v>
      </c>
      <c r="L47" s="3553"/>
      <c r="M47" s="3555">
        <f>'数据-取费表'!B2</f>
        <v>45504</v>
      </c>
      <c r="N47" s="3555"/>
      <c r="O47" s="3555"/>
    </row>
    <row r="48" spans="1:15" ht="25.5">
      <c r="A48" s="3615" t="s">
        <v>1338</v>
      </c>
      <c r="B48" s="3616"/>
      <c r="C48" s="3616"/>
      <c r="D48" s="2322">
        <f ca="1">IF(H48="情况1",0,IF(H48="情况2",D52,IF(H48="情况3",D53,IF(H48="情况4",D54))))</f>
        <v>66</v>
      </c>
      <c r="E48" s="2332" t="str">
        <f>IF(H48="情况4","(销售额-原购置价)×税（费）率","销售额×税（费）率")</f>
        <v>(销售额-原购置价)×税（费）率</v>
      </c>
      <c r="F48" s="2546">
        <f>IF(H48="情况1","免征",'数据-取费表'!B41)</f>
        <v>5.5000000000000007E-2</v>
      </c>
      <c r="G48" s="2547" t="s">
        <v>1339</v>
      </c>
      <c r="H48" s="2548" t="s">
        <v>3446</v>
      </c>
      <c r="I48" s="1804"/>
      <c r="J48" s="2521">
        <v>3</v>
      </c>
      <c r="K48" s="3553" t="s">
        <v>1340</v>
      </c>
      <c r="L48" s="3553"/>
      <c r="M48" s="3556">
        <f ca="1">H101</f>
        <v>1258</v>
      </c>
      <c r="N48" s="3556"/>
      <c r="O48" s="3556"/>
    </row>
    <row r="49" spans="1:35" ht="25.5" customHeight="1">
      <c r="A49" s="2331" t="s">
        <v>1341</v>
      </c>
      <c r="B49" s="3601" t="s">
        <v>1342</v>
      </c>
      <c r="C49" s="3601"/>
      <c r="D49" s="1588">
        <v>0</v>
      </c>
      <c r="E49" s="324" t="s">
        <v>1343</v>
      </c>
      <c r="F49" s="2422" t="s">
        <v>28</v>
      </c>
      <c r="G49" s="3584"/>
      <c r="H49" s="2308" t="s">
        <v>2134</v>
      </c>
      <c r="I49" s="2309"/>
      <c r="J49" s="2521">
        <v>4</v>
      </c>
      <c r="K49" s="3553" t="str">
        <f>IF(项目基本情况!E8="房地产抵押价值","房地产抵押价值","抵押担保权已注销时的房地产抵押价值")</f>
        <v>房地产抵押价值</v>
      </c>
      <c r="L49" s="3553"/>
      <c r="M49" s="3556">
        <f ca="1">IF(项目基本情况!E8="房地产抵押价值",H107,H109)</f>
        <v>1258</v>
      </c>
      <c r="N49" s="3556"/>
      <c r="O49" s="3556"/>
    </row>
    <row r="50" spans="1:35" ht="25.5" customHeight="1">
      <c r="A50" s="2549"/>
      <c r="B50" s="3601" t="s">
        <v>1344</v>
      </c>
      <c r="C50" s="3601"/>
      <c r="D50" s="2550"/>
      <c r="E50" s="332"/>
      <c r="F50" s="2422"/>
      <c r="G50" s="3585"/>
      <c r="H50" s="2310" t="s">
        <v>2135</v>
      </c>
      <c r="I50" s="2309"/>
      <c r="J50" s="3552" t="s">
        <v>1345</v>
      </c>
      <c r="K50" s="3552"/>
      <c r="L50" s="3552"/>
      <c r="M50" s="3552"/>
      <c r="N50" s="3552"/>
      <c r="O50" s="3552"/>
    </row>
    <row r="51" spans="1:35" ht="20.45" customHeight="1">
      <c r="A51" s="2551"/>
      <c r="B51" s="3601" t="s">
        <v>1346</v>
      </c>
      <c r="C51" s="3601"/>
      <c r="D51" s="1085"/>
      <c r="E51" s="327"/>
      <c r="F51" s="2422"/>
      <c r="G51" s="3586"/>
      <c r="H51" s="2310" t="s">
        <v>2136</v>
      </c>
      <c r="I51" s="2309"/>
      <c r="J51" s="2522" t="s">
        <v>1347</v>
      </c>
      <c r="K51" s="3553" t="s">
        <v>1348</v>
      </c>
      <c r="L51" s="3553"/>
      <c r="M51" s="2522" t="s">
        <v>1349</v>
      </c>
      <c r="N51" s="2522" t="s">
        <v>1350</v>
      </c>
      <c r="O51" s="2522" t="s">
        <v>1351</v>
      </c>
    </row>
    <row r="52" spans="1:35" ht="24" customHeight="1">
      <c r="A52" s="2333" t="s">
        <v>1352</v>
      </c>
      <c r="B52" s="3601" t="s">
        <v>1353</v>
      </c>
      <c r="C52" s="3601"/>
      <c r="D52" s="1085">
        <f ca="1">ROUND(D45*'数据-取费表'!B41/(1+'数据-取费表'!C42),0)</f>
        <v>66</v>
      </c>
      <c r="E52" s="2332" t="s">
        <v>1354</v>
      </c>
      <c r="F52" s="2552">
        <f>'数据-取费表'!B41</f>
        <v>5.5000000000000007E-2</v>
      </c>
      <c r="G52" s="2553"/>
      <c r="H52" s="2542"/>
      <c r="I52" s="1805"/>
      <c r="J52" s="2521">
        <v>1</v>
      </c>
      <c r="K52" s="3578" t="s">
        <v>1355</v>
      </c>
      <c r="L52" s="3578"/>
      <c r="M52" s="2523">
        <f ca="1">D48</f>
        <v>66</v>
      </c>
      <c r="N52" s="2521" t="str">
        <f>E48</f>
        <v>(销售额-原购置价)×税（费）率</v>
      </c>
      <c r="O52" s="2524">
        <f>F48</f>
        <v>5.5000000000000007E-2</v>
      </c>
    </row>
    <row r="53" spans="1:35" ht="12" customHeight="1">
      <c r="A53" s="2333" t="s">
        <v>1356</v>
      </c>
      <c r="B53" s="3602" t="s">
        <v>2288</v>
      </c>
      <c r="C53" s="3603"/>
      <c r="D53" s="1085">
        <f ca="1">ROUND(D45*'数据-取费表'!B41/(1+'数据-取费表'!C42),0)</f>
        <v>66</v>
      </c>
      <c r="E53" s="2332" t="s">
        <v>1354</v>
      </c>
      <c r="F53" s="2552">
        <f>'数据-取费表'!B41</f>
        <v>5.5000000000000007E-2</v>
      </c>
      <c r="G53" s="2553"/>
      <c r="H53" s="2542"/>
      <c r="I53" s="1805"/>
      <c r="J53" s="2521">
        <v>2</v>
      </c>
      <c r="K53" s="3578" t="s">
        <v>1357</v>
      </c>
      <c r="L53" s="3578"/>
      <c r="M53" s="2523">
        <f t="shared" ref="M53:O54" ca="1" si="0">D55</f>
        <v>1</v>
      </c>
      <c r="N53" s="2521" t="str">
        <f t="shared" si="0"/>
        <v>销售额×税（费）率</v>
      </c>
      <c r="O53" s="2524">
        <f t="shared" si="0"/>
        <v>5.0000000000000001E-4</v>
      </c>
    </row>
    <row r="54" spans="1:35" ht="12" customHeight="1">
      <c r="A54" s="2333" t="s">
        <v>1358</v>
      </c>
      <c r="B54" s="3602" t="s">
        <v>2289</v>
      </c>
      <c r="C54" s="3603"/>
      <c r="D54" s="1085">
        <f ca="1">C68</f>
        <v>66</v>
      </c>
      <c r="E54" s="327" t="s">
        <v>1359</v>
      </c>
      <c r="F54" s="2552">
        <f>'数据-取费表'!B41</f>
        <v>5.5000000000000007E-2</v>
      </c>
      <c r="G54" s="2553"/>
      <c r="H54" s="2554"/>
      <c r="I54" s="1805"/>
      <c r="J54" s="2521">
        <v>3</v>
      </c>
      <c r="K54" s="3578" t="s">
        <v>1360</v>
      </c>
      <c r="L54" s="3578"/>
      <c r="M54" s="2523">
        <f t="shared" ca="1" si="0"/>
        <v>60</v>
      </c>
      <c r="N54" s="2521" t="str">
        <f t="shared" si="0"/>
        <v>增值额×税（费）率</v>
      </c>
      <c r="O54" s="2525" t="str">
        <f t="shared" si="0"/>
        <v>——</v>
      </c>
    </row>
    <row r="55" spans="1:35" ht="24" customHeight="1">
      <c r="A55" s="3638" t="s">
        <v>1361</v>
      </c>
      <c r="B55" s="3616"/>
      <c r="C55" s="3616"/>
      <c r="D55" s="2322">
        <f ca="1">IF(H55="个人住宅",0,ROUND(D45*I55,0))</f>
        <v>1</v>
      </c>
      <c r="E55" s="2332" t="s">
        <v>1362</v>
      </c>
      <c r="F55" s="2552">
        <f>IF(H55="正常",I55,"免征")</f>
        <v>5.0000000000000001E-4</v>
      </c>
      <c r="G55" s="2553"/>
      <c r="H55" s="2548" t="s">
        <v>3399</v>
      </c>
      <c r="I55" s="165">
        <f>'数据-取费表'!B49</f>
        <v>5.0000000000000001E-4</v>
      </c>
      <c r="J55" s="2521" t="str">
        <f>IF(H59="非个人房产","",4)</f>
        <v/>
      </c>
      <c r="K55" s="3578" t="str">
        <f>IF(H59="非个人房产","——","个人所得税")</f>
        <v>——</v>
      </c>
      <c r="L55" s="3578"/>
      <c r="M55" s="2526" t="str">
        <f>D59</f>
        <v>——</v>
      </c>
      <c r="N55" s="2038" t="str">
        <f>E59</f>
        <v>——</v>
      </c>
      <c r="O55" s="2527" t="str">
        <f>F59</f>
        <v>——</v>
      </c>
    </row>
    <row r="56" spans="1:35" ht="24.75">
      <c r="A56" s="3638" t="s">
        <v>1363</v>
      </c>
      <c r="B56" s="3616"/>
      <c r="C56" s="3616"/>
      <c r="D56" s="3458">
        <f ca="1">ROUND(D45/1.05*0.05,0)</f>
        <v>60</v>
      </c>
      <c r="E56" s="2332" t="s">
        <v>1364</v>
      </c>
      <c r="F56" s="2552" t="str">
        <f>IF(H56="正常",F58,"免征")</f>
        <v>——</v>
      </c>
      <c r="G56" s="2555" t="s">
        <v>1365</v>
      </c>
      <c r="H56" s="2556" t="s">
        <v>3399</v>
      </c>
      <c r="I56" s="1806"/>
      <c r="J56" s="2521" t="str">
        <f>IF(项目基本情况!K6="上海银行",IF(J55="",4,J55+1),"")</f>
        <v/>
      </c>
      <c r="K56" s="3559" t="str">
        <f>IF(项目基本情况!K6="上海银行","其他处置费用","")</f>
        <v/>
      </c>
      <c r="L56" s="3560"/>
      <c r="M56" s="2523" t="str">
        <f>IF(项目基本情况!K6="上海银行",M69,"")</f>
        <v/>
      </c>
      <c r="N56" s="3559" t="str">
        <f>IF(项目基本情况!K6="上海银行","包含处置中涉及的律师、诉讼、拍卖、评估等费用","")</f>
        <v/>
      </c>
      <c r="O56" s="3562"/>
    </row>
    <row r="57" spans="1:35" ht="12.75">
      <c r="A57" s="2333" t="s">
        <v>1341</v>
      </c>
      <c r="B57" s="3602" t="s">
        <v>1366</v>
      </c>
      <c r="C57" s="3603"/>
      <c r="D57" s="1588">
        <v>0</v>
      </c>
      <c r="E57" s="324" t="s">
        <v>1343</v>
      </c>
      <c r="F57" s="302"/>
      <c r="G57" s="2553"/>
      <c r="H57" s="2557"/>
      <c r="I57" s="1806"/>
      <c r="J57" s="3578">
        <f>IF(AND(J55="",J56=""),4,IF(项目基本情况!K6="上海银行",结果表!J56+1,结果表!J55+1))</f>
        <v>4</v>
      </c>
      <c r="K57" s="3578" t="s">
        <v>1367</v>
      </c>
      <c r="L57" s="2528" t="s">
        <v>1368</v>
      </c>
      <c r="M57" s="2529"/>
      <c r="N57" s="2530">
        <f ca="1">SUMIF(M52:M56,"&lt;9e307")</f>
        <v>127</v>
      </c>
      <c r="O57" s="2531"/>
      <c r="P57" s="2688">
        <f ca="1">N57/M49</f>
        <v>0.10095389507154214</v>
      </c>
    </row>
    <row r="58" spans="1:35" ht="24.75">
      <c r="A58" s="2333" t="s">
        <v>1352</v>
      </c>
      <c r="B58" s="3602" t="s">
        <v>1369</v>
      </c>
      <c r="C58" s="3601"/>
      <c r="D58" s="2322">
        <f ca="1">IF(H58="转让取得",C81,C97)</f>
        <v>713</v>
      </c>
      <c r="E58" s="2332" t="s">
        <v>1364</v>
      </c>
      <c r="F58" s="302" t="s">
        <v>28</v>
      </c>
      <c r="G58" s="2553"/>
      <c r="H58" s="2556" t="s">
        <v>3447</v>
      </c>
      <c r="I58" s="1806"/>
      <c r="J58" s="3578"/>
      <c r="K58" s="3578"/>
      <c r="L58" s="2528" t="s">
        <v>1370</v>
      </c>
      <c r="M58" s="2532"/>
      <c r="N58" s="2533" t="str">
        <f ca="1">NUMBERSTRING(INT(N57*10000),2)&amp;"元整"</f>
        <v>壹佰贰拾柒万元整</v>
      </c>
      <c r="O58" s="2534"/>
    </row>
    <row r="59" spans="1:35" ht="24.75" thickBot="1">
      <c r="A59" s="3582" t="s">
        <v>1371</v>
      </c>
      <c r="B59" s="3583"/>
      <c r="C59" s="3583"/>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2" t="s">
        <v>3448</v>
      </c>
      <c r="I59" s="2311" t="s">
        <v>2137</v>
      </c>
      <c r="J59" s="3580">
        <f>J57+1</f>
        <v>5</v>
      </c>
      <c r="K59" s="3578" t="s">
        <v>1372</v>
      </c>
      <c r="L59" s="2521" t="s">
        <v>1368</v>
      </c>
      <c r="M59" s="2535"/>
      <c r="N59" s="2536">
        <f ca="1">M49-N57</f>
        <v>1131</v>
      </c>
      <c r="O59" s="2537"/>
    </row>
    <row r="60" spans="1:35" ht="12" customHeight="1">
      <c r="A60" s="1807"/>
      <c r="B60" s="1745"/>
      <c r="C60" s="1745"/>
      <c r="D60" s="1745"/>
      <c r="E60" s="1576"/>
      <c r="F60" s="1806"/>
      <c r="G60" s="1806"/>
      <c r="H60" s="1808"/>
      <c r="I60" s="129"/>
      <c r="J60" s="3581"/>
      <c r="K60" s="3578"/>
      <c r="L60" s="2528" t="s">
        <v>1370</v>
      </c>
      <c r="M60" s="2532"/>
      <c r="N60" s="2533" t="str">
        <f ca="1">NUMBERSTRING(INT(N59*10000),2)&amp;"元整"</f>
        <v>壹仟壹佰叁拾壹万元整</v>
      </c>
      <c r="O60" s="2534"/>
    </row>
    <row r="61" spans="1:35" ht="13.5" thickBot="1">
      <c r="A61" s="3637" t="s">
        <v>1373</v>
      </c>
      <c r="B61" s="3637"/>
      <c r="C61" s="3637"/>
      <c r="D61" s="3637"/>
      <c r="E61" s="3637"/>
      <c r="F61" s="1806"/>
      <c r="G61" s="1806"/>
      <c r="H61" s="1808"/>
      <c r="I61" s="129"/>
      <c r="J61" s="2521">
        <f>J59+1</f>
        <v>6</v>
      </c>
      <c r="K61" s="3578" t="s">
        <v>1374</v>
      </c>
      <c r="L61" s="3578"/>
      <c r="M61" s="2538"/>
      <c r="N61" s="2539">
        <f ca="1">ROUND(N59*10000/'数据-汇总表'!E3,0)</f>
        <v>24926</v>
      </c>
      <c r="O61" s="2540"/>
    </row>
    <row r="62" spans="1:35" ht="12.75">
      <c r="A62" s="3597" t="s">
        <v>1375</v>
      </c>
      <c r="B62" s="3598"/>
      <c r="C62" s="2019"/>
      <c r="D62" s="2019" t="s">
        <v>1376</v>
      </c>
      <c r="E62" s="166" t="s">
        <v>1377</v>
      </c>
      <c r="F62" s="1806"/>
      <c r="G62" s="1806"/>
      <c r="H62" s="1808"/>
      <c r="I62" s="129"/>
    </row>
    <row r="63" spans="1:35" ht="12.75">
      <c r="A63" s="173" t="s">
        <v>330</v>
      </c>
      <c r="B63" s="167" t="s">
        <v>1378</v>
      </c>
      <c r="C63" s="2562">
        <f ca="1">ROUND((C64+C65)/(1+'数据-取费表'!C42),0)</f>
        <v>1198</v>
      </c>
      <c r="D63" s="167"/>
      <c r="E63" s="168"/>
      <c r="F63" s="1806"/>
      <c r="G63" s="1806"/>
      <c r="H63" s="1808"/>
      <c r="I63" s="129"/>
      <c r="J63" s="3561" t="s">
        <v>1379</v>
      </c>
      <c r="K63" s="1330" t="s">
        <v>1380</v>
      </c>
      <c r="L63" s="1330">
        <f ca="1">IF(M49&gt;10000,M49*0.5%,IF(AND(M49&gt;1000,M49&lt;=10000),M49*1%,IF(AND(M49&gt;100,M49&lt;=1000),M49*3%,IF(AND(M49&gt;10,M49&lt;=100),M49*5%,M49*8%))))</f>
        <v>12.58</v>
      </c>
      <c r="M63" s="302">
        <f ca="1">ROUND(L63,1)</f>
        <v>12.6</v>
      </c>
      <c r="N63" s="2541"/>
      <c r="Z63" s="1750"/>
      <c r="AI63" s="1751"/>
    </row>
    <row r="64" spans="1:35" ht="14.25" customHeight="1">
      <c r="A64" s="169" t="s">
        <v>325</v>
      </c>
      <c r="B64" s="170" t="s">
        <v>1381</v>
      </c>
      <c r="C64" s="2563">
        <f ca="1">D45</f>
        <v>1258</v>
      </c>
      <c r="D64" s="170" t="s">
        <v>26</v>
      </c>
      <c r="E64" s="172"/>
      <c r="F64" s="1806"/>
      <c r="G64" s="1806"/>
      <c r="H64" s="1808"/>
      <c r="I64" s="129"/>
      <c r="J64" s="3561"/>
      <c r="K64" s="1330" t="s">
        <v>1382</v>
      </c>
      <c r="L64" s="1330">
        <f ca="1">IF(M49&gt;2000,M49*0.5%,IF(AND(M49&gt;1000,M49&lt;=2000),M49*0.6%,IF(AND(M49&gt;500,M49&lt;=1000),M49*0.7%,IF(AND(M49&gt;200,M49&lt;=500),M49*0.8%,IF(AND(M49&gt;100,M49&lt;=200),M49*0.9%,IF(AND(M49&gt;50,M49&lt;=100),M49*1%,IF(AND(M49&gt;20,M49&lt;=50),M49*1.5%,IF(AND(M49&gt;10,M49&lt;=20),M49*2%,IF(AND(M49&gt;1,M49&lt;=10),M49*2.5%)))))))))</f>
        <v>7.548</v>
      </c>
      <c r="M64" s="302">
        <f t="shared" ref="M64:M65" ca="1" si="1">ROUND(L64,1)</f>
        <v>7.5</v>
      </c>
      <c r="N64" s="2542" t="s">
        <v>1383</v>
      </c>
      <c r="Z64" s="1750"/>
      <c r="AI64" s="1751"/>
    </row>
    <row r="65" spans="1:35" ht="14.25" customHeight="1">
      <c r="A65" s="169" t="s">
        <v>326</v>
      </c>
      <c r="B65" s="170" t="s">
        <v>1384</v>
      </c>
      <c r="C65" s="2564"/>
      <c r="D65" s="170"/>
      <c r="E65" s="172"/>
      <c r="F65" s="1806"/>
      <c r="G65" s="1806"/>
      <c r="H65" s="1808"/>
      <c r="I65" s="129"/>
      <c r="J65" s="3561"/>
      <c r="K65" s="1330" t="s">
        <v>1385</v>
      </c>
      <c r="L65" s="1330">
        <f ca="1">IF(M49&gt;1000,M49*0.1%,IF(AND(M49&gt;500,M49&lt;=1000),M49*0.5%,IF(AND(M49&gt;50,M49&lt;=500),M49*1%,IF(AND(M49&gt;1,M49&lt;=50),M49*1.5%))))</f>
        <v>1.258</v>
      </c>
      <c r="M65" s="302">
        <f t="shared" ca="1" si="1"/>
        <v>1.3</v>
      </c>
      <c r="N65" s="2542" t="s">
        <v>1383</v>
      </c>
      <c r="Z65" s="1750"/>
      <c r="AI65" s="1751"/>
    </row>
    <row r="66" spans="1:35" ht="14.25" customHeight="1">
      <c r="A66" s="173" t="s">
        <v>327</v>
      </c>
      <c r="B66" s="174" t="s">
        <v>1386</v>
      </c>
      <c r="C66" s="2565"/>
      <c r="D66" s="174" t="s">
        <v>26</v>
      </c>
      <c r="E66" s="1336" t="s">
        <v>671</v>
      </c>
      <c r="F66" s="1806"/>
      <c r="G66" s="1806"/>
      <c r="H66" s="1808"/>
      <c r="I66" s="129"/>
      <c r="J66" s="3561"/>
      <c r="K66" s="1330" t="s">
        <v>1387</v>
      </c>
      <c r="L66" s="1330">
        <f ca="1">M49*0.5%</f>
        <v>6.29</v>
      </c>
      <c r="M66" s="302">
        <f ca="1">IF(L66&gt;0.5,0.5,ROUND(L66,0))</f>
        <v>0.5</v>
      </c>
      <c r="N66" s="2542" t="s">
        <v>1388</v>
      </c>
      <c r="Z66" s="1750"/>
      <c r="AI66" s="1751"/>
    </row>
    <row r="67" spans="1:35" ht="14.25" customHeight="1">
      <c r="A67" s="173" t="s">
        <v>328</v>
      </c>
      <c r="B67" s="174" t="s">
        <v>1389</v>
      </c>
      <c r="C67" s="2566">
        <f ca="1">C63-C66</f>
        <v>1198</v>
      </c>
      <c r="D67" s="170" t="s">
        <v>26</v>
      </c>
      <c r="E67" s="172"/>
      <c r="F67" s="1806"/>
      <c r="G67" s="1806"/>
      <c r="H67" s="1808"/>
      <c r="I67" s="129"/>
      <c r="J67" s="3561"/>
      <c r="K67" s="1330" t="s">
        <v>1390</v>
      </c>
      <c r="L67" s="1330">
        <f ca="1">IF(M49&gt;=10000,(8.25+(M49-10000)*0.01%),IF(AND(M49&gt;=8000,M49&lt;10000),(7.85+(M49-8000)*0.02%),IF(AND(M49&gt;=5000,M49&lt;8000),(6.65+(M49-5000)*0.04%),IF(AND(M49&gt;=2000,M49&lt;5000),(4.25+(PM49-2000)*0.08%),IF(AND(M49&gt;=1000,M49&lt;2000),(2.75+(M49-1000)*0.15%),IF(AND(M49&gt;=100,M49&lt;1000),(0.5+(M49-100)*0.25%),IF(AND(M49&gt;0,M49&lt;100),M49*0.5%)))))))</f>
        <v>3.137</v>
      </c>
      <c r="M67" s="302">
        <f ca="1">ROUND(L67*0.9,1)</f>
        <v>2.8</v>
      </c>
      <c r="N67" s="2541"/>
      <c r="Z67" s="1750"/>
      <c r="AI67" s="1751"/>
    </row>
    <row r="68" spans="1:35" ht="14.25" customHeight="1" thickBot="1">
      <c r="A68" s="176" t="s">
        <v>329</v>
      </c>
      <c r="B68" s="177" t="s">
        <v>1391</v>
      </c>
      <c r="C68" s="2567">
        <f ca="1">IF(C67&lt;=0,0,ROUND(C67*D68,0))</f>
        <v>66</v>
      </c>
      <c r="D68" s="2568">
        <f>'数据-取费表'!B41</f>
        <v>5.5000000000000007E-2</v>
      </c>
      <c r="E68" s="178"/>
      <c r="F68" s="1806"/>
      <c r="G68" s="1806"/>
      <c r="H68" s="1808"/>
      <c r="I68" s="129"/>
      <c r="J68" s="3561"/>
      <c r="K68" s="1330" t="s">
        <v>1392</v>
      </c>
      <c r="L68" s="1330">
        <f ca="1">IF(M49&gt;10000,M49*0.5%,IF(AND(M49&gt;5000,M49&lt;=10000),M49*1%,IF(AND(M49&gt;1000,M49&lt;=5000),M49*2%,IF(AND(M49&gt;200,M49&lt;=1000),M49*3%,M49*5%))))</f>
        <v>25.16</v>
      </c>
      <c r="M68" s="302">
        <f ca="1">ROUND(L68,1)</f>
        <v>25.2</v>
      </c>
      <c r="N68" s="2541"/>
      <c r="Z68" s="1750"/>
      <c r="AI68" s="1751"/>
    </row>
    <row r="69" spans="1:35" s="1770" customFormat="1" ht="16.5" customHeight="1">
      <c r="A69" s="1809"/>
      <c r="B69" s="1810"/>
      <c r="C69" s="1811"/>
      <c r="D69" s="1812"/>
      <c r="E69" s="1813"/>
      <c r="F69" s="1576"/>
      <c r="G69" s="1576"/>
      <c r="H69" s="1575"/>
      <c r="I69" s="1745"/>
      <c r="J69" s="3561"/>
      <c r="K69" s="1330" t="s">
        <v>1393</v>
      </c>
      <c r="L69" s="1330"/>
      <c r="M69" s="302">
        <f ca="1">ROUND(SUM(M63:M68),0)</f>
        <v>50</v>
      </c>
      <c r="N69" s="2543">
        <f ca="1">M69/M49</f>
        <v>3.9745627980922099E-2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05" t="s">
        <v>1394</v>
      </c>
      <c r="B70" s="3606"/>
      <c r="C70" s="3606"/>
      <c r="D70" s="3606"/>
      <c r="E70" s="3606"/>
      <c r="F70" s="3606"/>
      <c r="G70" s="3606"/>
      <c r="H70" s="360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7" t="s">
        <v>1375</v>
      </c>
      <c r="B71" s="359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1198</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6</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02" t="s">
        <v>1402</v>
      </c>
      <c r="F76" s="3601"/>
      <c r="G76" s="3601"/>
      <c r="H76" s="360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6</v>
      </c>
      <c r="D78" s="2575">
        <f>'数据-取费表'!B43</f>
        <v>5.000000000000001E-3</v>
      </c>
      <c r="E78" s="3594" t="s">
        <v>1406</v>
      </c>
      <c r="F78" s="3595"/>
      <c r="G78" s="3595"/>
      <c r="H78" s="359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1192</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198.66666666666666</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713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5" t="s">
        <v>1410</v>
      </c>
      <c r="B83" s="3606"/>
      <c r="C83" s="3606"/>
      <c r="D83" s="3606"/>
      <c r="E83" s="3606"/>
      <c r="F83" s="3606"/>
      <c r="G83" s="3606"/>
      <c r="H83" s="360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7" t="s">
        <v>1375</v>
      </c>
      <c r="B84" s="359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1198</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6</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63" t="s">
        <v>2129</v>
      </c>
      <c r="H90" s="3564"/>
      <c r="I90" s="1819"/>
      <c r="J90" s="2519"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94" t="s">
        <v>1419</v>
      </c>
      <c r="F91" s="3595"/>
      <c r="G91" s="359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94" t="s">
        <v>1422</v>
      </c>
      <c r="F92" s="3595"/>
      <c r="G92" s="3595"/>
      <c r="H92" s="3596"/>
      <c r="I92" s="1819"/>
      <c r="J92" s="2520"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6</v>
      </c>
      <c r="D93" s="2575">
        <f>'数据-取费表'!B43</f>
        <v>5.000000000000001E-3</v>
      </c>
      <c r="E93" s="3594" t="s">
        <v>1406</v>
      </c>
      <c r="F93" s="3595"/>
      <c r="G93" s="3595"/>
      <c r="H93" s="359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9" t="s">
        <v>1426</v>
      </c>
      <c r="F94" s="3640"/>
      <c r="G94" s="3640"/>
      <c r="H94" s="364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1192</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198.66666666666666</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713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4" t="s">
        <v>1428</v>
      </c>
      <c r="B100" s="3545"/>
      <c r="C100" s="3545"/>
      <c r="D100" s="3579"/>
      <c r="E100" s="3545" t="s">
        <v>1429</v>
      </c>
      <c r="F100" s="3545"/>
      <c r="G100" s="3545"/>
      <c r="H100" s="3579"/>
      <c r="I100" s="129"/>
    </row>
    <row r="101" spans="1:35" ht="18.75" customHeight="1">
      <c r="A101" s="3587" t="s">
        <v>1430</v>
      </c>
      <c r="B101" s="3588"/>
      <c r="C101" s="2583" t="str">
        <f>C4</f>
        <v>比较法-商业</v>
      </c>
      <c r="D101" s="2584" t="str">
        <f>D4</f>
        <v>收益法 (元)</v>
      </c>
      <c r="E101" s="3557" t="s">
        <v>1431</v>
      </c>
      <c r="F101" s="3558"/>
      <c r="G101" s="1825" t="s">
        <v>1432</v>
      </c>
      <c r="H101" s="2593">
        <f ca="1">H118</f>
        <v>1258</v>
      </c>
      <c r="I101" s="129"/>
    </row>
    <row r="102" spans="1:35" ht="18.75" customHeight="1">
      <c r="A102" s="3589" t="s">
        <v>1433</v>
      </c>
      <c r="B102" s="2582" t="s">
        <v>1432</v>
      </c>
      <c r="C102" s="2583">
        <f ca="1">IF(D32="楼面单价",ROUND(C19,0),C19)</f>
        <v>1671</v>
      </c>
      <c r="D102" s="2584">
        <f ca="1">IF(D32="楼面单价",ROUND(D19,0),D19)</f>
        <v>637</v>
      </c>
      <c r="E102" s="3557"/>
      <c r="F102" s="3558"/>
      <c r="G102" s="1825" t="s">
        <v>1434</v>
      </c>
      <c r="H102" s="2553">
        <f ca="1">I118</f>
        <v>27717</v>
      </c>
      <c r="I102" s="129"/>
    </row>
    <row r="103" spans="1:35" ht="42.75" customHeight="1">
      <c r="A103" s="3589"/>
      <c r="B103" s="2582" t="s">
        <v>1434</v>
      </c>
      <c r="C103" s="2585">
        <f ca="1">C20</f>
        <v>36833</v>
      </c>
      <c r="D103" s="2586">
        <f ca="1">D20</f>
        <v>14043</v>
      </c>
      <c r="E103" s="3550" t="s">
        <v>1435</v>
      </c>
      <c r="F103" s="3551"/>
      <c r="G103" s="1826" t="s">
        <v>1436</v>
      </c>
      <c r="H103" s="2593">
        <f>IF(D36="正常操作",H104+H105+H106,H105+H106)</f>
        <v>0</v>
      </c>
      <c r="I103" s="129"/>
    </row>
    <row r="104" spans="1:35" ht="18.75" customHeight="1">
      <c r="A104" s="3589" t="s">
        <v>1437</v>
      </c>
      <c r="B104" s="2587" t="s">
        <v>1432</v>
      </c>
      <c r="C104" s="2588">
        <f ca="1">H118</f>
        <v>1258</v>
      </c>
      <c r="D104" s="2589"/>
      <c r="E104" s="1672" t="s">
        <v>1438</v>
      </c>
      <c r="F104" s="1664"/>
      <c r="G104" s="1826" t="s">
        <v>1436</v>
      </c>
      <c r="H104" s="2594">
        <f>IF(D36="同一抵押权人同一抵押物续贷",C36&amp;"（续贷，未扣减，详见特别提示）",C36)</f>
        <v>0</v>
      </c>
      <c r="I104" s="129"/>
    </row>
    <row r="105" spans="1:35" ht="18.75" customHeight="1" thickBot="1">
      <c r="A105" s="3599"/>
      <c r="B105" s="2590" t="s">
        <v>1434</v>
      </c>
      <c r="C105" s="2591">
        <f ca="1">I118</f>
        <v>27717</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0" t="str">
        <f>IF(项目基本情况!E8="已注销","——","3.房地产抵押价值")</f>
        <v>3.房地产抵押价值</v>
      </c>
      <c r="F107" s="3558"/>
      <c r="G107" s="1825" t="s">
        <v>1432</v>
      </c>
      <c r="H107" s="2593">
        <f ca="1">IF(E107="——","——",H101-H103)</f>
        <v>1258</v>
      </c>
      <c r="I107" s="129"/>
    </row>
    <row r="108" spans="1:35" ht="18.75" customHeight="1">
      <c r="A108" s="129"/>
      <c r="B108" s="129"/>
      <c r="C108" s="129"/>
      <c r="D108" s="129"/>
      <c r="E108" s="3590"/>
      <c r="F108" s="3558"/>
      <c r="G108" s="1825" t="s">
        <v>1434</v>
      </c>
      <c r="H108" s="2553">
        <f ca="1">IF(H107=H101,H102,ROUND(H107*10000/'数据-汇总表'!E3,0))</f>
        <v>27717</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58"/>
      <c r="G109" s="1825" t="s">
        <v>1432</v>
      </c>
      <c r="H109" s="2596" t="str">
        <f>IF(E109="——","——",H101-H105-H106)</f>
        <v>——</v>
      </c>
      <c r="I109" s="129"/>
    </row>
    <row r="110" spans="1:35" ht="18.75" customHeight="1">
      <c r="A110" s="129"/>
      <c r="B110" s="129"/>
      <c r="C110" s="129"/>
      <c r="D110" s="129"/>
      <c r="E110" s="3590"/>
      <c r="F110" s="3558"/>
      <c r="G110" s="1825" t="s">
        <v>1434</v>
      </c>
      <c r="H110" s="2553" t="str">
        <f>IF(H109="——","——",ROUND(H109*10000/'数据-汇总表'!E3,0))</f>
        <v>——</v>
      </c>
      <c r="I110" s="129"/>
    </row>
    <row r="111" spans="1:35" ht="18.75" customHeight="1">
      <c r="A111" s="129"/>
      <c r="B111" s="129"/>
      <c r="C111" s="129"/>
      <c r="D111" s="129"/>
      <c r="E111" s="3591" t="str">
        <f>IF(项目基本情况!E9="抵押净值",IF(OR(项目基本情况!E8="已注销",项目基本情况!E8="房地产抵押价值"),"4.抵押净值","5.抵押净值"),"——")</f>
        <v>4.抵押净值</v>
      </c>
      <c r="F111" s="3577"/>
      <c r="G111" s="1825" t="s">
        <v>1432</v>
      </c>
      <c r="H111" s="2593">
        <f ca="1">IF(E111="——","——",N59)</f>
        <v>1131</v>
      </c>
      <c r="I111" s="129"/>
    </row>
    <row r="112" spans="1:35" ht="18.75" customHeight="1" thickBot="1">
      <c r="A112" s="129"/>
      <c r="B112" s="129"/>
      <c r="C112" s="129"/>
      <c r="D112" s="129"/>
      <c r="E112" s="3592"/>
      <c r="F112" s="3593"/>
      <c r="G112" s="1828" t="s">
        <v>1434</v>
      </c>
      <c r="H112" s="2597">
        <f ca="1">IF(E111="——","——",N61)</f>
        <v>24926</v>
      </c>
      <c r="I112" s="129"/>
    </row>
    <row r="113" spans="1:27" ht="18.75" customHeight="1">
      <c r="A113" s="129"/>
      <c r="B113" s="129"/>
      <c r="C113" s="129"/>
      <c r="D113" s="129"/>
      <c r="E113" s="3600" t="s">
        <v>1440</v>
      </c>
      <c r="F113" s="3600"/>
      <c r="G113" s="3600"/>
      <c r="H113" s="3600"/>
      <c r="I113" s="129"/>
    </row>
    <row r="114" spans="1:27" ht="3.75" customHeight="1">
      <c r="A114" s="1745"/>
      <c r="B114" s="1745"/>
      <c r="C114" s="1745"/>
      <c r="D114" s="1745"/>
      <c r="E114" s="1807"/>
      <c r="F114" s="1807"/>
      <c r="G114" s="1807"/>
      <c r="H114" s="1807"/>
      <c r="I114" s="1745"/>
    </row>
    <row r="115" spans="1:27" ht="18.75" customHeight="1">
      <c r="A115" s="3608" t="s">
        <v>1442</v>
      </c>
      <c r="B115" s="3609"/>
      <c r="C115" s="3609"/>
      <c r="D115" s="3609"/>
      <c r="E115" s="3609"/>
      <c r="F115" s="3609"/>
      <c r="G115" s="3609"/>
      <c r="H115" s="3609"/>
      <c r="I115" s="3610"/>
    </row>
    <row r="116" spans="1:27" ht="27" customHeight="1">
      <c r="A116" s="3565" t="s">
        <v>1443</v>
      </c>
      <c r="B116" s="3569" t="s">
        <v>1444</v>
      </c>
      <c r="C116" s="3569" t="s">
        <v>1445</v>
      </c>
      <c r="D116" s="3575" t="s">
        <v>1446</v>
      </c>
      <c r="E116" s="3576"/>
      <c r="F116" s="3607" t="s">
        <v>1447</v>
      </c>
      <c r="G116" s="3607"/>
      <c r="H116" s="3565" t="s">
        <v>1448</v>
      </c>
      <c r="I116" s="3565"/>
    </row>
    <row r="117" spans="1:27" ht="18.75" customHeight="1">
      <c r="A117" s="3565"/>
      <c r="B117" s="3570"/>
      <c r="C117" s="3570"/>
      <c r="D117" s="2327" t="s">
        <v>1449</v>
      </c>
      <c r="E117" s="2327" t="s">
        <v>1450</v>
      </c>
      <c r="F117" s="2327" t="s">
        <v>1449</v>
      </c>
      <c r="G117" s="2327" t="s">
        <v>1451</v>
      </c>
      <c r="H117" s="2327" t="s">
        <v>1449</v>
      </c>
      <c r="I117" s="2327" t="s">
        <v>1451</v>
      </c>
    </row>
    <row r="118" spans="1:27" ht="24.75" customHeight="1">
      <c r="A118" s="2598" t="str">
        <f>项目基本情况!S2</f>
        <v>北京市顺义区金关北二路2号院2号楼1层115房地产</v>
      </c>
      <c r="B118" s="2327">
        <f>M18</f>
        <v>453.74</v>
      </c>
      <c r="C118" s="2327">
        <f>M19</f>
        <v>0</v>
      </c>
      <c r="D118" s="2327">
        <f ca="1">ROUND(IF(D32="总价",C34,E118*B118/10000),0)</f>
        <v>800</v>
      </c>
      <c r="E118" s="2327">
        <f ca="1">ROUND(IF(C33="自定义",IF(D32="楼面单价",C34,D118*10000/B118),I118-G118),0)</f>
        <v>17628</v>
      </c>
      <c r="F118" s="2327">
        <f ca="1">ROUND(IF(D32="总价",C35,G118*B118/10000),0)</f>
        <v>458</v>
      </c>
      <c r="G118" s="2327">
        <f ca="1">ROUND(IF(D32="楼面单价",C35,F118*10000/B118),0)</f>
        <v>10089</v>
      </c>
      <c r="H118" s="2327">
        <f ca="1">ROUND(IF(D32="总价",C32,I118*B118/10000),0)</f>
        <v>1258</v>
      </c>
      <c r="I118" s="2327">
        <f ca="1">ROUND(IF(D32="楼面单价",C32,H118*10000/B118),0)</f>
        <v>27717</v>
      </c>
    </row>
    <row r="119" spans="1:27" ht="18.75" customHeight="1">
      <c r="A119" s="3565" t="s">
        <v>1452</v>
      </c>
      <c r="B119" s="3565"/>
      <c r="C119" s="3565"/>
      <c r="D119" s="3571" t="str">
        <f ca="1">NUMBERSTRING(INT(D118*10000),2)&amp;"元整"</f>
        <v>捌佰万元整</v>
      </c>
      <c r="E119" s="3572"/>
      <c r="F119" s="3571" t="str">
        <f ca="1">NUMBERSTRING(INT(F118*10000),2)&amp;"元整"</f>
        <v>肆佰伍拾捌万元整</v>
      </c>
      <c r="G119" s="3572"/>
      <c r="H119" s="3571" t="str">
        <f ca="1">NUMBERSTRING(INT(H118*10000),2)&amp;"元整"</f>
        <v>壹仟贰佰伍拾捌万元整</v>
      </c>
      <c r="I119" s="3572"/>
    </row>
    <row r="120" spans="1:27" ht="18.75" customHeight="1">
      <c r="A120" s="3566" t="str">
        <f>IF(项目基本情况!B9="房地产市场价值","",MID(E103,3,LEN(E103)-2))</f>
        <v>估价师知悉的法定优先受偿款</v>
      </c>
      <c r="B120" s="3567"/>
      <c r="C120" s="3568"/>
      <c r="D120" s="3566">
        <f>H103</f>
        <v>0</v>
      </c>
      <c r="E120" s="3567"/>
      <c r="F120" s="3567"/>
      <c r="G120" s="3567"/>
      <c r="H120" s="3567"/>
      <c r="I120" s="356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71" t="s">
        <v>1452</v>
      </c>
      <c r="B121" s="3573"/>
      <c r="C121" s="3572"/>
      <c r="D121" s="3571" t="str">
        <f>IF(D120=0,"零元整",NUMBERSTRING(INT(D120*10000),2)&amp;"元整")</f>
        <v>零元整</v>
      </c>
      <c r="E121" s="3573"/>
      <c r="F121" s="3573"/>
      <c r="G121" s="3573"/>
      <c r="H121" s="3573"/>
      <c r="I121" s="3572"/>
      <c r="AA121" s="724"/>
    </row>
    <row r="122" spans="1:27" ht="18.75" customHeight="1">
      <c r="A122" s="3577" t="str">
        <f>IF(项目基本情况!B9="房地产市场价值","",MID(E107,3,LEN(E107)-2))</f>
        <v>房地产抵押价值</v>
      </c>
      <c r="B122" s="3577"/>
      <c r="C122" s="3577"/>
      <c r="D122" s="3566">
        <f ca="1">H107</f>
        <v>1258</v>
      </c>
      <c r="E122" s="3567"/>
      <c r="F122" s="3567"/>
      <c r="G122" s="3567"/>
      <c r="H122" s="3567"/>
      <c r="I122" s="3568"/>
      <c r="AA122" s="724"/>
    </row>
    <row r="123" spans="1:27" ht="18.75" customHeight="1">
      <c r="A123" s="3565" t="s">
        <v>1452</v>
      </c>
      <c r="B123" s="3565"/>
      <c r="C123" s="3565"/>
      <c r="D123" s="3571" t="str">
        <f ca="1">NUMBERSTRING(INT(D122*10000),2)&amp;"元整"</f>
        <v>壹仟贰佰伍拾捌万元整</v>
      </c>
      <c r="E123" s="3573"/>
      <c r="F123" s="3573"/>
      <c r="G123" s="3573"/>
      <c r="H123" s="3573"/>
      <c r="I123" s="3572"/>
      <c r="AA123" s="724"/>
    </row>
    <row r="124" spans="1:27" ht="18.75" customHeight="1">
      <c r="A124" s="3577" t="str">
        <f>IF(项目基本情况!B9="房地产市场价值","",MID(E109,3,LEN(E109)-2))</f>
        <v/>
      </c>
      <c r="B124" s="3577"/>
      <c r="C124" s="3577"/>
      <c r="D124" s="3566" t="str">
        <f>H109</f>
        <v>——</v>
      </c>
      <c r="E124" s="3567"/>
      <c r="F124" s="3567"/>
      <c r="G124" s="3567"/>
      <c r="H124" s="3567"/>
      <c r="I124" s="3568"/>
      <c r="AA124" s="724"/>
    </row>
    <row r="125" spans="1:27" ht="18.75" customHeight="1">
      <c r="A125" s="3565" t="s">
        <v>1452</v>
      </c>
      <c r="B125" s="3565"/>
      <c r="C125" s="3565"/>
      <c r="D125" s="3571" t="e">
        <f>NUMBERSTRING(INT(D124*10000),2)&amp;"元整"</f>
        <v>#VALUE!</v>
      </c>
      <c r="E125" s="3573"/>
      <c r="F125" s="3573"/>
      <c r="G125" s="3573"/>
      <c r="H125" s="3573"/>
      <c r="I125" s="3572"/>
      <c r="AA125" s="724"/>
    </row>
    <row r="126" spans="1:27" ht="18.75" customHeight="1">
      <c r="A126" s="3577" t="str">
        <f>IF(项目基本情况!B9="房地产市场价值","",MID(E111,3,LEN(E111)-2))</f>
        <v>抵押净值</v>
      </c>
      <c r="B126" s="3577"/>
      <c r="C126" s="3577"/>
      <c r="D126" s="3566">
        <f ca="1">H111</f>
        <v>1131</v>
      </c>
      <c r="E126" s="3567"/>
      <c r="F126" s="3567"/>
      <c r="G126" s="3567"/>
      <c r="H126" s="3567"/>
      <c r="I126" s="3568"/>
      <c r="AA126" s="724"/>
    </row>
    <row r="127" spans="1:27" ht="18.75" customHeight="1">
      <c r="A127" s="3565" t="s">
        <v>1452</v>
      </c>
      <c r="B127" s="3565"/>
      <c r="C127" s="3565"/>
      <c r="D127" s="3571" t="str">
        <f ca="1">NUMBERSTRING(INT(D126*10000),2)&amp;"元整"</f>
        <v>壹仟壹佰叁拾壹万元整</v>
      </c>
      <c r="E127" s="3573"/>
      <c r="F127" s="3573"/>
      <c r="G127" s="3573"/>
      <c r="H127" s="3573"/>
      <c r="I127" s="3572"/>
      <c r="AA127" s="724"/>
    </row>
    <row r="128" spans="1:27" ht="21.75" customHeight="1">
      <c r="A128" s="3574" t="s">
        <v>1453</v>
      </c>
      <c r="B128" s="3574"/>
      <c r="C128" s="3574"/>
      <c r="D128" s="3574"/>
      <c r="E128" s="3574"/>
      <c r="F128" s="3574"/>
      <c r="G128" s="3574"/>
      <c r="H128" s="3574"/>
      <c r="I128" s="3574"/>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244</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5378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4"/>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5"/>
      <c r="H9" s="1135"/>
      <c r="I9" s="1856" t="s">
        <v>1479</v>
      </c>
    </row>
    <row r="10" spans="1:9" s="214" customFormat="1" ht="13.5" customHeight="1">
      <c r="A10" s="778" t="s">
        <v>356</v>
      </c>
      <c r="B10" s="224" t="s">
        <v>1480</v>
      </c>
      <c r="C10" s="225">
        <f ca="1">ROUND(D10*E10/10000,0)</f>
        <v>9</v>
      </c>
      <c r="D10" s="844">
        <f ca="1">IF(B1="",'数据-汇总表'!E6,IF(INDIRECT("'数据-取费表'!c"&amp;$G$1)="住宅",INDIRECT("'数据-取费表'!s"&amp;$G$1),INDIRECT("'数据-取费表'!k"&amp;$G$1)+INDIRECT("'数据-取费表'!s"&amp;$G$1)))</f>
        <v>453.74</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9</v>
      </c>
      <c r="D19" s="848">
        <f ca="1">D9+D10</f>
        <v>453.74</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1</v>
      </c>
      <c r="D22" s="235">
        <f>C26</f>
        <v>6.9999999999999999E-4</v>
      </c>
      <c r="E22" s="236" t="s">
        <v>1498</v>
      </c>
      <c r="F22" s="237">
        <f>'数据-取费表'!B40</f>
        <v>3.3500000000000002E-2</v>
      </c>
      <c r="G22" s="234" t="str">
        <f>IF('数据-取费表'!B22&lt;=1,"单利计息","复利计息")</f>
        <v>复利计息</v>
      </c>
    </row>
    <row r="23" spans="1:7" s="214" customFormat="1" ht="13.5" customHeight="1">
      <c r="A23" s="779" t="s">
        <v>1502</v>
      </c>
      <c r="B23" s="215" t="s">
        <v>1503</v>
      </c>
      <c r="C23" s="1103">
        <f>ROUND(IF('数据-取费表'!B22&lt;=1,C5*F22*'数据-取费表'!B23,C5*(POWER((1+F22),'数据-取费表'!B23)-1)),0)</f>
        <v>0</v>
      </c>
      <c r="D23" s="238"/>
      <c r="E23" s="238"/>
      <c r="F23" s="239"/>
      <c r="G23" s="240" t="s">
        <v>1504</v>
      </c>
    </row>
    <row r="24" spans="1:7" s="214" customFormat="1" ht="13.5" customHeight="1">
      <c r="A24" s="779" t="s">
        <v>1505</v>
      </c>
      <c r="B24" s="215" t="s">
        <v>1506</v>
      </c>
      <c r="C24" s="1103">
        <f ca="1">ROUND(IF('数据-取费表'!B22&lt;=1,C19*F22*('数据-取费表'!B19/2+'数据-取费表'!B21),C19*(POWER((1+F22),('数据-取费表'!B19/2+'数据-取费表'!B21))-1)),0)</f>
        <v>1</v>
      </c>
      <c r="D24" s="238"/>
      <c r="E24" s="238"/>
      <c r="F24" s="239"/>
      <c r="G24" s="240" t="s">
        <v>1507</v>
      </c>
    </row>
    <row r="25" spans="1:7" s="214" customFormat="1" ht="24">
      <c r="A25" s="779" t="s">
        <v>1508</v>
      </c>
      <c r="B25" s="215" t="s">
        <v>1509</v>
      </c>
      <c r="C25" s="1103">
        <f ca="1">ROUND(IF('数据-取费表'!B22&lt;=1,C20*F22*'数据-取费表'!B23/2,C20*(POWER((1+F22),'数据-取费表'!B23/2)-1)),0)</f>
        <v>0</v>
      </c>
      <c r="D25" s="238"/>
      <c r="E25" s="241"/>
      <c r="F25" s="239"/>
      <c r="G25" s="242" t="s">
        <v>1510</v>
      </c>
    </row>
    <row r="26" spans="1:7" s="214" customFormat="1">
      <c r="A26" s="779" t="s">
        <v>350</v>
      </c>
      <c r="B26" s="215" t="s">
        <v>1511</v>
      </c>
      <c r="C26" s="238">
        <f>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199</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181</v>
      </c>
      <c r="D34" s="217"/>
      <c r="E34" s="220"/>
      <c r="F34" s="257">
        <f ca="1">IF('数据-取费表'!B24=0,1,IF(B1="",'数据-取费表'!N16,INDIRECT("'数据-取费表'!n"&amp;$G$1)))</f>
        <v>1</v>
      </c>
      <c r="G34" s="219" t="s">
        <v>1526</v>
      </c>
    </row>
    <row r="35" spans="1:7" ht="13.5" customHeight="1">
      <c r="A35" s="779" t="s">
        <v>351</v>
      </c>
      <c r="B35" s="215" t="s">
        <v>1527</v>
      </c>
      <c r="C35" s="220">
        <f ca="1">ROUND(C34*F35,0)</f>
        <v>5</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9</v>
      </c>
      <c r="D37" s="217">
        <f ca="1">D19</f>
        <v>453.74</v>
      </c>
      <c r="E37" s="249">
        <f>'数据-取费表'!B35</f>
        <v>200</v>
      </c>
      <c r="F37" s="259"/>
      <c r="G37" s="261" t="s">
        <v>1532</v>
      </c>
    </row>
    <row r="38" spans="1:7" ht="13.5" customHeight="1">
      <c r="A38" s="779" t="s">
        <v>354</v>
      </c>
      <c r="B38" s="215" t="s">
        <v>1533</v>
      </c>
      <c r="C38" s="220">
        <f ca="1">ROUND(C34*F38,0)</f>
        <v>4</v>
      </c>
      <c r="D38" s="220"/>
      <c r="E38" s="220"/>
      <c r="F38" s="259">
        <f>'数据-取费表'!B36</f>
        <v>0.02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v>
      </c>
      <c r="D41" s="235">
        <f>C44</f>
        <v>6.9999999999999999E-4</v>
      </c>
      <c r="E41" s="236" t="s">
        <v>1539</v>
      </c>
      <c r="F41" s="237">
        <f>F22</f>
        <v>3.3500000000000002E-2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7</v>
      </c>
      <c r="D42" s="238"/>
      <c r="E42" s="238"/>
      <c r="F42" s="239"/>
      <c r="G42" s="3644" t="s">
        <v>1544</v>
      </c>
    </row>
    <row r="43" spans="1:7" ht="13.5" customHeight="1">
      <c r="A43" s="779" t="s">
        <v>347</v>
      </c>
      <c r="B43" s="215" t="s">
        <v>1545</v>
      </c>
      <c r="C43" s="238">
        <f ca="1">ROUND(IF('数据-取费表'!B22&lt;=1,C39*F22*'数据-取费表'!B21/2,C39*(POWER((1+F22),'数据-取费表'!B21/2)-1)),0)</f>
        <v>0</v>
      </c>
      <c r="D43" s="238"/>
      <c r="E43" s="238"/>
      <c r="F43" s="239"/>
      <c r="G43" s="3645"/>
    </row>
    <row r="44" spans="1:7" ht="13.5" customHeight="1">
      <c r="A44" s="779" t="s">
        <v>348</v>
      </c>
      <c r="B44" s="215" t="s">
        <v>1546</v>
      </c>
      <c r="C44" s="238">
        <f>ROUND(IF('数据-取费表'!B22&lt;=1,C40*F22*'数据-取费表'!B21/2,C40*(POWER((1+F22),'数据-取费表'!B21/2)-1)),4)</f>
        <v>6.9999999999999999E-4</v>
      </c>
      <c r="D44" s="238"/>
      <c r="E44" s="238"/>
      <c r="F44" s="239"/>
      <c r="G44" s="3646"/>
    </row>
    <row r="45" spans="1:7" s="214" customFormat="1" ht="13.5" customHeight="1">
      <c r="A45" s="255" t="s">
        <v>1547</v>
      </c>
      <c r="B45" s="244" t="s">
        <v>1513</v>
      </c>
      <c r="C45" s="245">
        <f ca="1">C46</f>
        <v>41</v>
      </c>
      <c r="D45" s="235">
        <f ca="1">C47</f>
        <v>4.0000000000000001E-3</v>
      </c>
      <c r="E45" s="236" t="s">
        <v>1539</v>
      </c>
      <c r="F45" s="246">
        <f ca="1">F27</f>
        <v>0.2</v>
      </c>
      <c r="G45" s="247" t="s">
        <v>1548</v>
      </c>
    </row>
    <row r="46" spans="1:7" s="214" customFormat="1" ht="13.5" customHeight="1">
      <c r="A46" s="779" t="s">
        <v>346</v>
      </c>
      <c r="B46" s="248" t="s">
        <v>1549</v>
      </c>
      <c r="C46" s="249">
        <f ca="1">ROUND((C33+C39)*F27,0)</f>
        <v>41</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272</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231</v>
      </c>
      <c r="D51" s="232"/>
      <c r="E51" s="232"/>
      <c r="F51" s="264"/>
      <c r="G51" s="234" t="s">
        <v>1560</v>
      </c>
    </row>
    <row r="52" spans="1:7" s="208" customFormat="1" ht="16.5" thickBot="1">
      <c r="A52" s="265" t="s">
        <v>1561</v>
      </c>
      <c r="B52" s="266"/>
      <c r="C52" s="267">
        <f ca="1">C31+C51</f>
        <v>244</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1" t="str">
        <f>项目基本情况!B1</f>
        <v>北京市顺义区金关北二路2号院2号楼1层115房地产抵押价值预评估</v>
      </c>
      <c r="C37" s="3461"/>
      <c r="D37" s="3461"/>
      <c r="E37" s="3461"/>
      <c r="F37" s="3461"/>
      <c r="G37" s="3461"/>
      <c r="H37" s="3461"/>
      <c r="I37" s="3461"/>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吴薇（注册号：1419970001)、（注册号：0)</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60" t="str">
        <f>IF(ISERROR(FIND("住宅",B1)),"非住宅","住宅")</f>
        <v>非住宅</v>
      </c>
    </row>
    <row r="2" spans="1:8" s="200" customFormat="1" ht="18" customHeight="1">
      <c r="A2" s="201" t="s">
        <v>1462</v>
      </c>
      <c r="B2" s="3422">
        <f ca="1">ROUND(IF(D2="——",C52/10000,C52/10000-E2),4)</f>
        <v>256.7706</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5659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90748</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90748</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90748</v>
      </c>
      <c r="D10" s="844">
        <f ca="1">IF(B1="",'数据-汇总表'!E6,IF(INDIRECT("'数据-取费表'!c"&amp;$G$1)="住宅",INDIRECT("'数据-取费表'!s"&amp;$G$1),INDIRECT("'数据-取费表'!k"&amp;$G$1)+INDIRECT("'数据-取费表'!s"&amp;$G$1)))</f>
        <v>453.74</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90748</v>
      </c>
      <c r="D19" s="848">
        <f ca="1">D9+D10</f>
        <v>453.74</v>
      </c>
      <c r="E19" s="211">
        <f>'数据-取费表'!B31</f>
        <v>200</v>
      </c>
      <c r="F19" s="231"/>
      <c r="G19" s="1854"/>
    </row>
    <row r="20" spans="1:7" s="214" customFormat="1" ht="13.5" customHeight="1">
      <c r="A20" s="255" t="s">
        <v>1574</v>
      </c>
      <c r="B20" s="210" t="s">
        <v>1575</v>
      </c>
      <c r="C20" s="232">
        <f ca="1">ROUND((C5+C19)*F20,0)</f>
        <v>3630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12486</v>
      </c>
      <c r="D22" s="235">
        <f>C26</f>
        <v>6.9999999999999999E-4</v>
      </c>
      <c r="E22" s="236" t="s">
        <v>1579</v>
      </c>
      <c r="F22" s="237">
        <f>'数据-取费表'!B40</f>
        <v>3.3500000000000002E-2</v>
      </c>
      <c r="G22" s="234" t="str">
        <f>IF('数据-取费表'!B22&lt;=1,"单利计息","复利计息")</f>
        <v>复利计息</v>
      </c>
    </row>
    <row r="23" spans="1:7" s="214" customFormat="1" ht="13.5" customHeight="1">
      <c r="A23" s="779" t="s">
        <v>1472</v>
      </c>
      <c r="B23" s="215" t="s">
        <v>1583</v>
      </c>
      <c r="C23" s="1126">
        <f ca="1">ROUND(IF('数据-取费表'!B22&lt;=1,C5*F22*'数据-取费表'!B22,C5*(POWER((1+F22),'数据-取费表'!B22)-1)),0)</f>
        <v>6182</v>
      </c>
      <c r="D23" s="238"/>
      <c r="E23" s="238"/>
      <c r="F23" s="239"/>
      <c r="G23" s="240" t="s">
        <v>1584</v>
      </c>
    </row>
    <row r="24" spans="1:7" s="214" customFormat="1" ht="13.5" customHeight="1">
      <c r="A24" s="779" t="s">
        <v>1474</v>
      </c>
      <c r="B24" s="215" t="s">
        <v>1585</v>
      </c>
      <c r="C24" s="1126">
        <f ca="1">ROUND(IF('数据-取费表'!B22&lt;=1,C19*F22*('数据-取费表'!B19/2+'数据-取费表'!B20),C19*(POWER((1+F22),('数据-取费表'!B19/2+'数据-取费表'!B20))-1)),0)</f>
        <v>6182</v>
      </c>
      <c r="D24" s="238"/>
      <c r="E24" s="238"/>
      <c r="F24" s="239"/>
      <c r="G24" s="240" t="s">
        <v>1586</v>
      </c>
    </row>
    <row r="25" spans="1:7" s="214" customFormat="1" ht="24">
      <c r="A25" s="779" t="s">
        <v>1476</v>
      </c>
      <c r="B25" s="215" t="s">
        <v>1587</v>
      </c>
      <c r="C25" s="1126">
        <f ca="1">ROUND(IF('数据-取费表'!B22&lt;=1,C20*F22*'数据-取费表'!B22/2,C20*(POWER((1+F22),'数据-取费表'!B22/2)-1)),0)</f>
        <v>122</v>
      </c>
      <c r="D25" s="238"/>
      <c r="E25" s="241"/>
      <c r="F25" s="239"/>
      <c r="G25" s="242" t="s">
        <v>1588</v>
      </c>
    </row>
    <row r="26" spans="1:7" s="214" customFormat="1">
      <c r="A26" s="779" t="s">
        <v>350</v>
      </c>
      <c r="B26" s="215" t="s">
        <v>1511</v>
      </c>
      <c r="C26" s="238">
        <f>ROUND(IF('数据-取费表'!B22&lt;=1,F21*F22*'数据-取费表'!B22/2,F21*(POWER((1+F22),'数据-取费表'!B22/2)-1)),4)</f>
        <v>6.9999999999999999E-4</v>
      </c>
      <c r="D26" s="238"/>
      <c r="E26" s="241"/>
      <c r="F26" s="239"/>
      <c r="G26" s="243"/>
    </row>
    <row r="27" spans="1:7" s="214" customFormat="1" ht="24.75">
      <c r="A27" s="255" t="s">
        <v>1512</v>
      </c>
      <c r="B27" s="244" t="s">
        <v>1513</v>
      </c>
      <c r="C27" s="245">
        <f ca="1">C28</f>
        <v>37025</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37025</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254239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1996456</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1814960</v>
      </c>
      <c r="D34" s="217"/>
      <c r="E34" s="220"/>
      <c r="F34" s="257"/>
      <c r="G34" s="219"/>
    </row>
    <row r="35" spans="1:7" ht="13.5" customHeight="1">
      <c r="A35" s="779" t="s">
        <v>351</v>
      </c>
      <c r="B35" s="215" t="s">
        <v>1527</v>
      </c>
      <c r="C35" s="220">
        <f ca="1">ROUND(C34*F35,0)</f>
        <v>54449</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90748</v>
      </c>
      <c r="D37" s="217">
        <f ca="1">D19</f>
        <v>453.74</v>
      </c>
      <c r="E37" s="249">
        <f>'数据-取费表'!B35</f>
        <v>200</v>
      </c>
      <c r="F37" s="259"/>
      <c r="G37" s="261"/>
    </row>
    <row r="38" spans="1:7" ht="13.5" customHeight="1">
      <c r="A38" s="779" t="s">
        <v>354</v>
      </c>
      <c r="B38" s="215" t="s">
        <v>1533</v>
      </c>
      <c r="C38" s="220">
        <f ca="1">ROUND(C34*F38,0)</f>
        <v>36299</v>
      </c>
      <c r="D38" s="220"/>
      <c r="E38" s="220"/>
      <c r="F38" s="259">
        <f>'数据-取费表'!B36</f>
        <v>0.02</v>
      </c>
      <c r="G38" s="219" t="s">
        <v>1528</v>
      </c>
    </row>
    <row r="39" spans="1:7" s="214" customFormat="1" ht="13.5" customHeight="1">
      <c r="A39" s="255" t="s">
        <v>1534</v>
      </c>
      <c r="B39" s="210" t="s">
        <v>1535</v>
      </c>
      <c r="C39" s="232">
        <f ca="1">ROUND(C33*F20,0)</f>
        <v>39929</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68219</v>
      </c>
      <c r="D41" s="235">
        <f>C44</f>
        <v>6.9999999999999999E-4</v>
      </c>
      <c r="E41" s="236" t="s">
        <v>1539</v>
      </c>
      <c r="F41" s="237">
        <f>F22</f>
        <v>3.3500000000000002E-2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66881</v>
      </c>
      <c r="D42" s="238"/>
      <c r="E42" s="238"/>
      <c r="F42" s="239"/>
      <c r="G42" s="3644" t="s">
        <v>1591</v>
      </c>
    </row>
    <row r="43" spans="1:7" ht="13.5" customHeight="1">
      <c r="A43" s="779" t="s">
        <v>347</v>
      </c>
      <c r="B43" s="215" t="s">
        <v>1545</v>
      </c>
      <c r="C43" s="238">
        <f ca="1">ROUND(IF('数据-取费表'!B22&lt;=1,C39*F22*'数据-取费表'!B20/2,C39*(POWER((1+F22),'数据-取费表'!B20/2)-1)),0)</f>
        <v>1338</v>
      </c>
      <c r="D43" s="238"/>
      <c r="E43" s="238"/>
      <c r="F43" s="239"/>
      <c r="G43" s="3645"/>
    </row>
    <row r="44" spans="1:7" ht="13.5" customHeight="1">
      <c r="A44" s="779" t="s">
        <v>348</v>
      </c>
      <c r="B44" s="215" t="s">
        <v>1546</v>
      </c>
      <c r="C44" s="238">
        <f>ROUND(IF('数据-取费表'!B22&lt;=1,C40*F22*'数据-取费表'!B20/2,C40*(POWER((1+F22),'数据-取费表'!B20/2)-1)),4)</f>
        <v>6.9999999999999999E-4</v>
      </c>
      <c r="D44" s="238"/>
      <c r="E44" s="238"/>
      <c r="F44" s="239"/>
      <c r="G44" s="3646"/>
    </row>
    <row r="45" spans="1:7" s="214" customFormat="1" ht="13.5" customHeight="1">
      <c r="A45" s="255" t="s">
        <v>1547</v>
      </c>
      <c r="B45" s="244" t="s">
        <v>1513</v>
      </c>
      <c r="C45" s="245">
        <f ca="1">C46</f>
        <v>407277</v>
      </c>
      <c r="D45" s="235">
        <f ca="1">C47</f>
        <v>4.0000000000000001E-3</v>
      </c>
      <c r="E45" s="236" t="s">
        <v>1539</v>
      </c>
      <c r="F45" s="246">
        <f ca="1">F27</f>
        <v>0.2</v>
      </c>
      <c r="G45" s="247" t="s">
        <v>1548</v>
      </c>
    </row>
    <row r="46" spans="1:7" s="214" customFormat="1" ht="13.5" customHeight="1">
      <c r="A46" s="779" t="s">
        <v>346</v>
      </c>
      <c r="B46" s="248" t="s">
        <v>1549</v>
      </c>
      <c r="C46" s="249">
        <f ca="1">ROUND((C33+C39)*F27,0)</f>
        <v>407277</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2721726</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2313467</v>
      </c>
      <c r="D51" s="232"/>
      <c r="E51" s="232"/>
      <c r="F51" s="264"/>
      <c r="G51" s="234" t="s">
        <v>1560</v>
      </c>
    </row>
    <row r="52" spans="1:7" s="208" customFormat="1" ht="16.5" thickBot="1">
      <c r="A52" s="265" t="s">
        <v>1561</v>
      </c>
      <c r="B52" s="266"/>
      <c r="C52" s="267">
        <f ca="1">C31+C51</f>
        <v>2567706</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-11</v>
      </c>
      <c r="C2" s="276" t="s">
        <v>1595</v>
      </c>
      <c r="D2" s="276"/>
      <c r="E2" s="2804"/>
      <c r="F2" s="2804"/>
      <c r="G2" s="2804"/>
      <c r="H2" s="2804"/>
      <c r="I2" s="2804"/>
      <c r="J2" s="2804"/>
      <c r="K2" s="2804"/>
    </row>
    <row r="3" spans="1:33" ht="18" customHeight="1" thickBot="1">
      <c r="A3" s="203" t="s">
        <v>1464</v>
      </c>
      <c r="B3" s="204">
        <f ca="1">ROUND(B2*10000/IF(C1="",'数据-汇总表'!E3,INDIRECT("'数据-取费表'!K"&amp;$K$1)),0)</f>
        <v>-242</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453.74</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453.74</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9</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7"/>
      <c r="I19" s="808"/>
      <c r="J19" s="808"/>
      <c r="K19" s="809"/>
    </row>
    <row r="20" spans="1:33" s="802" customFormat="1" ht="13.5" customHeight="1">
      <c r="A20" s="799" t="s">
        <v>361</v>
      </c>
      <c r="B20" s="800" t="s">
        <v>1627</v>
      </c>
      <c r="C20" s="21">
        <f ca="1">ROUND(D20*E20/10000,0)</f>
        <v>9</v>
      </c>
      <c r="D20" s="845">
        <f ca="1">IF(C1="",'数据-汇总表'!E6,IF(INDIRECT("'数据-取费表'!c"&amp;$K$1)="住宅",INDIRECT("'数据-取费表'!s"&amp;$K$1),INDIRECT("'数据-取费表'!k"&amp;$K$1)+INDIRECT("'数据-取费表'!s"&amp;$K$1)))</f>
        <v>453.74</v>
      </c>
      <c r="E20" s="21">
        <f>'数据-取费表'!B28</f>
        <v>200</v>
      </c>
      <c r="F20" s="803"/>
      <c r="G20" s="12"/>
      <c r="H20" s="808"/>
      <c r="I20" s="808"/>
      <c r="J20" s="808"/>
      <c r="K20" s="809"/>
    </row>
    <row r="21" spans="1:33" s="802" customFormat="1" ht="13.5" customHeight="1">
      <c r="A21" s="789" t="s">
        <v>357</v>
      </c>
      <c r="B21" s="812" t="s">
        <v>1628</v>
      </c>
      <c r="C21" s="813">
        <f ca="1">C16+C17+C18</f>
        <v>9</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4">
        <f ca="1">C27</f>
        <v>0</v>
      </c>
      <c r="D25" s="280">
        <f>C26</f>
        <v>0</v>
      </c>
      <c r="E25" s="282" t="s">
        <v>12</v>
      </c>
      <c r="F25" s="283">
        <f>'数据-取费表'!B40</f>
        <v>3.3500000000000002E-2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5">
        <f>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2</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2</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-11</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649" t="s">
        <v>694</v>
      </c>
      <c r="C6" s="1073">
        <f ca="1">ROUND(F6*F8*F7*(1-F9)/10000,0)</f>
        <v>0</v>
      </c>
      <c r="D6" s="155" t="s">
        <v>2109</v>
      </c>
      <c r="E6" s="302" t="s">
        <v>696</v>
      </c>
      <c r="F6" s="303">
        <f ca="1">INDIRECT("'数据-取费表'!u"&amp;$G$1)</f>
        <v>0</v>
      </c>
      <c r="G6" s="1382"/>
      <c r="H6" s="1068" t="s">
        <v>398</v>
      </c>
      <c r="I6" s="3649" t="s">
        <v>694</v>
      </c>
      <c r="J6" s="301">
        <f ca="1">ROUND(M6*M8*M7*(1-M9)/10000,0)</f>
        <v>0</v>
      </c>
      <c r="K6" s="155" t="s">
        <v>2108</v>
      </c>
      <c r="L6" s="302" t="s">
        <v>696</v>
      </c>
      <c r="M6" s="303">
        <f ca="1">INDIRECT("'数据-取费表'!z"&amp;$G$1)</f>
        <v>0</v>
      </c>
    </row>
    <row r="7" spans="1:37" ht="18" customHeight="1">
      <c r="A7" s="1072"/>
      <c r="B7" s="3650"/>
      <c r="C7" s="1074"/>
      <c r="D7" s="307"/>
      <c r="E7" s="1075" t="s">
        <v>697</v>
      </c>
      <c r="F7" s="303">
        <f ca="1">IF(INDIRECT("'数据-取费表'!ah"&amp;$G$1)="",INDIRECT("'数据-取费表'!k"&amp;$G$1),INDIRECT("'数据-取费表'!ah"&amp;$G$1))</f>
        <v>0</v>
      </c>
      <c r="G7" s="1382"/>
      <c r="H7" s="304"/>
      <c r="I7" s="3650"/>
      <c r="J7" s="306"/>
      <c r="K7" s="307"/>
      <c r="L7" s="302" t="s">
        <v>697</v>
      </c>
      <c r="M7" s="303">
        <f ca="1">F7</f>
        <v>0</v>
      </c>
    </row>
    <row r="8" spans="1:37" ht="18" customHeight="1">
      <c r="A8" s="304"/>
      <c r="B8" s="3650"/>
      <c r="C8" s="306"/>
      <c r="D8" s="307"/>
      <c r="E8" s="302" t="s">
        <v>698</v>
      </c>
      <c r="F8" s="303">
        <f ca="1">INDIRECT("'数据-取费表'!ai"&amp;$G$1)</f>
        <v>0</v>
      </c>
      <c r="G8" s="1382"/>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2"/>
      <c r="H9" s="304"/>
      <c r="I9" s="3651"/>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2117</v>
      </c>
      <c r="E10" s="313" t="s">
        <v>701</v>
      </c>
      <c r="F10" s="1114"/>
      <c r="G10" s="1382"/>
      <c r="H10" s="1068" t="s">
        <v>402</v>
      </c>
      <c r="I10" s="1363" t="s">
        <v>700</v>
      </c>
      <c r="J10" s="301">
        <f ca="1">ROUND(IF(M10="押一",J6/12*M11,IF(M10="押二",J6/12*2*M11,IF(M10="押三",J6/12*3*M11,J11*M11))),0)</f>
        <v>0</v>
      </c>
      <c r="K10" s="1364" t="s">
        <v>2116</v>
      </c>
      <c r="L10" s="313" t="s">
        <v>701</v>
      </c>
      <c r="M10" s="1114"/>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7">
        <f ca="1">ROUND(J14*J15,0)</f>
        <v>0</v>
      </c>
      <c r="K13" s="1085" t="s">
        <v>705</v>
      </c>
      <c r="L13" s="1390"/>
      <c r="M13" s="1391"/>
    </row>
    <row r="14" spans="1:37" ht="18" customHeight="1">
      <c r="A14" s="981" t="s">
        <v>397</v>
      </c>
      <c r="B14" s="302" t="s">
        <v>707</v>
      </c>
      <c r="C14" s="318">
        <f ca="1">INDIRECT("'数据-取费表'!m"&amp;$G$1)+INDIRECT("'数据-取费表'!t"&amp;$G$1)</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1"/>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0.02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3.3500000000000002E-2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7" t="s">
        <v>394</v>
      </c>
      <c r="I25" s="1092" t="s">
        <v>752</v>
      </c>
      <c r="J25" s="310">
        <f ca="1">J5-J16</f>
        <v>0</v>
      </c>
      <c r="K25" s="1093" t="s">
        <v>753</v>
      </c>
      <c r="L25" s="1094"/>
      <c r="M25" s="1095"/>
    </row>
    <row r="26" spans="1:37">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2307</v>
      </c>
      <c r="I31" s="1396"/>
      <c r="J31" s="1397"/>
      <c r="K31" s="2473"/>
      <c r="L31" s="2696"/>
      <c r="M31" s="2697"/>
    </row>
    <row r="32" spans="1:37" ht="18" customHeight="1">
      <c r="A32" s="981"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3337</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1115"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2">
        <f ca="1">ROUND(F49*F51*F50*(1-F52)/10000,0)</f>
        <v>0</v>
      </c>
      <c r="D49" s="1054" t="s">
        <v>2110</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1116"/>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2116</v>
      </c>
      <c r="E53" s="313" t="s">
        <v>701</v>
      </c>
      <c r="F53" s="1114"/>
      <c r="I53" s="1437" t="s">
        <v>836</v>
      </c>
      <c r="J53" s="2166">
        <f ca="1">IF(M47="住宅",IF(D1="——",MAX(J51,L48),MAX(J51,L48-'数据-取费表'!B24)),IF(D1="——",MIN(J51,L48),MIN(J51,L48-'数据-取费表'!B24)))</f>
        <v>0</v>
      </c>
      <c r="K53" s="3647" t="s">
        <v>837</v>
      </c>
      <c r="L53" s="3648"/>
      <c r="O53" s="1416" t="s">
        <v>409</v>
      </c>
      <c r="P53" s="1417" t="s">
        <v>838</v>
      </c>
      <c r="Q53" s="1418" t="e">
        <f ca="1">Q47+Q48</f>
        <v>#DIV/0!</v>
      </c>
      <c r="R53" s="1418" t="s">
        <v>410</v>
      </c>
    </row>
    <row r="54" spans="1:18" s="1382" customFormat="1" ht="13.5" thickBot="1">
      <c r="A54" s="1151"/>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P34" zoomScaleNormal="70" zoomScaleSheetLayoutView="100" workbookViewId="0">
      <selection activeCell="R49" sqref="R49:W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v>115</v>
      </c>
      <c r="E1" s="3424" t="s">
        <v>3402</v>
      </c>
      <c r="F1" s="1877" t="s">
        <v>3403</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1671.2605000000001</v>
      </c>
      <c r="C2" s="1879" t="s">
        <v>43</v>
      </c>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1464</v>
      </c>
      <c r="B3" s="558">
        <f>IF(C2="——",C49,ROUND(B2*10000/D3,0))</f>
        <v>36833</v>
      </c>
      <c r="C3" s="354" t="s">
        <v>1768</v>
      </c>
      <c r="D3" s="353">
        <f>IF(D1="",'数据-汇总表'!E3,SUMIF('数据-汇总表'!$C19:$C33,D1,'数据-汇总表'!$E19:$E33))</f>
        <v>453.74</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1769</v>
      </c>
      <c r="B4" s="356"/>
      <c r="C4" s="3672" t="s">
        <v>1770</v>
      </c>
      <c r="D4" s="3673"/>
      <c r="E4" s="3674" t="s">
        <v>1771</v>
      </c>
      <c r="F4" s="3675"/>
      <c r="G4" s="3672" t="s">
        <v>1772</v>
      </c>
      <c r="H4" s="3673"/>
      <c r="I4" s="3672" t="s">
        <v>1773</v>
      </c>
      <c r="J4" s="3673"/>
      <c r="K4" s="559" t="s">
        <v>1774</v>
      </c>
      <c r="L4" s="2713"/>
      <c r="M4" s="2714"/>
      <c r="N4" s="2714"/>
      <c r="O4" s="2714"/>
      <c r="P4" s="3676" t="s">
        <v>1775</v>
      </c>
      <c r="Q4" s="3677"/>
      <c r="R4" s="3658" t="s">
        <v>1771</v>
      </c>
      <c r="S4" s="3659"/>
      <c r="T4" s="3658" t="s">
        <v>1772</v>
      </c>
      <c r="U4" s="3659"/>
      <c r="V4" s="3655" t="s">
        <v>1773</v>
      </c>
      <c r="W4" s="3655"/>
      <c r="X4" s="1353"/>
      <c r="Y4" s="3658" t="s">
        <v>1775</v>
      </c>
      <c r="Z4" s="3659"/>
      <c r="AA4" s="3652" t="s">
        <v>1771</v>
      </c>
      <c r="AB4" s="3655" t="s">
        <v>1772</v>
      </c>
      <c r="AC4" s="3652" t="s">
        <v>1773</v>
      </c>
    </row>
    <row r="5" spans="1:29" ht="15">
      <c r="A5" s="358"/>
      <c r="B5" s="359"/>
      <c r="C5" s="3664" t="s">
        <v>1673</v>
      </c>
      <c r="D5" s="3665"/>
      <c r="E5" s="3662" t="s">
        <v>3451</v>
      </c>
      <c r="F5" s="3663"/>
      <c r="G5" s="3668" t="s">
        <v>3443</v>
      </c>
      <c r="H5" s="3665"/>
      <c r="I5" s="3668" t="s">
        <v>3452</v>
      </c>
      <c r="J5" s="3665"/>
      <c r="K5" s="559"/>
      <c r="L5" s="2713"/>
      <c r="M5" s="2714"/>
      <c r="N5" s="2714"/>
      <c r="O5" s="2714"/>
      <c r="P5" s="3678"/>
      <c r="Q5" s="3679"/>
      <c r="R5" s="3660"/>
      <c r="S5" s="3661"/>
      <c r="T5" s="3660"/>
      <c r="U5" s="3661"/>
      <c r="V5" s="3655"/>
      <c r="W5" s="3655"/>
      <c r="X5" s="1353"/>
      <c r="Y5" s="3660"/>
      <c r="Z5" s="3661"/>
      <c r="AA5" s="3653"/>
      <c r="AB5" s="3655"/>
      <c r="AC5" s="3653"/>
    </row>
    <row r="6" spans="1:29" ht="15.75" thickBot="1">
      <c r="A6" s="360"/>
      <c r="B6" s="361"/>
      <c r="C6" s="3666" t="s">
        <v>1677</v>
      </c>
      <c r="D6" s="3667"/>
      <c r="E6" s="3669" t="s">
        <v>1677</v>
      </c>
      <c r="F6" s="3670"/>
      <c r="G6" s="3666" t="s">
        <v>1677</v>
      </c>
      <c r="H6" s="3667"/>
      <c r="I6" s="3666" t="s">
        <v>1677</v>
      </c>
      <c r="J6" s="3667"/>
      <c r="K6" s="559" t="s">
        <v>1678</v>
      </c>
      <c r="L6" s="2713"/>
      <c r="M6" s="2714"/>
      <c r="N6" s="2714"/>
      <c r="O6" s="2714"/>
      <c r="P6" s="3680"/>
      <c r="Q6" s="3681"/>
      <c r="R6" s="3660"/>
      <c r="S6" s="3661"/>
      <c r="T6" s="3682"/>
      <c r="U6" s="3683"/>
      <c r="V6" s="3655"/>
      <c r="W6" s="3655"/>
      <c r="X6" s="1353"/>
      <c r="Y6" s="3682"/>
      <c r="Z6" s="3683"/>
      <c r="AA6" s="3654"/>
      <c r="AB6" s="3655"/>
      <c r="AC6" s="3654"/>
    </row>
    <row r="7" spans="1:29" s="108" customFormat="1" ht="15.75" thickBot="1">
      <c r="A7" s="362" t="s">
        <v>1679</v>
      </c>
      <c r="B7" s="363"/>
      <c r="C7" s="364">
        <f>'数据-取费表'!B2</f>
        <v>45504</v>
      </c>
      <c r="D7" s="365">
        <v>100</v>
      </c>
      <c r="E7" s="366">
        <v>45474</v>
      </c>
      <c r="F7" s="367">
        <f>SUMIF(58:58,YEAR(E7)&amp;"-"&amp;MONTH(E7),59:59)</f>
        <v>100</v>
      </c>
      <c r="G7" s="366">
        <v>45474</v>
      </c>
      <c r="H7" s="365">
        <f>SUMIF(58:58,YEAR(G7)&amp;"-"&amp;MONTH(G7),59:59)</f>
        <v>100</v>
      </c>
      <c r="I7" s="366">
        <v>45474</v>
      </c>
      <c r="J7" s="365">
        <f>SUMIF(58:58,YEAR(I7)&amp;"-"&amp;MONTH(I7),59:59)</f>
        <v>100</v>
      </c>
      <c r="K7" s="560"/>
      <c r="L7" s="2715"/>
      <c r="M7" s="2716"/>
      <c r="N7" s="2716"/>
      <c r="O7" s="2716"/>
      <c r="P7" s="3656" t="s">
        <v>1680</v>
      </c>
      <c r="Q7" s="3684"/>
      <c r="R7" s="700" t="s">
        <v>14</v>
      </c>
      <c r="S7" s="701">
        <f t="shared" ref="S7:S15" si="0">F7</f>
        <v>100</v>
      </c>
      <c r="T7" s="700" t="s">
        <v>14</v>
      </c>
      <c r="U7" s="701">
        <f t="shared" ref="U7:U15" si="1">H7</f>
        <v>100</v>
      </c>
      <c r="V7" s="700" t="s">
        <v>14</v>
      </c>
      <c r="W7" s="701">
        <f t="shared" ref="W7:W15" si="2">J7</f>
        <v>100</v>
      </c>
      <c r="X7" s="702"/>
      <c r="Y7" s="3656" t="s">
        <v>1680</v>
      </c>
      <c r="Z7" s="3657"/>
      <c r="AA7" s="703">
        <f>D7/F7</f>
        <v>1</v>
      </c>
      <c r="AB7" s="703">
        <f>D7/H7</f>
        <v>1</v>
      </c>
      <c r="AC7" s="703">
        <f>D7/J7</f>
        <v>1</v>
      </c>
    </row>
    <row r="8" spans="1:29" s="108" customFormat="1" ht="15.75" thickBot="1">
      <c r="A8" s="362" t="s">
        <v>1681</v>
      </c>
      <c r="B8" s="363"/>
      <c r="C8" s="368" t="s">
        <v>3399</v>
      </c>
      <c r="D8" s="365">
        <v>100</v>
      </c>
      <c r="E8" s="368" t="s">
        <v>3401</v>
      </c>
      <c r="F8" s="367">
        <f>SUMIF(61:61,E8,62:62)-SUMIF(61:61,C8,62:62)+100</f>
        <v>104</v>
      </c>
      <c r="G8" s="368" t="s">
        <v>3401</v>
      </c>
      <c r="H8" s="365">
        <f>SUMIF(61:61,G8,62:62)-SUMIF(61:61,C8,62:62)+100</f>
        <v>104</v>
      </c>
      <c r="I8" s="368" t="s">
        <v>3401</v>
      </c>
      <c r="J8" s="365">
        <f>SUMIF(61:61,I8,62:62)-SUMIF(61:61,C8,62:62)+100</f>
        <v>104</v>
      </c>
      <c r="K8" s="560"/>
      <c r="L8" s="2715"/>
      <c r="M8" s="2716"/>
      <c r="N8" s="2716"/>
      <c r="O8" s="2716"/>
      <c r="P8" s="3656" t="s">
        <v>1683</v>
      </c>
      <c r="Q8" s="3657"/>
      <c r="R8" s="700" t="s">
        <v>14</v>
      </c>
      <c r="S8" s="701">
        <f t="shared" si="0"/>
        <v>104</v>
      </c>
      <c r="T8" s="700" t="s">
        <v>14</v>
      </c>
      <c r="U8" s="701">
        <f t="shared" si="1"/>
        <v>104</v>
      </c>
      <c r="V8" s="700" t="s">
        <v>14</v>
      </c>
      <c r="W8" s="701">
        <f t="shared" si="2"/>
        <v>104</v>
      </c>
      <c r="X8" s="702"/>
      <c r="Y8" s="3656" t="s">
        <v>1683</v>
      </c>
      <c r="Z8" s="3657"/>
      <c r="AA8" s="703">
        <f t="shared" ref="AA8:AA46" si="3">D8/F8</f>
        <v>0.96153846153846156</v>
      </c>
      <c r="AB8" s="703">
        <f t="shared" ref="AB8:AB46" si="4">D8/H8</f>
        <v>0.96153846153846156</v>
      </c>
      <c r="AC8" s="703">
        <f t="shared" ref="AC8:AC46" si="5">D8/J8</f>
        <v>0.96153846153846156</v>
      </c>
    </row>
    <row r="9" spans="1:29" s="108" customFormat="1" ht="15" thickBot="1">
      <c r="A9" s="369" t="s">
        <v>1684</v>
      </c>
      <c r="B9" s="63" t="s">
        <v>1685</v>
      </c>
      <c r="C9" s="3449" t="s">
        <v>3400</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71" t="s">
        <v>1686</v>
      </c>
      <c r="Q9" s="1341" t="str">
        <f t="shared" ref="Q9:Q15" si="6">B9</f>
        <v>用途</v>
      </c>
      <c r="R9" s="700" t="s">
        <v>14</v>
      </c>
      <c r="S9" s="701">
        <f t="shared" si="0"/>
        <v>100</v>
      </c>
      <c r="T9" s="700" t="s">
        <v>14</v>
      </c>
      <c r="U9" s="701">
        <f t="shared" si="1"/>
        <v>100</v>
      </c>
      <c r="V9" s="700" t="s">
        <v>14</v>
      </c>
      <c r="W9" s="701">
        <f t="shared" si="2"/>
        <v>100</v>
      </c>
      <c r="X9" s="702"/>
      <c r="Y9" s="3620" t="s">
        <v>1687</v>
      </c>
      <c r="Z9" s="52" t="str">
        <f t="shared" ref="Z9:Z15" si="7">Q9</f>
        <v>用途</v>
      </c>
      <c r="AA9" s="703">
        <f t="shared" si="3"/>
        <v>1</v>
      </c>
      <c r="AB9" s="703">
        <f t="shared" si="4"/>
        <v>1</v>
      </c>
      <c r="AC9" s="703">
        <f t="shared" si="5"/>
        <v>1</v>
      </c>
    </row>
    <row r="10" spans="1:29" s="378" customFormat="1" ht="27.75" thickTop="1">
      <c r="A10" s="374"/>
      <c r="B10" s="375" t="s">
        <v>1688</v>
      </c>
      <c r="C10" s="3460" t="s">
        <v>3454</v>
      </c>
      <c r="D10" s="127">
        <v>100</v>
      </c>
      <c r="E10" s="3460" t="s">
        <v>3456</v>
      </c>
      <c r="F10" s="376">
        <f>SUMIF(65:65,E10,66:66)-SUMIF(65:65,C10,66:66)+100</f>
        <v>102</v>
      </c>
      <c r="G10" s="3460" t="s">
        <v>3456</v>
      </c>
      <c r="H10" s="127">
        <f>SUMIF(65:65,G10,66:66)-SUMIF(65:65,C10,66:66)+100</f>
        <v>102</v>
      </c>
      <c r="I10" s="3460" t="s">
        <v>3455</v>
      </c>
      <c r="J10" s="127">
        <f>SUMIF(65:65,I10,66:66)-SUMIF(65:65,C10,66:66)+100</f>
        <v>101</v>
      </c>
      <c r="K10" s="560"/>
      <c r="L10" s="2717"/>
      <c r="M10" s="2718"/>
      <c r="N10" s="2718"/>
      <c r="O10" s="2718"/>
      <c r="P10" s="3671"/>
      <c r="Q10" s="1341" t="str">
        <f t="shared" si="6"/>
        <v>土地使用年限（年）</v>
      </c>
      <c r="R10" s="700" t="s">
        <v>14</v>
      </c>
      <c r="S10" s="701">
        <f t="shared" si="0"/>
        <v>102</v>
      </c>
      <c r="T10" s="700" t="s">
        <v>14</v>
      </c>
      <c r="U10" s="701">
        <f t="shared" si="1"/>
        <v>102</v>
      </c>
      <c r="V10" s="700" t="s">
        <v>14</v>
      </c>
      <c r="W10" s="701">
        <f t="shared" si="2"/>
        <v>101</v>
      </c>
      <c r="X10" s="702"/>
      <c r="Y10" s="3620"/>
      <c r="Z10" s="52" t="str">
        <f t="shared" si="7"/>
        <v>土地使用年限（年）</v>
      </c>
      <c r="AA10" s="703">
        <f t="shared" si="3"/>
        <v>0.98039215686274506</v>
      </c>
      <c r="AB10" s="703">
        <f t="shared" si="4"/>
        <v>0.98039215686274506</v>
      </c>
      <c r="AC10" s="703">
        <f t="shared" si="5"/>
        <v>0.99009900990099009</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1"/>
      <c r="Q11" s="1341" t="str">
        <f t="shared" si="6"/>
        <v>容积率</v>
      </c>
      <c r="R11" s="700" t="s">
        <v>14</v>
      </c>
      <c r="S11" s="701">
        <f t="shared" si="0"/>
        <v>100</v>
      </c>
      <c r="T11" s="700" t="s">
        <v>14</v>
      </c>
      <c r="U11" s="701">
        <f t="shared" si="1"/>
        <v>100</v>
      </c>
      <c r="V11" s="700" t="s">
        <v>14</v>
      </c>
      <c r="W11" s="701">
        <f t="shared" si="2"/>
        <v>100</v>
      </c>
      <c r="X11" s="702"/>
      <c r="Y11" s="3620"/>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1"/>
      <c r="Q12" s="1341">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1"/>
      <c r="Q13" s="1341">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1"/>
      <c r="Q14" s="1341">
        <f t="shared" si="6"/>
        <v>111</v>
      </c>
      <c r="R14" s="700" t="s">
        <v>14</v>
      </c>
      <c r="S14" s="701">
        <f t="shared" si="0"/>
        <v>100</v>
      </c>
      <c r="T14" s="700" t="s">
        <v>14</v>
      </c>
      <c r="U14" s="701">
        <f t="shared" si="1"/>
        <v>100</v>
      </c>
      <c r="V14" s="700" t="s">
        <v>14</v>
      </c>
      <c r="W14" s="701">
        <f t="shared" si="2"/>
        <v>100</v>
      </c>
      <c r="X14" s="702"/>
      <c r="Y14" s="3620"/>
      <c r="Z14" s="52">
        <f t="shared" si="7"/>
        <v>111</v>
      </c>
      <c r="AA14" s="703">
        <f t="shared" si="3"/>
        <v>1</v>
      </c>
      <c r="AB14" s="703">
        <f t="shared" si="4"/>
        <v>1</v>
      </c>
      <c r="AC14" s="703">
        <f t="shared" si="5"/>
        <v>1</v>
      </c>
    </row>
    <row r="15" spans="1:29" ht="85.5">
      <c r="A15" s="391" t="s">
        <v>1690</v>
      </c>
      <c r="B15" s="61" t="s">
        <v>1777</v>
      </c>
      <c r="C15" s="1894" t="str">
        <f>估价对象房地状况!C4</f>
        <v>估价对象周边以住宅配套商业为主，周边商业氛围成熟一般，人流量一般，商业繁华度一般</v>
      </c>
      <c r="D15" s="392">
        <v>100</v>
      </c>
      <c r="E15" s="393"/>
      <c r="F15" s="394">
        <f>SUMIF(76:76,E16,77:77)-SUMIF(76:76,C16,77:77)+100</f>
        <v>100</v>
      </c>
      <c r="G15" s="395"/>
      <c r="H15" s="392">
        <f>SUMIF(76:76,G16,77:77)-SUMIF(76:76,C16,77:77)+100</f>
        <v>100</v>
      </c>
      <c r="I15" s="393"/>
      <c r="J15" s="392">
        <f>SUMIF(76:76,I16,77:77)-SUMIF(76:76,C16,77:77)+100</f>
        <v>100</v>
      </c>
      <c r="K15" s="563">
        <v>3</v>
      </c>
      <c r="L15" s="2720"/>
      <c r="M15" s="2714"/>
      <c r="N15" s="2714"/>
      <c r="O15" s="2714"/>
      <c r="P15" s="3685" t="s">
        <v>1691</v>
      </c>
      <c r="Q15" s="1350" t="str">
        <f t="shared" si="6"/>
        <v>商业繁华度</v>
      </c>
      <c r="R15" s="704" t="s">
        <v>14</v>
      </c>
      <c r="S15" s="705">
        <f t="shared" si="0"/>
        <v>100</v>
      </c>
      <c r="T15" s="704" t="s">
        <v>14</v>
      </c>
      <c r="U15" s="705">
        <f t="shared" si="1"/>
        <v>100</v>
      </c>
      <c r="V15" s="704" t="s">
        <v>14</v>
      </c>
      <c r="W15" s="705">
        <f t="shared" si="2"/>
        <v>100</v>
      </c>
      <c r="X15" s="1353"/>
      <c r="Y15" s="3687" t="s">
        <v>1691</v>
      </c>
      <c r="Z15" s="1354" t="str">
        <f t="shared" si="7"/>
        <v>商业繁华度</v>
      </c>
      <c r="AA15" s="1351">
        <f t="shared" si="3"/>
        <v>1</v>
      </c>
      <c r="AB15" s="1351">
        <f t="shared" si="4"/>
        <v>1</v>
      </c>
      <c r="AC15" s="1351">
        <f t="shared" si="5"/>
        <v>1</v>
      </c>
    </row>
    <row r="16" spans="1:29" ht="15">
      <c r="A16" s="379"/>
      <c r="B16" s="397"/>
      <c r="C16" s="398" t="s">
        <v>3412</v>
      </c>
      <c r="D16" s="399"/>
      <c r="E16" s="398" t="s">
        <v>3412</v>
      </c>
      <c r="F16" s="400"/>
      <c r="G16" s="398" t="s">
        <v>3412</v>
      </c>
      <c r="H16" s="401"/>
      <c r="I16" s="398" t="s">
        <v>3412</v>
      </c>
      <c r="J16" s="399"/>
      <c r="K16" s="564"/>
      <c r="L16" s="2720"/>
      <c r="M16" s="2714"/>
      <c r="N16" s="2714"/>
      <c r="O16" s="2714"/>
      <c r="P16" s="3686"/>
      <c r="Q16" s="1350"/>
      <c r="R16" s="704"/>
      <c r="S16" s="705"/>
      <c r="T16" s="704"/>
      <c r="U16" s="705"/>
      <c r="V16" s="704"/>
      <c r="W16" s="705"/>
      <c r="X16" s="1353"/>
      <c r="Y16" s="3688"/>
      <c r="Z16" s="1354"/>
      <c r="AA16" s="1351">
        <v>1</v>
      </c>
      <c r="AB16" s="1351">
        <v>1</v>
      </c>
      <c r="AC16" s="1351">
        <v>1</v>
      </c>
    </row>
    <row r="17" spans="1:29" ht="99.75">
      <c r="A17" s="379"/>
      <c r="B17" s="402" t="s">
        <v>1259</v>
      </c>
      <c r="C17" s="1898" t="str">
        <f>估价对象房地状况!C6</f>
        <v>估价对象周边道路状况、公共交通通达情况915、918、955等、停车便捷程度，综合评价交通便捷度一般</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86"/>
      <c r="Q17" s="1350" t="str">
        <f>B17</f>
        <v>交通便捷度</v>
      </c>
      <c r="R17" s="704" t="s">
        <v>14</v>
      </c>
      <c r="S17" s="705">
        <f>F17</f>
        <v>100</v>
      </c>
      <c r="T17" s="704" t="s">
        <v>14</v>
      </c>
      <c r="U17" s="705">
        <f>H17</f>
        <v>100</v>
      </c>
      <c r="V17" s="704" t="s">
        <v>14</v>
      </c>
      <c r="W17" s="705">
        <f>J17</f>
        <v>100</v>
      </c>
      <c r="X17" s="1353"/>
      <c r="Y17" s="3688"/>
      <c r="Z17" s="1354" t="str">
        <f>Q17</f>
        <v>交通便捷度</v>
      </c>
      <c r="AA17" s="1351">
        <f t="shared" si="3"/>
        <v>1</v>
      </c>
      <c r="AB17" s="1351">
        <f t="shared" si="4"/>
        <v>1</v>
      </c>
      <c r="AC17" s="1351">
        <f t="shared" si="5"/>
        <v>1</v>
      </c>
    </row>
    <row r="18" spans="1:29" ht="15">
      <c r="A18" s="379"/>
      <c r="B18" s="407"/>
      <c r="C18" s="1899" t="s">
        <v>3412</v>
      </c>
      <c r="D18" s="401"/>
      <c r="E18" s="1899" t="s">
        <v>3412</v>
      </c>
      <c r="F18" s="404"/>
      <c r="G18" s="1899" t="s">
        <v>3412</v>
      </c>
      <c r="H18" s="399"/>
      <c r="I18" s="1899" t="s">
        <v>3412</v>
      </c>
      <c r="J18" s="399"/>
      <c r="K18" s="564"/>
      <c r="L18" s="2720"/>
      <c r="M18" s="2714"/>
      <c r="N18" s="2714"/>
      <c r="O18" s="2714"/>
      <c r="P18" s="3686"/>
      <c r="Q18" s="1350"/>
      <c r="R18" s="704"/>
      <c r="S18" s="705"/>
      <c r="T18" s="704"/>
      <c r="U18" s="705"/>
      <c r="V18" s="704"/>
      <c r="W18" s="705"/>
      <c r="X18" s="1353"/>
      <c r="Y18" s="3688"/>
      <c r="Z18" s="1354"/>
      <c r="AA18" s="1351">
        <v>1</v>
      </c>
      <c r="AB18" s="1351">
        <v>1</v>
      </c>
      <c r="AC18" s="1351">
        <v>1</v>
      </c>
    </row>
    <row r="19" spans="1:29" ht="42.75">
      <c r="A19" s="379"/>
      <c r="B19" s="402" t="s">
        <v>1778</v>
      </c>
      <c r="C19" s="1898" t="str">
        <f>估价对象房地状况!C7</f>
        <v>估价对象所在区域公共配套设施齐备情况一般</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86"/>
      <c r="Q19" s="1350" t="str">
        <f>B19</f>
        <v>公共配套设施</v>
      </c>
      <c r="R19" s="704" t="s">
        <v>14</v>
      </c>
      <c r="S19" s="705">
        <f>F19</f>
        <v>100</v>
      </c>
      <c r="T19" s="704" t="s">
        <v>14</v>
      </c>
      <c r="U19" s="705">
        <f>H19</f>
        <v>100</v>
      </c>
      <c r="V19" s="704" t="s">
        <v>14</v>
      </c>
      <c r="W19" s="705">
        <f>J19</f>
        <v>100</v>
      </c>
      <c r="X19" s="1353"/>
      <c r="Y19" s="3688"/>
      <c r="Z19" s="1354" t="str">
        <f>Q19</f>
        <v>公共配套设施</v>
      </c>
      <c r="AA19" s="1351">
        <f t="shared" si="3"/>
        <v>1</v>
      </c>
      <c r="AB19" s="1351">
        <f t="shared" si="4"/>
        <v>1</v>
      </c>
      <c r="AC19" s="1351">
        <f t="shared" si="5"/>
        <v>1</v>
      </c>
    </row>
    <row r="20" spans="1:29" ht="15">
      <c r="A20" s="379"/>
      <c r="B20" s="407"/>
      <c r="C20" s="398" t="s">
        <v>3412</v>
      </c>
      <c r="D20" s="399"/>
      <c r="E20" s="398" t="s">
        <v>3412</v>
      </c>
      <c r="F20" s="400"/>
      <c r="G20" s="398" t="s">
        <v>3412</v>
      </c>
      <c r="H20" s="399"/>
      <c r="I20" s="398" t="s">
        <v>3412</v>
      </c>
      <c r="J20" s="399"/>
      <c r="K20" s="564"/>
      <c r="L20" s="2720"/>
      <c r="M20" s="2714"/>
      <c r="N20" s="2714"/>
      <c r="O20" s="2714"/>
      <c r="P20" s="3686"/>
      <c r="Q20" s="1350"/>
      <c r="R20" s="704"/>
      <c r="S20" s="705"/>
      <c r="T20" s="704"/>
      <c r="U20" s="705"/>
      <c r="V20" s="704"/>
      <c r="W20" s="705"/>
      <c r="X20" s="1353"/>
      <c r="Y20" s="3688"/>
      <c r="Z20" s="1354"/>
      <c r="AA20" s="1351">
        <v>1</v>
      </c>
      <c r="AB20" s="1351">
        <v>1</v>
      </c>
      <c r="AC20" s="1351">
        <v>1</v>
      </c>
    </row>
    <row r="21" spans="1:29" ht="15">
      <c r="A21" s="379"/>
      <c r="B21" s="1129" t="s">
        <v>1779</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86"/>
      <c r="Q21" s="1350" t="str">
        <f>B21</f>
        <v>基础设施水平</v>
      </c>
      <c r="R21" s="704" t="s">
        <v>14</v>
      </c>
      <c r="S21" s="705">
        <f>F21</f>
        <v>100</v>
      </c>
      <c r="T21" s="704" t="s">
        <v>14</v>
      </c>
      <c r="U21" s="705">
        <f>H21</f>
        <v>100</v>
      </c>
      <c r="V21" s="704" t="s">
        <v>14</v>
      </c>
      <c r="W21" s="705">
        <f>J21</f>
        <v>100</v>
      </c>
      <c r="X21" s="1353"/>
      <c r="Y21" s="3688"/>
      <c r="Z21" s="1354" t="str">
        <f>Q21</f>
        <v>基础设施水平</v>
      </c>
      <c r="AA21" s="1351">
        <f t="shared" ref="AA21" si="8">D21/F21</f>
        <v>1</v>
      </c>
      <c r="AB21" s="1351">
        <f t="shared" ref="AB21" si="9">D21/H21</f>
        <v>1</v>
      </c>
      <c r="AC21" s="1351">
        <f t="shared" ref="AC21" si="10">D21/J21</f>
        <v>1</v>
      </c>
    </row>
    <row r="22" spans="1:29" ht="15">
      <c r="A22" s="379"/>
      <c r="B22" s="1129"/>
      <c r="C22" s="1899" t="s">
        <v>3413</v>
      </c>
      <c r="D22" s="399"/>
      <c r="E22" s="1899" t="s">
        <v>3413</v>
      </c>
      <c r="F22" s="400"/>
      <c r="G22" s="1899" t="s">
        <v>3413</v>
      </c>
      <c r="H22" s="399"/>
      <c r="I22" s="1899" t="s">
        <v>3413</v>
      </c>
      <c r="J22" s="399"/>
      <c r="K22" s="1128"/>
      <c r="L22" s="2720"/>
      <c r="M22" s="2714"/>
      <c r="N22" s="2714"/>
      <c r="O22" s="2714"/>
      <c r="P22" s="3686"/>
      <c r="Q22" s="1350"/>
      <c r="R22" s="704"/>
      <c r="S22" s="705"/>
      <c r="T22" s="704"/>
      <c r="U22" s="705"/>
      <c r="V22" s="704"/>
      <c r="W22" s="705"/>
      <c r="X22" s="1353"/>
      <c r="Y22" s="3688"/>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86"/>
      <c r="Q23" s="1350" t="str">
        <f>B23</f>
        <v>自然及人文环境</v>
      </c>
      <c r="R23" s="704" t="s">
        <v>14</v>
      </c>
      <c r="S23" s="705">
        <f>F23</f>
        <v>100</v>
      </c>
      <c r="T23" s="704" t="s">
        <v>14</v>
      </c>
      <c r="U23" s="705">
        <f>H23</f>
        <v>100</v>
      </c>
      <c r="V23" s="704" t="s">
        <v>14</v>
      </c>
      <c r="W23" s="705">
        <f>J23</f>
        <v>100</v>
      </c>
      <c r="X23" s="1353"/>
      <c r="Y23" s="3688"/>
      <c r="Z23" s="1354" t="str">
        <f>Q23</f>
        <v>自然及人文环境</v>
      </c>
      <c r="AA23" s="1351">
        <f t="shared" si="3"/>
        <v>1</v>
      </c>
      <c r="AB23" s="1351">
        <f t="shared" si="4"/>
        <v>1</v>
      </c>
      <c r="AC23" s="1351">
        <f t="shared" si="5"/>
        <v>1</v>
      </c>
    </row>
    <row r="24" spans="1:29" ht="15">
      <c r="A24" s="379"/>
      <c r="B24" s="407"/>
      <c r="C24" s="398" t="s">
        <v>3412</v>
      </c>
      <c r="D24" s="399"/>
      <c r="E24" s="398" t="s">
        <v>3412</v>
      </c>
      <c r="F24" s="400"/>
      <c r="G24" s="398" t="s">
        <v>3412</v>
      </c>
      <c r="H24" s="399"/>
      <c r="I24" s="398" t="s">
        <v>3412</v>
      </c>
      <c r="J24" s="399"/>
      <c r="K24" s="564"/>
      <c r="L24" s="2720"/>
      <c r="M24" s="2714"/>
      <c r="N24" s="2714"/>
      <c r="O24" s="2714"/>
      <c r="P24" s="3686"/>
      <c r="Q24" s="1350"/>
      <c r="R24" s="704"/>
      <c r="S24" s="705"/>
      <c r="T24" s="704"/>
      <c r="U24" s="705"/>
      <c r="V24" s="704"/>
      <c r="W24" s="705"/>
      <c r="X24" s="1353"/>
      <c r="Y24" s="3688"/>
      <c r="Z24" s="1354"/>
      <c r="AA24" s="1351">
        <v>1</v>
      </c>
      <c r="AB24" s="1351">
        <v>1</v>
      </c>
      <c r="AC24" s="1351">
        <v>1</v>
      </c>
    </row>
    <row r="25" spans="1:29" ht="15">
      <c r="A25" s="379"/>
      <c r="B25" s="375" t="s">
        <v>1780</v>
      </c>
      <c r="C25" s="565" t="s">
        <v>3418</v>
      </c>
      <c r="D25" s="386">
        <v>100</v>
      </c>
      <c r="E25" s="565" t="s">
        <v>3418</v>
      </c>
      <c r="F25" s="412">
        <f>SUMIF(86:86,E25,87:87)-SUMIF(86:86,C25,87:87)+100</f>
        <v>100</v>
      </c>
      <c r="G25" s="565" t="s">
        <v>3418</v>
      </c>
      <c r="H25" s="386">
        <f>SUMIF(86:86,G25,87:87)-SUMIF(86:86,C25,87:87)+100</f>
        <v>100</v>
      </c>
      <c r="I25" s="565" t="s">
        <v>3418</v>
      </c>
      <c r="J25" s="386">
        <f>SUMIF(86:86,I25,87:87)-SUMIF(86:86,C25,87:87)+100</f>
        <v>100</v>
      </c>
      <c r="K25" s="561">
        <v>3</v>
      </c>
      <c r="L25" s="2720"/>
      <c r="M25" s="2714"/>
      <c r="N25" s="2714"/>
      <c r="O25" s="2714"/>
      <c r="P25" s="3686"/>
      <c r="Q25" s="1350" t="str">
        <f t="shared" ref="Q25:Q46" si="11">B25</f>
        <v>临街状况</v>
      </c>
      <c r="R25" s="704" t="s">
        <v>14</v>
      </c>
      <c r="S25" s="705">
        <f>F25</f>
        <v>100</v>
      </c>
      <c r="T25" s="704" t="s">
        <v>14</v>
      </c>
      <c r="U25" s="705">
        <f>H25</f>
        <v>100</v>
      </c>
      <c r="V25" s="704" t="s">
        <v>14</v>
      </c>
      <c r="W25" s="705">
        <f>J25</f>
        <v>100</v>
      </c>
      <c r="X25" s="1353"/>
      <c r="Y25" s="3688"/>
      <c r="Z25" s="1354" t="str">
        <f>Q25</f>
        <v>临街状况</v>
      </c>
      <c r="AA25" s="1351">
        <f t="shared" si="3"/>
        <v>1</v>
      </c>
      <c r="AB25" s="1351">
        <f t="shared" si="4"/>
        <v>1</v>
      </c>
      <c r="AC25" s="1351">
        <f t="shared" si="5"/>
        <v>1</v>
      </c>
    </row>
    <row r="26" spans="1:29" ht="15">
      <c r="A26" s="379"/>
      <c r="B26" s="1131" t="s">
        <v>1781</v>
      </c>
      <c r="C26" s="3456" t="s">
        <v>3442</v>
      </c>
      <c r="D26" s="386">
        <v>100</v>
      </c>
      <c r="E26" s="3456" t="s">
        <v>3442</v>
      </c>
      <c r="F26" s="412">
        <f>SUMIF(88:88,E26,89:89)-SUMIF(88:88,C26,89:89)+100</f>
        <v>100</v>
      </c>
      <c r="G26" s="3456" t="s">
        <v>3442</v>
      </c>
      <c r="H26" s="386">
        <f>SUMIF(88:88,G26,89:89)-SUMIF(88:88,C26,89:89)+100</f>
        <v>100</v>
      </c>
      <c r="I26" s="3456" t="s">
        <v>3442</v>
      </c>
      <c r="J26" s="386">
        <f>SUMIF(88:88,I26,89:89)-SUMIF(88:88,C26,89:89)+100</f>
        <v>100</v>
      </c>
      <c r="K26" s="562"/>
      <c r="L26" s="2720"/>
      <c r="M26" s="2714"/>
      <c r="N26" s="2714"/>
      <c r="O26" s="2714"/>
      <c r="P26" s="3686"/>
      <c r="Q26" s="1350" t="str">
        <f t="shared" si="11"/>
        <v>平面位置/可视性</v>
      </c>
      <c r="R26" s="704" t="s">
        <v>14</v>
      </c>
      <c r="S26" s="705">
        <f>F26</f>
        <v>100</v>
      </c>
      <c r="T26" s="704" t="s">
        <v>14</v>
      </c>
      <c r="U26" s="705">
        <f>H26</f>
        <v>100</v>
      </c>
      <c r="V26" s="704" t="s">
        <v>14</v>
      </c>
      <c r="W26" s="705">
        <f>J26</f>
        <v>100</v>
      </c>
      <c r="X26" s="1353"/>
      <c r="Y26" s="3688"/>
      <c r="Z26" s="1354" t="str">
        <f>Q26</f>
        <v>平面位置/可视性</v>
      </c>
      <c r="AA26" s="1351">
        <f t="shared" si="3"/>
        <v>1</v>
      </c>
      <c r="AB26" s="1351">
        <f t="shared" si="4"/>
        <v>1</v>
      </c>
      <c r="AC26" s="1351">
        <f t="shared" si="5"/>
        <v>1</v>
      </c>
    </row>
    <row r="27" spans="1:29" s="108" customFormat="1" ht="15">
      <c r="A27" s="382"/>
      <c r="B27" s="402" t="s">
        <v>1782</v>
      </c>
      <c r="C27" s="1954" t="s">
        <v>3412</v>
      </c>
      <c r="D27" s="413">
        <v>100</v>
      </c>
      <c r="E27" s="1954" t="s">
        <v>3412</v>
      </c>
      <c r="F27" s="415">
        <f>SUMIF(90:90,E27,91:91)-SUMIF(90:90,C27,91:91)+100</f>
        <v>100</v>
      </c>
      <c r="G27" s="1954" t="s">
        <v>3412</v>
      </c>
      <c r="H27" s="413">
        <f>SUMIF(90:90,G27,91:91)-SUMIF(90:90,C27,91:91)+100</f>
        <v>100</v>
      </c>
      <c r="I27" s="1954" t="s">
        <v>3412</v>
      </c>
      <c r="J27" s="413">
        <f>SUMIF(90:90,I27,91:91)-SUMIF(90:90,C27,91:91)+100</f>
        <v>100</v>
      </c>
      <c r="K27" s="561">
        <v>3</v>
      </c>
      <c r="L27" s="2715"/>
      <c r="M27" s="2716"/>
      <c r="N27" s="2716"/>
      <c r="O27" s="2716"/>
      <c r="P27" s="3686"/>
      <c r="Q27" s="1341" t="str">
        <f t="shared" si="11"/>
        <v>人流量</v>
      </c>
      <c r="R27" s="700" t="s">
        <v>14</v>
      </c>
      <c r="S27" s="701">
        <f>F27</f>
        <v>100</v>
      </c>
      <c r="T27" s="700" t="s">
        <v>14</v>
      </c>
      <c r="U27" s="701">
        <f>H27</f>
        <v>100</v>
      </c>
      <c r="V27" s="700" t="s">
        <v>14</v>
      </c>
      <c r="W27" s="701">
        <f>J27</f>
        <v>100</v>
      </c>
      <c r="X27" s="702"/>
      <c r="Y27" s="3688"/>
      <c r="Z27" s="52" t="str">
        <f>Q27</f>
        <v>人流量</v>
      </c>
      <c r="AA27" s="1351">
        <f>D27/F27</f>
        <v>1</v>
      </c>
      <c r="AB27" s="1351">
        <f>D27/H27</f>
        <v>1</v>
      </c>
      <c r="AC27" s="1351">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0"/>
      <c r="M28" s="2714"/>
      <c r="N28" s="2714"/>
      <c r="O28" s="2714"/>
      <c r="P28" s="3686"/>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688"/>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6"/>
      <c r="Q29" s="1350">
        <f t="shared" si="11"/>
        <v>111</v>
      </c>
      <c r="R29" s="704" t="s">
        <v>14</v>
      </c>
      <c r="S29" s="705">
        <f t="shared" si="12"/>
        <v>100</v>
      </c>
      <c r="T29" s="704" t="s">
        <v>14</v>
      </c>
      <c r="U29" s="705">
        <f t="shared" si="13"/>
        <v>100</v>
      </c>
      <c r="V29" s="704" t="s">
        <v>14</v>
      </c>
      <c r="W29" s="705">
        <f t="shared" si="14"/>
        <v>100</v>
      </c>
      <c r="X29" s="1353"/>
      <c r="Y29" s="3688"/>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6"/>
      <c r="Q30" s="1350">
        <f t="shared" si="11"/>
        <v>111</v>
      </c>
      <c r="R30" s="704" t="s">
        <v>14</v>
      </c>
      <c r="S30" s="705">
        <f t="shared" si="12"/>
        <v>100</v>
      </c>
      <c r="T30" s="704" t="s">
        <v>14</v>
      </c>
      <c r="U30" s="705">
        <f t="shared" si="13"/>
        <v>100</v>
      </c>
      <c r="V30" s="704" t="s">
        <v>14</v>
      </c>
      <c r="W30" s="705">
        <f t="shared" si="14"/>
        <v>100</v>
      </c>
      <c r="X30" s="1353"/>
      <c r="Y30" s="3688"/>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6"/>
      <c r="Q31" s="1350">
        <f t="shared" si="11"/>
        <v>111</v>
      </c>
      <c r="R31" s="704" t="s">
        <v>14</v>
      </c>
      <c r="S31" s="705">
        <f t="shared" si="12"/>
        <v>100</v>
      </c>
      <c r="T31" s="704" t="s">
        <v>14</v>
      </c>
      <c r="U31" s="705">
        <f t="shared" si="13"/>
        <v>100</v>
      </c>
      <c r="V31" s="704" t="s">
        <v>14</v>
      </c>
      <c r="W31" s="705">
        <f t="shared" si="14"/>
        <v>100</v>
      </c>
      <c r="X31" s="1353"/>
      <c r="Y31" s="3688"/>
      <c r="Z31" s="1354">
        <f t="shared" si="15"/>
        <v>111</v>
      </c>
      <c r="AA31" s="1351">
        <f t="shared" si="3"/>
        <v>1</v>
      </c>
      <c r="AB31" s="1351">
        <f t="shared" si="4"/>
        <v>1</v>
      </c>
      <c r="AC31" s="1351">
        <f t="shared" si="5"/>
        <v>1</v>
      </c>
    </row>
    <row r="32" spans="1:29" ht="15">
      <c r="A32" s="391" t="s">
        <v>1694</v>
      </c>
      <c r="B32" s="63" t="s">
        <v>1784</v>
      </c>
      <c r="C32" s="1908" t="s">
        <v>3429</v>
      </c>
      <c r="D32" s="418">
        <v>100</v>
      </c>
      <c r="E32" s="1908" t="s">
        <v>3429</v>
      </c>
      <c r="F32" s="412">
        <f>SUMIF(100:100,E32,101:101)-SUMIF(100:100,C32,101:101)+100</f>
        <v>100</v>
      </c>
      <c r="G32" s="1908" t="s">
        <v>3429</v>
      </c>
      <c r="H32" s="386">
        <f>SUMIF(100:100,G32,101:101)-SUMIF(100:100,C32,101:101)+100</f>
        <v>100</v>
      </c>
      <c r="I32" s="1908" t="s">
        <v>3429</v>
      </c>
      <c r="J32" s="418">
        <f>SUMIF(100:100,I32,101:101)-SUMIF(100:100,C32,101:101)+100</f>
        <v>100</v>
      </c>
      <c r="K32" s="561">
        <v>3</v>
      </c>
      <c r="L32" s="2720"/>
      <c r="M32" s="2714"/>
      <c r="N32" s="2714"/>
      <c r="O32" s="2714"/>
      <c r="P32" s="3689" t="s">
        <v>1696</v>
      </c>
      <c r="Q32" s="1350" t="str">
        <f t="shared" si="11"/>
        <v>商业类型</v>
      </c>
      <c r="R32" s="704" t="s">
        <v>14</v>
      </c>
      <c r="S32" s="705">
        <f t="shared" si="12"/>
        <v>100</v>
      </c>
      <c r="T32" s="704" t="s">
        <v>14</v>
      </c>
      <c r="U32" s="705">
        <f t="shared" si="13"/>
        <v>100</v>
      </c>
      <c r="V32" s="704" t="s">
        <v>14</v>
      </c>
      <c r="W32" s="705">
        <f t="shared" si="14"/>
        <v>100</v>
      </c>
      <c r="X32" s="1353"/>
      <c r="Y32" s="3692"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453.74</v>
      </c>
      <c r="D33" s="127">
        <v>100</v>
      </c>
      <c r="E33" s="420">
        <v>180.68</v>
      </c>
      <c r="F33" s="376">
        <f>LOOKUP(E33,103:103,104:104)-LOOKUP(C33,103:103,104:104)+100</f>
        <v>104</v>
      </c>
      <c r="G33" s="420">
        <v>191</v>
      </c>
      <c r="H33" s="127">
        <f>LOOKUP(G33,103:103,104:104)-LOOKUP(C33,103:103,104:104)+100</f>
        <v>104</v>
      </c>
      <c r="I33" s="420">
        <v>98</v>
      </c>
      <c r="J33" s="127">
        <f>LOOKUP(I33,103:103,104:104)-LOOKUP(C33,103:103,104:104)+100</f>
        <v>106</v>
      </c>
      <c r="K33" s="562"/>
      <c r="L33" s="2719"/>
      <c r="M33" s="2721"/>
      <c r="N33" s="2721"/>
      <c r="O33" s="2721"/>
      <c r="P33" s="3690"/>
      <c r="Q33" s="706" t="str">
        <f t="shared" si="11"/>
        <v>项目建筑规模</v>
      </c>
      <c r="R33" s="707" t="s">
        <v>14</v>
      </c>
      <c r="S33" s="708">
        <f t="shared" si="12"/>
        <v>104</v>
      </c>
      <c r="T33" s="707" t="s">
        <v>14</v>
      </c>
      <c r="U33" s="708">
        <f t="shared" si="13"/>
        <v>104</v>
      </c>
      <c r="V33" s="707" t="s">
        <v>14</v>
      </c>
      <c r="W33" s="708">
        <f t="shared" si="14"/>
        <v>106</v>
      </c>
      <c r="X33" s="709"/>
      <c r="Y33" s="3692"/>
      <c r="Z33" s="710" t="str">
        <f t="shared" si="15"/>
        <v>项目建筑规模</v>
      </c>
      <c r="AA33" s="1351">
        <f t="shared" si="3"/>
        <v>0.96153846153846156</v>
      </c>
      <c r="AB33" s="1351">
        <f t="shared" si="4"/>
        <v>0.96153846153846156</v>
      </c>
      <c r="AC33" s="1351">
        <f t="shared" si="5"/>
        <v>0.94339622641509435</v>
      </c>
    </row>
    <row r="34" spans="1:29" ht="15">
      <c r="A34" s="423"/>
      <c r="B34" s="375" t="s">
        <v>1698</v>
      </c>
      <c r="C34" s="1910" t="s">
        <v>3396</v>
      </c>
      <c r="D34" s="386">
        <v>100</v>
      </c>
      <c r="E34" s="1910" t="s">
        <v>3396</v>
      </c>
      <c r="F34" s="412">
        <f>SUMIF(105:105,E34,106:106)-SUMIF(105:105,C34,106:106)+100</f>
        <v>100</v>
      </c>
      <c r="G34" s="1910" t="s">
        <v>3396</v>
      </c>
      <c r="H34" s="386">
        <f>SUMIF(105:105,G34,106:106)-SUMIF(105:105,C34,106:106)+100</f>
        <v>100</v>
      </c>
      <c r="I34" s="1910" t="s">
        <v>3396</v>
      </c>
      <c r="J34" s="386">
        <f>SUMIF(105:105,I34,106:106)-SUMIF(105:105,C34,106:106)+100</f>
        <v>100</v>
      </c>
      <c r="K34" s="561">
        <v>2</v>
      </c>
      <c r="L34" s="2720"/>
      <c r="M34" s="2714"/>
      <c r="N34" s="2714"/>
      <c r="O34" s="2714"/>
      <c r="P34" s="3690"/>
      <c r="Q34" s="1350" t="str">
        <f t="shared" si="11"/>
        <v>建筑结构</v>
      </c>
      <c r="R34" s="704" t="s">
        <v>14</v>
      </c>
      <c r="S34" s="705">
        <f t="shared" si="12"/>
        <v>100</v>
      </c>
      <c r="T34" s="704" t="s">
        <v>14</v>
      </c>
      <c r="U34" s="705">
        <f t="shared" si="13"/>
        <v>100</v>
      </c>
      <c r="V34" s="704" t="s">
        <v>14</v>
      </c>
      <c r="W34" s="705">
        <f t="shared" si="14"/>
        <v>100</v>
      </c>
      <c r="X34" s="1353"/>
      <c r="Y34" s="3692"/>
      <c r="Z34" s="1354" t="str">
        <f t="shared" si="15"/>
        <v>建筑结构</v>
      </c>
      <c r="AA34" s="1351">
        <f t="shared" si="3"/>
        <v>1</v>
      </c>
      <c r="AB34" s="1351">
        <f t="shared" si="4"/>
        <v>1</v>
      </c>
      <c r="AC34" s="1351">
        <f t="shared" si="5"/>
        <v>1</v>
      </c>
    </row>
    <row r="35" spans="1:29" ht="15">
      <c r="A35" s="423"/>
      <c r="B35" s="375" t="s">
        <v>1785</v>
      </c>
      <c r="C35" s="1904" t="s">
        <v>3432</v>
      </c>
      <c r="D35" s="386">
        <v>100</v>
      </c>
      <c r="E35" s="1904" t="s">
        <v>3432</v>
      </c>
      <c r="F35" s="412">
        <f>SUMIF(107:107,E35,108:108)-SUMIF(107:107,C35,108:108)+100</f>
        <v>100</v>
      </c>
      <c r="G35" s="1904" t="s">
        <v>3432</v>
      </c>
      <c r="H35" s="386">
        <f>SUMIF(107:107,G35,108:108)-SUMIF(107:107,C35,108:108)+100</f>
        <v>100</v>
      </c>
      <c r="I35" s="1904" t="s">
        <v>3432</v>
      </c>
      <c r="J35" s="386">
        <f>SUMIF(107:107,I35,108:108)-SUMIF(107:107,C35,108:108)+100</f>
        <v>100</v>
      </c>
      <c r="K35" s="561">
        <v>2</v>
      </c>
      <c r="L35" s="2720"/>
      <c r="M35" s="2714"/>
      <c r="N35" s="2714"/>
      <c r="O35" s="2714"/>
      <c r="P35" s="3690"/>
      <c r="Q35" s="1350" t="str">
        <f t="shared" si="11"/>
        <v>公共部分装修</v>
      </c>
      <c r="R35" s="704" t="s">
        <v>14</v>
      </c>
      <c r="S35" s="705">
        <f t="shared" si="12"/>
        <v>100</v>
      </c>
      <c r="T35" s="704" t="s">
        <v>14</v>
      </c>
      <c r="U35" s="705">
        <f t="shared" si="13"/>
        <v>100</v>
      </c>
      <c r="V35" s="704" t="s">
        <v>14</v>
      </c>
      <c r="W35" s="705">
        <f t="shared" si="14"/>
        <v>100</v>
      </c>
      <c r="X35" s="1353"/>
      <c r="Y35" s="3692"/>
      <c r="Z35" s="1354" t="str">
        <f t="shared" si="15"/>
        <v>公共部分装修</v>
      </c>
      <c r="AA35" s="1351">
        <f t="shared" si="3"/>
        <v>1</v>
      </c>
      <c r="AB35" s="1351">
        <f t="shared" si="4"/>
        <v>1</v>
      </c>
      <c r="AC35" s="1351">
        <f t="shared" si="5"/>
        <v>1</v>
      </c>
    </row>
    <row r="36" spans="1:29" ht="15">
      <c r="A36" s="423"/>
      <c r="B36" s="375" t="s">
        <v>1786</v>
      </c>
      <c r="C36" s="425">
        <f>'数据-取费表'!N6</f>
        <v>0.85</v>
      </c>
      <c r="D36" s="386">
        <v>100</v>
      </c>
      <c r="E36" s="3457">
        <f>ROUND(1-(1-0)*(2024-2014)/60,2)</f>
        <v>0.83</v>
      </c>
      <c r="F36" s="412">
        <f>LOOKUP(E36,110:110,111:111)-LOOKUP(C36,110:110,111:111)+100</f>
        <v>100</v>
      </c>
      <c r="G36" s="3457">
        <f>ROUND(1-(1-0)*(2024-2014)/60,2)</f>
        <v>0.83</v>
      </c>
      <c r="H36" s="412">
        <f>LOOKUP(G36,110:110,111:111)-LOOKUP(C36,110:110,111:111)+100</f>
        <v>100</v>
      </c>
      <c r="I36" s="3457">
        <f>ROUND(1-(1-0)*(2024-2006)/60,2)</f>
        <v>0.7</v>
      </c>
      <c r="J36" s="386">
        <f>LOOKUP(I36,110:110,111:111)-LOOKUP(C36,110:110,111:111)+100</f>
        <v>99</v>
      </c>
      <c r="K36" s="561">
        <v>1</v>
      </c>
      <c r="L36" s="2720"/>
      <c r="M36" s="2714"/>
      <c r="N36" s="2714"/>
      <c r="O36" s="2714"/>
      <c r="P36" s="3690"/>
      <c r="Q36" s="1350" t="str">
        <f t="shared" si="11"/>
        <v>成新度</v>
      </c>
      <c r="R36" s="704" t="s">
        <v>14</v>
      </c>
      <c r="S36" s="705">
        <f t="shared" si="12"/>
        <v>100</v>
      </c>
      <c r="T36" s="704" t="s">
        <v>14</v>
      </c>
      <c r="U36" s="705">
        <f t="shared" si="13"/>
        <v>100</v>
      </c>
      <c r="V36" s="704" t="s">
        <v>14</v>
      </c>
      <c r="W36" s="705">
        <f t="shared" si="14"/>
        <v>99</v>
      </c>
      <c r="X36" s="1353"/>
      <c r="Y36" s="3692"/>
      <c r="Z36" s="1354" t="str">
        <f t="shared" si="15"/>
        <v>成新度</v>
      </c>
      <c r="AA36" s="1351">
        <f t="shared" si="3"/>
        <v>1</v>
      </c>
      <c r="AB36" s="1351">
        <f t="shared" si="4"/>
        <v>1</v>
      </c>
      <c r="AC36" s="1351">
        <f t="shared" si="5"/>
        <v>1.0101010101010102</v>
      </c>
    </row>
    <row r="37" spans="1:29" s="108" customFormat="1" ht="15">
      <c r="A37" s="424"/>
      <c r="B37" s="375" t="s">
        <v>1787</v>
      </c>
      <c r="C37" s="1904" t="s">
        <v>3410</v>
      </c>
      <c r="D37" s="127">
        <v>100</v>
      </c>
      <c r="E37" s="1904" t="s">
        <v>3410</v>
      </c>
      <c r="F37" s="412">
        <f>SUMIF(112:112,E37,113:113)-SUMIF(112:112,C37,113:113)+100</f>
        <v>100</v>
      </c>
      <c r="G37" s="1904" t="s">
        <v>3410</v>
      </c>
      <c r="H37" s="386">
        <f>SUMIF(112:112,G37,113:113)-SUMIF(112:112,C37,113:113)+100</f>
        <v>100</v>
      </c>
      <c r="I37" s="1904" t="s">
        <v>3410</v>
      </c>
      <c r="J37" s="386">
        <f>SUMIF(112:112,I37,113:113)-SUMIF(112:112,C37,113:113)+100</f>
        <v>100</v>
      </c>
      <c r="K37" s="561">
        <v>1</v>
      </c>
      <c r="L37" s="2715"/>
      <c r="M37" s="2716"/>
      <c r="N37" s="2716"/>
      <c r="O37" s="2716"/>
      <c r="P37" s="3690"/>
      <c r="Q37" s="1341" t="str">
        <f t="shared" si="11"/>
        <v>市政基础设施</v>
      </c>
      <c r="R37" s="700" t="s">
        <v>14</v>
      </c>
      <c r="S37" s="701">
        <f t="shared" si="12"/>
        <v>100</v>
      </c>
      <c r="T37" s="700" t="s">
        <v>14</v>
      </c>
      <c r="U37" s="701">
        <f t="shared" si="13"/>
        <v>100</v>
      </c>
      <c r="V37" s="700" t="s">
        <v>14</v>
      </c>
      <c r="W37" s="701">
        <f t="shared" si="14"/>
        <v>100</v>
      </c>
      <c r="X37" s="702"/>
      <c r="Y37" s="3692"/>
      <c r="Z37" s="52" t="str">
        <f t="shared" si="15"/>
        <v>市政基础设施</v>
      </c>
      <c r="AA37" s="703">
        <f t="shared" si="3"/>
        <v>1</v>
      </c>
      <c r="AB37" s="703">
        <f t="shared" si="4"/>
        <v>1</v>
      </c>
      <c r="AC37" s="703">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90" t="s">
        <v>1696</v>
      </c>
      <c r="Q38" s="1350" t="str">
        <f t="shared" si="11"/>
        <v>业态</v>
      </c>
      <c r="R38" s="704" t="s">
        <v>14</v>
      </c>
      <c r="S38" s="705">
        <f t="shared" si="12"/>
        <v>100</v>
      </c>
      <c r="T38" s="704" t="s">
        <v>14</v>
      </c>
      <c r="U38" s="705">
        <f t="shared" si="13"/>
        <v>100</v>
      </c>
      <c r="V38" s="704" t="s">
        <v>14</v>
      </c>
      <c r="W38" s="705">
        <f t="shared" si="14"/>
        <v>100</v>
      </c>
      <c r="X38" s="1353"/>
      <c r="Y38" s="3692" t="s">
        <v>1696</v>
      </c>
      <c r="Z38" s="1354" t="str">
        <f t="shared" si="15"/>
        <v>业态</v>
      </c>
      <c r="AA38" s="1351">
        <f t="shared" si="3"/>
        <v>1</v>
      </c>
      <c r="AB38" s="1351">
        <f t="shared" si="4"/>
        <v>1</v>
      </c>
      <c r="AC38" s="1351">
        <f t="shared" si="5"/>
        <v>1</v>
      </c>
    </row>
    <row r="39" spans="1:29" ht="15">
      <c r="A39" s="423"/>
      <c r="B39" s="375" t="s">
        <v>1789</v>
      </c>
      <c r="C39" s="1904" t="s">
        <v>3440</v>
      </c>
      <c r="D39" s="386">
        <v>100</v>
      </c>
      <c r="E39" s="1904" t="s">
        <v>3438</v>
      </c>
      <c r="F39" s="412">
        <f>SUMIF(116:116,E39,117:117)-SUMIF(116:116,C39,117:117)+100</f>
        <v>95</v>
      </c>
      <c r="G39" s="1904" t="s">
        <v>3438</v>
      </c>
      <c r="H39" s="386">
        <f>SUMIF(116:116,G39,117:117)-SUMIF(116:116,C39,117:117)+100</f>
        <v>95</v>
      </c>
      <c r="I39" s="1904" t="s">
        <v>3438</v>
      </c>
      <c r="J39" s="386">
        <f>SUMIF(116:116,I39,117:117)-SUMIF(116:116,C39,117:117)+100</f>
        <v>95</v>
      </c>
      <c r="K39" s="561">
        <v>5</v>
      </c>
      <c r="L39" s="2720"/>
      <c r="M39" s="2714"/>
      <c r="N39" s="2714"/>
      <c r="O39" s="2714"/>
      <c r="P39" s="3690"/>
      <c r="Q39" s="1350" t="str">
        <f t="shared" si="11"/>
        <v>层高</v>
      </c>
      <c r="R39" s="704" t="s">
        <v>14</v>
      </c>
      <c r="S39" s="705">
        <f t="shared" si="12"/>
        <v>95</v>
      </c>
      <c r="T39" s="704" t="s">
        <v>14</v>
      </c>
      <c r="U39" s="705">
        <f t="shared" si="13"/>
        <v>95</v>
      </c>
      <c r="V39" s="704" t="s">
        <v>14</v>
      </c>
      <c r="W39" s="705">
        <f t="shared" si="14"/>
        <v>95</v>
      </c>
      <c r="X39" s="1353"/>
      <c r="Y39" s="3692"/>
      <c r="Z39" s="1354" t="str">
        <f t="shared" si="15"/>
        <v>层高</v>
      </c>
      <c r="AA39" s="1351">
        <f t="shared" si="3"/>
        <v>1.0526315789473684</v>
      </c>
      <c r="AB39" s="1351">
        <f t="shared" si="4"/>
        <v>1.0526315789473684</v>
      </c>
      <c r="AC39" s="1351">
        <f t="shared" si="5"/>
        <v>1.0526315789473684</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690"/>
      <c r="Q40" s="1350" t="str">
        <f t="shared" si="11"/>
        <v>单套建筑面积</v>
      </c>
      <c r="R40" s="704" t="s">
        <v>14</v>
      </c>
      <c r="S40" s="705">
        <f t="shared" si="12"/>
        <v>100</v>
      </c>
      <c r="T40" s="704" t="s">
        <v>14</v>
      </c>
      <c r="U40" s="705">
        <f t="shared" si="13"/>
        <v>100</v>
      </c>
      <c r="V40" s="704" t="s">
        <v>14</v>
      </c>
      <c r="W40" s="705">
        <f t="shared" si="14"/>
        <v>100</v>
      </c>
      <c r="X40" s="1353"/>
      <c r="Y40" s="3692"/>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0"/>
      <c r="Q41" s="706" t="str">
        <f t="shared" si="11"/>
        <v>进深比</v>
      </c>
      <c r="R41" s="707" t="s">
        <v>14</v>
      </c>
      <c r="S41" s="708">
        <f t="shared" si="12"/>
        <v>100</v>
      </c>
      <c r="T41" s="707" t="s">
        <v>14</v>
      </c>
      <c r="U41" s="708">
        <f t="shared" si="13"/>
        <v>100</v>
      </c>
      <c r="V41" s="707" t="s">
        <v>14</v>
      </c>
      <c r="W41" s="708">
        <f t="shared" si="14"/>
        <v>100</v>
      </c>
      <c r="X41" s="709"/>
      <c r="Y41" s="3692"/>
      <c r="Z41" s="710" t="str">
        <f t="shared" si="15"/>
        <v>进深比</v>
      </c>
      <c r="AA41" s="1351">
        <f t="shared" si="3"/>
        <v>1</v>
      </c>
      <c r="AB41" s="1351">
        <f t="shared" si="4"/>
        <v>1</v>
      </c>
      <c r="AC41" s="1351">
        <f t="shared" si="5"/>
        <v>1</v>
      </c>
    </row>
    <row r="42" spans="1:29" ht="15">
      <c r="A42" s="423"/>
      <c r="B42" s="375" t="s">
        <v>1792</v>
      </c>
      <c r="C42" s="1904" t="s">
        <v>3434</v>
      </c>
      <c r="D42" s="386">
        <v>100</v>
      </c>
      <c r="E42" s="1904" t="s">
        <v>3431</v>
      </c>
      <c r="F42" s="412">
        <f>SUMIF(122:122,E42,123:123)-SUMIF(122:122,C42,123:123)+100</f>
        <v>103</v>
      </c>
      <c r="G42" s="1904" t="s">
        <v>3433</v>
      </c>
      <c r="H42" s="386">
        <f>SUMIF(122:122,G42,123:123)-SUMIF(122:122,C42,123:123)+100</f>
        <v>101</v>
      </c>
      <c r="I42" s="1904" t="s">
        <v>3433</v>
      </c>
      <c r="J42" s="386">
        <f>SUMIF(122:122,I42,123:123)-SUMIF(122:122,C42,123:123)+100</f>
        <v>101</v>
      </c>
      <c r="K42" s="561">
        <v>1</v>
      </c>
      <c r="L42" s="2720"/>
      <c r="M42" s="2714"/>
      <c r="N42" s="2714"/>
      <c r="O42" s="2714"/>
      <c r="P42" s="3690"/>
      <c r="Q42" s="1350" t="str">
        <f t="shared" si="11"/>
        <v>内部装修</v>
      </c>
      <c r="R42" s="704" t="s">
        <v>14</v>
      </c>
      <c r="S42" s="705">
        <f t="shared" si="12"/>
        <v>103</v>
      </c>
      <c r="T42" s="704" t="s">
        <v>14</v>
      </c>
      <c r="U42" s="705">
        <f t="shared" si="13"/>
        <v>101</v>
      </c>
      <c r="V42" s="704" t="s">
        <v>14</v>
      </c>
      <c r="W42" s="705">
        <f t="shared" si="14"/>
        <v>101</v>
      </c>
      <c r="X42" s="1353"/>
      <c r="Y42" s="3692"/>
      <c r="Z42" s="1354" t="str">
        <f t="shared" si="15"/>
        <v>内部装修</v>
      </c>
      <c r="AA42" s="1351">
        <f t="shared" si="3"/>
        <v>0.970873786407767</v>
      </c>
      <c r="AB42" s="1351">
        <f t="shared" si="4"/>
        <v>0.99009900990099009</v>
      </c>
      <c r="AC42" s="1351">
        <f t="shared" si="5"/>
        <v>0.99009900990099009</v>
      </c>
    </row>
    <row r="43" spans="1:29" ht="15">
      <c r="A43" s="423"/>
      <c r="B43" s="375" t="s">
        <v>1707</v>
      </c>
      <c r="C43" s="1904" t="s">
        <v>3421</v>
      </c>
      <c r="D43" s="386">
        <v>100</v>
      </c>
      <c r="E43" s="1904" t="s">
        <v>3421</v>
      </c>
      <c r="F43" s="412">
        <f>SUMIF(124:124,E43,125:125)-SUMIF(124:124,C43,125:125)+100</f>
        <v>100</v>
      </c>
      <c r="G43" s="1904" t="s">
        <v>3421</v>
      </c>
      <c r="H43" s="386">
        <f>SUMIF(124:124,G43,125:125)-SUMIF(124:124,C43,125:125)+100</f>
        <v>100</v>
      </c>
      <c r="I43" s="1904" t="s">
        <v>3421</v>
      </c>
      <c r="J43" s="386">
        <f>SUMIF(124:124,I43,125:125)-SUMIF(124:124,C43,125:125)+100</f>
        <v>100</v>
      </c>
      <c r="K43" s="561">
        <v>2</v>
      </c>
      <c r="L43" s="2720"/>
      <c r="M43" s="2714"/>
      <c r="N43" s="2714"/>
      <c r="O43" s="2714"/>
      <c r="P43" s="3690"/>
      <c r="Q43" s="1350" t="str">
        <f t="shared" si="11"/>
        <v>内部装修维护情况</v>
      </c>
      <c r="R43" s="704" t="s">
        <v>14</v>
      </c>
      <c r="S43" s="705">
        <f t="shared" si="12"/>
        <v>100</v>
      </c>
      <c r="T43" s="704" t="s">
        <v>14</v>
      </c>
      <c r="U43" s="705">
        <f t="shared" si="13"/>
        <v>100</v>
      </c>
      <c r="V43" s="704" t="s">
        <v>14</v>
      </c>
      <c r="W43" s="705">
        <f t="shared" si="14"/>
        <v>100</v>
      </c>
      <c r="X43" s="1353"/>
      <c r="Y43" s="3692"/>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0"/>
      <c r="Q44" s="1341">
        <f t="shared" si="11"/>
        <v>111</v>
      </c>
      <c r="R44" s="700" t="s">
        <v>14</v>
      </c>
      <c r="S44" s="701">
        <f t="shared" si="12"/>
        <v>100</v>
      </c>
      <c r="T44" s="700" t="s">
        <v>14</v>
      </c>
      <c r="U44" s="701">
        <f t="shared" si="13"/>
        <v>100</v>
      </c>
      <c r="V44" s="700" t="s">
        <v>14</v>
      </c>
      <c r="W44" s="701">
        <f t="shared" si="14"/>
        <v>100</v>
      </c>
      <c r="X44" s="702"/>
      <c r="Y44" s="3692"/>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0"/>
      <c r="Q45" s="1350">
        <f t="shared" si="11"/>
        <v>111</v>
      </c>
      <c r="R45" s="704" t="s">
        <v>14</v>
      </c>
      <c r="S45" s="705">
        <f t="shared" si="12"/>
        <v>100</v>
      </c>
      <c r="T45" s="704" t="s">
        <v>14</v>
      </c>
      <c r="U45" s="705">
        <f t="shared" si="13"/>
        <v>100</v>
      </c>
      <c r="V45" s="704" t="s">
        <v>14</v>
      </c>
      <c r="W45" s="705">
        <f t="shared" si="14"/>
        <v>100</v>
      </c>
      <c r="X45" s="1353"/>
      <c r="Y45" s="3692"/>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1"/>
      <c r="Q46" s="1350">
        <f t="shared" si="11"/>
        <v>111</v>
      </c>
      <c r="R46" s="704" t="s">
        <v>14</v>
      </c>
      <c r="S46" s="705">
        <f t="shared" si="12"/>
        <v>100</v>
      </c>
      <c r="T46" s="704" t="s">
        <v>14</v>
      </c>
      <c r="U46" s="705">
        <f t="shared" si="13"/>
        <v>100</v>
      </c>
      <c r="V46" s="704" t="s">
        <v>14</v>
      </c>
      <c r="W46" s="705">
        <f t="shared" si="14"/>
        <v>100</v>
      </c>
      <c r="X46" s="1353"/>
      <c r="Y46" s="3693"/>
      <c r="Z46" s="1354">
        <f t="shared" si="15"/>
        <v>111</v>
      </c>
      <c r="AA46" s="1351">
        <f t="shared" si="3"/>
        <v>1</v>
      </c>
      <c r="AB46" s="1351">
        <f t="shared" si="4"/>
        <v>1</v>
      </c>
      <c r="AC46" s="1351">
        <f t="shared" si="5"/>
        <v>1</v>
      </c>
    </row>
    <row r="47" spans="1:29" ht="15">
      <c r="A47" s="430" t="s">
        <v>1708</v>
      </c>
      <c r="B47" s="431"/>
      <c r="C47" s="1152" t="s">
        <v>0</v>
      </c>
      <c r="D47" s="1153"/>
      <c r="E47" s="1154">
        <v>41510</v>
      </c>
      <c r="F47" s="1155"/>
      <c r="G47" s="1156">
        <v>38116</v>
      </c>
      <c r="H47" s="1157"/>
      <c r="I47" s="1154">
        <f>G47</f>
        <v>38116</v>
      </c>
      <c r="J47" s="1157"/>
      <c r="K47" s="713"/>
      <c r="L47" s="2722"/>
      <c r="M47" s="2723"/>
      <c r="N47" s="2714"/>
      <c r="O47" s="2723"/>
      <c r="P47" s="3694" t="str">
        <f>A47</f>
        <v>成交单价（元/平方米）</v>
      </c>
      <c r="Q47" s="3694"/>
      <c r="R47" s="3655">
        <f>E47</f>
        <v>41510</v>
      </c>
      <c r="S47" s="3655"/>
      <c r="T47" s="3655">
        <f>G47</f>
        <v>38116</v>
      </c>
      <c r="U47" s="3655"/>
      <c r="V47" s="3655">
        <f>I47</f>
        <v>38116</v>
      </c>
      <c r="W47" s="3655"/>
      <c r="X47" s="689"/>
      <c r="Y47" s="711"/>
      <c r="Z47" s="689"/>
      <c r="AA47" s="689"/>
      <c r="AB47" s="689"/>
      <c r="AC47" s="689"/>
    </row>
    <row r="48" spans="1:29" ht="15.75" thickBot="1">
      <c r="A48" s="437" t="s">
        <v>1793</v>
      </c>
      <c r="B48" s="438"/>
      <c r="C48" s="1158">
        <f>R49</f>
        <v>36833</v>
      </c>
      <c r="D48" s="2315" t="s">
        <v>2138</v>
      </c>
      <c r="E48" s="1159">
        <f>R48</f>
        <v>38453</v>
      </c>
      <c r="F48" s="2316"/>
      <c r="G48" s="1158">
        <f>T48</f>
        <v>36008</v>
      </c>
      <c r="H48" s="2316"/>
      <c r="I48" s="1159">
        <f>V48</f>
        <v>36038</v>
      </c>
      <c r="J48" s="2316"/>
      <c r="K48" s="2318">
        <f>F48+H48+J48</f>
        <v>0</v>
      </c>
      <c r="L48" s="2722"/>
      <c r="M48" s="2723"/>
      <c r="N48" s="2714"/>
      <c r="O48" s="2723"/>
      <c r="P48" s="3694" t="str">
        <f>A48</f>
        <v>比较价值（元/平方米）</v>
      </c>
      <c r="Q48" s="3694"/>
      <c r="R48" s="3695">
        <f>IF(F1="售价",ROUND(PRODUCT(R47,AA7:AA46),0),ROUND(PRODUCT(R47,AA7:AA46),1))</f>
        <v>38453</v>
      </c>
      <c r="S48" s="3695"/>
      <c r="T48" s="3695">
        <f>IF(F1="售价",ROUND(PRODUCT(T47,AB7:AB46),0),ROUND(PRODUCT(T47,AB7:AB46),1))</f>
        <v>36008</v>
      </c>
      <c r="U48" s="3695"/>
      <c r="V48" s="3695">
        <f>IF(F1="售价",ROUND(PRODUCT(V47,AC7:AC46),0),ROUND(PRODUCT(V47,AC7:AC46),1))</f>
        <v>36038</v>
      </c>
      <c r="W48" s="3695"/>
      <c r="X48" s="689"/>
      <c r="Y48" s="689"/>
      <c r="Z48" s="689"/>
      <c r="AA48" s="689"/>
      <c r="AB48" s="689"/>
      <c r="AC48" s="689"/>
    </row>
    <row r="49" spans="1:29" ht="15.75" thickBot="1">
      <c r="A49" s="441" t="s">
        <v>1794</v>
      </c>
      <c r="B49" s="442"/>
      <c r="C49" s="1161">
        <f>R49</f>
        <v>36833</v>
      </c>
      <c r="D49" s="1161"/>
      <c r="E49" s="1161"/>
      <c r="F49" s="1161"/>
      <c r="G49" s="1161"/>
      <c r="H49" s="1161"/>
      <c r="I49" s="1161"/>
      <c r="J49" s="1161"/>
      <c r="K49" s="714"/>
      <c r="L49" s="2722"/>
      <c r="M49" s="2723"/>
      <c r="N49" s="2714"/>
      <c r="O49" s="2723"/>
      <c r="P49" s="3696" t="str">
        <f>A49</f>
        <v>估价对象XX用房的比较价值（楼面单价，元/平方米）</v>
      </c>
      <c r="Q49" s="3697"/>
      <c r="R49" s="3698">
        <f>IF(F1="售价",ROUND(IF(D48="简单平均",AVERAGE(R48:V48),R48*F48+T48*H48+V48*J48),0),ROUND(IF(D48="简单平均",AVERAGE(R48:V48),R48*F48+T48*H48+V48*J48),1))</f>
        <v>36833</v>
      </c>
      <c r="S49" s="3698"/>
      <c r="T49" s="3698"/>
      <c r="U49" s="3698"/>
      <c r="V49" s="3698"/>
      <c r="W49" s="3698"/>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7.9499648922060739E-2</v>
      </c>
      <c r="F52" s="449" t="str">
        <f>IF(OR(E52&gt;=0.3,E52&lt;=-0.3),"超过30%","")</f>
        <v/>
      </c>
      <c r="G52" s="448">
        <f>IF(G47&lt;G48,G48/G47-1,G47/G48-1)</f>
        <v>5.8542546100866399E-2</v>
      </c>
      <c r="H52" s="449" t="str">
        <f>IF(OR(G52&gt;=0.3,G52&lt;=-0.3),"超过30%","")</f>
        <v/>
      </c>
      <c r="I52" s="448">
        <f>IF(I47&lt;I48,I48/I47-1,I47/I48-1)</f>
        <v>5.7661357456018747E-2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6.7901577427238458E-2</v>
      </c>
      <c r="F53" s="449" t="str">
        <f>IF(OR(E53&gt;=0.2,E53&lt;=-0.2),"超过20%","")</f>
        <v/>
      </c>
      <c r="G53" s="448">
        <f>IF(G48&lt;I48,I48/G48-1,G48/I48-1)</f>
        <v>8.3314818929136614E-4</v>
      </c>
      <c r="H53" s="449" t="str">
        <f>IF(OR(G53&gt;=0.2,G53&lt;=-0.2),"超过20%","")</f>
        <v/>
      </c>
      <c r="I53" s="448">
        <f>IF(I48&lt;E48,E48/I48-1,I48/E48-1)</f>
        <v>6.7012597813419061E-2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8.9043971035785541E-2</v>
      </c>
      <c r="F54" s="449" t="str">
        <f>IF(OR(E54&gt;=0.3,E54&lt;=-0.3),"超过30%","")</f>
        <v/>
      </c>
      <c r="G54" s="448">
        <f>IF(G47&lt;I47,I47/G47-1,G47/I47-1)</f>
        <v>0</v>
      </c>
      <c r="H54" s="449" t="str">
        <f>IF(OR(G54&gt;=0.3,G54&lt;=-0.3),"超过30%","")</f>
        <v/>
      </c>
      <c r="I54" s="448">
        <f>IF(I47&lt;E47,E47/I47-1,I47/E47-1)</f>
        <v>8.9043971035785541E-2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v>100</v>
      </c>
      <c r="E59" s="461">
        <v>100</v>
      </c>
      <c r="F59" s="461">
        <v>100</v>
      </c>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3398</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104</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t="s">
        <v>3453</v>
      </c>
      <c r="D65" s="3460" t="s">
        <v>3454</v>
      </c>
      <c r="E65" s="3460" t="s">
        <v>3455</v>
      </c>
      <c r="F65" s="3460" t="s">
        <v>3456</v>
      </c>
      <c r="G65" s="3460" t="s">
        <v>3457</v>
      </c>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v>100</v>
      </c>
      <c r="D66" s="485">
        <f>C66+1</f>
        <v>101</v>
      </c>
      <c r="E66" s="485">
        <f t="shared" ref="E66:G66" si="17">D66+1</f>
        <v>102</v>
      </c>
      <c r="F66" s="485">
        <f t="shared" si="17"/>
        <v>103</v>
      </c>
      <c r="G66" s="485">
        <f t="shared" si="17"/>
        <v>104</v>
      </c>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0（含）-2</v>
      </c>
      <c r="D67" s="496" t="str">
        <f t="shared" ref="D67:L67" si="18">D68&amp;"（含）"&amp;"-"&amp;E68</f>
        <v>2（含）-</v>
      </c>
      <c r="E67" s="496" t="str">
        <f t="shared" si="18"/>
        <v>（含）-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2</v>
      </c>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52" t="s">
        <v>3415</v>
      </c>
      <c r="D86" s="3452" t="s">
        <v>3416</v>
      </c>
      <c r="E86" s="3452" t="s">
        <v>3417</v>
      </c>
      <c r="F86" s="3452" t="s">
        <v>3419</v>
      </c>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52" t="s">
        <v>3420</v>
      </c>
      <c r="D88" s="3452" t="s">
        <v>3421</v>
      </c>
      <c r="E88" s="3452" t="s">
        <v>3412</v>
      </c>
      <c r="F88" s="3453" t="s">
        <v>3422</v>
      </c>
      <c r="G88" s="3452" t="s">
        <v>3423</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v>98</v>
      </c>
      <c r="E89" s="485">
        <v>96</v>
      </c>
      <c r="F89" s="485">
        <v>94</v>
      </c>
      <c r="G89" s="485">
        <v>92</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52" t="s">
        <v>3424</v>
      </c>
      <c r="D90" s="3452" t="s">
        <v>3425</v>
      </c>
      <c r="E90" s="3452" t="s">
        <v>3412</v>
      </c>
      <c r="F90" s="3452" t="s">
        <v>3426</v>
      </c>
      <c r="G90" s="3452" t="s">
        <v>3427</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2">D91-$K27</f>
        <v>94</v>
      </c>
      <c r="F91" s="493">
        <f t="shared" si="22"/>
        <v>91</v>
      </c>
      <c r="G91" s="493">
        <f t="shared" si="22"/>
        <v>88</v>
      </c>
      <c r="H91" s="493">
        <f t="shared" si="22"/>
        <v>85</v>
      </c>
      <c r="I91" s="493">
        <f t="shared" si="22"/>
        <v>82</v>
      </c>
      <c r="J91" s="493">
        <f t="shared" si="22"/>
        <v>79</v>
      </c>
      <c r="K91" s="493">
        <f t="shared" si="22"/>
        <v>76</v>
      </c>
      <c r="L91" s="493">
        <f t="shared" si="22"/>
        <v>73</v>
      </c>
      <c r="M91" s="493">
        <f t="shared" si="22"/>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v>1</v>
      </c>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54" t="s">
        <v>3430</v>
      </c>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3">C101-$K32</f>
        <v>97</v>
      </c>
      <c r="E101" s="493">
        <f t="shared" si="23"/>
        <v>94</v>
      </c>
      <c r="F101" s="493">
        <f t="shared" si="23"/>
        <v>91</v>
      </c>
      <c r="G101" s="493">
        <f t="shared" si="23"/>
        <v>88</v>
      </c>
      <c r="H101" s="493">
        <f t="shared" si="23"/>
        <v>85</v>
      </c>
      <c r="I101" s="493">
        <f t="shared" si="23"/>
        <v>82</v>
      </c>
      <c r="J101" s="493">
        <f t="shared" si="23"/>
        <v>79</v>
      </c>
      <c r="K101" s="493">
        <f t="shared" si="23"/>
        <v>76</v>
      </c>
      <c r="L101" s="493">
        <f t="shared" si="23"/>
        <v>73</v>
      </c>
      <c r="M101" s="494">
        <f t="shared" si="23"/>
        <v>70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300(含)-500</v>
      </c>
      <c r="G102" s="527" t="str">
        <f t="shared" si="24"/>
        <v>500(含)-800</v>
      </c>
      <c r="H102" s="527" t="str">
        <f t="shared" si="24"/>
        <v>800(含)-</v>
      </c>
      <c r="I102" s="527" t="str">
        <f t="shared" si="24"/>
        <v>(含)-</v>
      </c>
      <c r="J102" s="527" t="str">
        <f t="shared" si="24"/>
        <v>(含)-</v>
      </c>
      <c r="K102" s="527" t="str">
        <f t="shared" si="24"/>
        <v>(含)-</v>
      </c>
      <c r="L102" s="527" t="str">
        <f t="shared" si="24"/>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v>500</v>
      </c>
      <c r="H103" s="544">
        <v>800</v>
      </c>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H104" si="25">D104-2</f>
        <v>96</v>
      </c>
      <c r="F104" s="485">
        <f t="shared" si="25"/>
        <v>94</v>
      </c>
      <c r="G104" s="485">
        <f t="shared" si="25"/>
        <v>92</v>
      </c>
      <c r="H104" s="485">
        <f t="shared" si="25"/>
        <v>90</v>
      </c>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52" t="s">
        <v>3428</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452" t="s">
        <v>3431</v>
      </c>
      <c r="D107" s="3452" t="s">
        <v>3432</v>
      </c>
      <c r="E107" s="3452" t="s">
        <v>3433</v>
      </c>
      <c r="F107" s="3455" t="s">
        <v>3434</v>
      </c>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452" t="s">
        <v>3435</v>
      </c>
      <c r="D112" s="3452" t="s">
        <v>3436</v>
      </c>
      <c r="E112" s="3452" t="s">
        <v>3437</v>
      </c>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52" t="s">
        <v>3441</v>
      </c>
      <c r="D116" s="3452" t="s">
        <v>3439</v>
      </c>
      <c r="E116" s="3452"/>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52" t="s">
        <v>3431</v>
      </c>
      <c r="D122" s="3452" t="s">
        <v>3432</v>
      </c>
      <c r="E122" s="3452" t="s">
        <v>3433</v>
      </c>
      <c r="F122" s="3455" t="s">
        <v>3434</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v>115</v>
      </c>
      <c r="D1" s="1360" t="s">
        <v>43</v>
      </c>
      <c r="E1" s="1361" t="s">
        <v>678</v>
      </c>
      <c r="F1" s="1061">
        <f ca="1">J53</f>
        <v>18.96</v>
      </c>
      <c r="G1" s="1376">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3">
        <f ca="1">ROUND(D2/10000,4)</f>
        <v>637.19100000000003</v>
      </c>
      <c r="C2" s="1385" t="s">
        <v>879</v>
      </c>
      <c r="D2" s="1469">
        <f ca="1">C40+J29+L46</f>
        <v>6371910</v>
      </c>
      <c r="E2" s="1386" t="s">
        <v>880</v>
      </c>
      <c r="F2" s="1387"/>
      <c r="G2" s="2704"/>
      <c r="H2" s="2693"/>
      <c r="I2" s="2693"/>
      <c r="J2" s="2693"/>
      <c r="K2" s="2694"/>
      <c r="L2" s="2693"/>
      <c r="M2" s="2693"/>
    </row>
    <row r="3" spans="1:37" ht="18" customHeight="1" thickBot="1">
      <c r="A3" s="1388" t="s">
        <v>881</v>
      </c>
      <c r="B3" s="1389">
        <f ca="1">IF(ISERROR(D2/F43),0,ROUND(D2/F43,0))</f>
        <v>14043</v>
      </c>
      <c r="C3" s="1385" t="s">
        <v>882</v>
      </c>
      <c r="D3" s="1385"/>
      <c r="E3" s="1386"/>
      <c r="F3" s="1387"/>
      <c r="G3" s="2704"/>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563795</v>
      </c>
      <c r="D5" s="1362" t="s">
        <v>889</v>
      </c>
      <c r="E5" s="1070"/>
      <c r="F5" s="1071"/>
      <c r="G5" s="1382"/>
      <c r="H5" s="299">
        <v>1</v>
      </c>
      <c r="I5" s="300" t="s">
        <v>888</v>
      </c>
      <c r="J5" s="1069">
        <f ca="1">J6+J10+J12</f>
        <v>0</v>
      </c>
      <c r="K5" s="1362" t="s">
        <v>889</v>
      </c>
      <c r="L5" s="1070"/>
      <c r="M5" s="1071"/>
    </row>
    <row r="6" spans="1:37" ht="18" customHeight="1">
      <c r="A6" s="1068" t="s">
        <v>398</v>
      </c>
      <c r="B6" s="3649" t="s">
        <v>694</v>
      </c>
      <c r="C6" s="1073">
        <f ca="1">ROUND(F6*F8*F7*(1-F9),0)</f>
        <v>563091</v>
      </c>
      <c r="D6" s="155" t="s">
        <v>2106</v>
      </c>
      <c r="E6" s="302" t="s">
        <v>696</v>
      </c>
      <c r="F6" s="303">
        <f ca="1">INDIRECT("'数据-取费表'!u"&amp;$G$1)</f>
        <v>4</v>
      </c>
      <c r="G6" s="1382"/>
      <c r="H6" s="1068" t="s">
        <v>398</v>
      </c>
      <c r="I6" s="3649" t="s">
        <v>694</v>
      </c>
      <c r="J6" s="301">
        <f ca="1">ROUND(M6*M8*M7*(1-M9),0)</f>
        <v>0</v>
      </c>
      <c r="K6" s="1374" t="s">
        <v>2107</v>
      </c>
      <c r="L6" s="302" t="s">
        <v>696</v>
      </c>
      <c r="M6" s="303">
        <f ca="1">INDIRECT("'数据-取费表'!z"&amp;$G$1)</f>
        <v>0</v>
      </c>
    </row>
    <row r="7" spans="1:37" ht="18" customHeight="1">
      <c r="A7" s="1072"/>
      <c r="B7" s="3650"/>
      <c r="C7" s="1074"/>
      <c r="D7" s="307"/>
      <c r="E7" s="1075" t="s">
        <v>697</v>
      </c>
      <c r="F7" s="303">
        <f ca="1">IF(INDIRECT("'数据-取费表'!ah"&amp;$G$1)="",INDIRECT("'数据-取费表'!k"&amp;$G$1),INDIRECT("'数据-取费表'!ah"&amp;$G$1))</f>
        <v>453.74</v>
      </c>
      <c r="G7" s="1382"/>
      <c r="H7" s="304"/>
      <c r="I7" s="3650"/>
      <c r="J7" s="306"/>
      <c r="K7" s="307"/>
      <c r="L7" s="302" t="s">
        <v>697</v>
      </c>
      <c r="M7" s="303">
        <f ca="1">F7</f>
        <v>453.74</v>
      </c>
    </row>
    <row r="8" spans="1:37" ht="18" customHeight="1">
      <c r="A8" s="304"/>
      <c r="B8" s="3650"/>
      <c r="C8" s="306"/>
      <c r="D8" s="307"/>
      <c r="E8" s="302" t="s">
        <v>698</v>
      </c>
      <c r="F8" s="303">
        <f ca="1">INDIRECT("'数据-取费表'!ai"&amp;$G$1)</f>
        <v>365</v>
      </c>
      <c r="G8" s="1382"/>
      <c r="H8" s="304"/>
      <c r="I8" s="3650"/>
      <c r="J8" s="306"/>
      <c r="K8" s="307"/>
      <c r="L8" s="302" t="s">
        <v>698</v>
      </c>
      <c r="M8" s="303">
        <f ca="1">INDIRECT("'数据-取费表'!ai"&amp;$G$1)</f>
        <v>365</v>
      </c>
    </row>
    <row r="9" spans="1:37" ht="18" customHeight="1">
      <c r="A9" s="304"/>
      <c r="B9" s="3651"/>
      <c r="C9" s="306"/>
      <c r="D9" s="307"/>
      <c r="E9" s="302" t="s">
        <v>699</v>
      </c>
      <c r="F9" s="312">
        <f ca="1">INDIRECT("'数据-取费表'!w"&amp;$G$1)</f>
        <v>0.15</v>
      </c>
      <c r="G9" s="1382"/>
      <c r="H9" s="304"/>
      <c r="I9" s="3651"/>
      <c r="J9" s="306"/>
      <c r="K9" s="307"/>
      <c r="L9" s="313" t="s">
        <v>699</v>
      </c>
      <c r="M9" s="314">
        <f ca="1">INDIRECT("'数据-取费表'!ab"&amp;$G$1)</f>
        <v>0</v>
      </c>
    </row>
    <row r="10" spans="1:37" ht="18" customHeight="1">
      <c r="A10" s="1068" t="s">
        <v>402</v>
      </c>
      <c r="B10" s="1363" t="s">
        <v>700</v>
      </c>
      <c r="C10" s="316">
        <f ca="1">ROUND(IF(F10="押一",C6/12*F11,IF(F10="押二",C6/12*2*F11,IF(F10="押三",C6/12*3*F11,C11*F11))),0)</f>
        <v>704</v>
      </c>
      <c r="D10" s="1364" t="s">
        <v>2116</v>
      </c>
      <c r="E10" s="313" t="s">
        <v>701</v>
      </c>
      <c r="F10" s="1114" t="s">
        <v>3395</v>
      </c>
      <c r="G10" s="1382"/>
      <c r="H10" s="1068" t="s">
        <v>402</v>
      </c>
      <c r="I10" s="1363" t="s">
        <v>700</v>
      </c>
      <c r="J10" s="301">
        <f ca="1">ROUND(IF(M10="押一",J6/12*M11,IF(M10="押二",J6/12*2*M11,IF(M10="押三",J6/12*3*M11,J11*M11))),0)</f>
        <v>0</v>
      </c>
      <c r="K10" s="1375" t="s">
        <v>2118</v>
      </c>
      <c r="L10" s="313" t="s">
        <v>701</v>
      </c>
      <c r="M10" s="1114"/>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2313467</v>
      </c>
      <c r="D13" s="1079" t="s">
        <v>705</v>
      </c>
      <c r="E13" s="1079" t="s">
        <v>706</v>
      </c>
      <c r="F13" s="1080">
        <f ca="1">INDIRECT("'数据-取费表'!y"&amp;$G$1)</f>
        <v>0.85</v>
      </c>
      <c r="G13" s="1382"/>
      <c r="H13" s="1077">
        <v>2</v>
      </c>
      <c r="I13" s="1078" t="s">
        <v>704</v>
      </c>
      <c r="J13" s="1067">
        <f ca="1">ROUND(J14*J15,0)</f>
        <v>0</v>
      </c>
      <c r="K13" s="1085" t="s">
        <v>705</v>
      </c>
      <c r="L13" s="1390"/>
      <c r="M13" s="1391"/>
    </row>
    <row r="14" spans="1:37" ht="18" customHeight="1">
      <c r="A14" s="981" t="s">
        <v>397</v>
      </c>
      <c r="B14" s="302" t="s">
        <v>707</v>
      </c>
      <c r="C14" s="318">
        <f ca="1">ROUND(INDIRECT("'数据-取费表'!l"&amp;$G$1)*F43+'数据-取费表'!L14*INDIRECT("'数据-取费表'!S"&amp;$G$1),0)</f>
        <v>1814960</v>
      </c>
      <c r="D14" s="1343" t="s">
        <v>708</v>
      </c>
      <c r="E14" s="1340"/>
      <c r="F14" s="319"/>
      <c r="G14" s="1382"/>
      <c r="H14" s="981" t="s">
        <v>398</v>
      </c>
      <c r="I14" s="302" t="s">
        <v>709</v>
      </c>
      <c r="J14" s="21">
        <f ca="1">C29</f>
        <v>2721726</v>
      </c>
      <c r="K14" s="12"/>
      <c r="L14" s="806"/>
      <c r="M14" s="807"/>
    </row>
    <row r="15" spans="1:37" s="1395" customFormat="1" ht="18" customHeight="1" thickBot="1">
      <c r="A15" s="981" t="s">
        <v>399</v>
      </c>
      <c r="B15" s="302" t="s">
        <v>710</v>
      </c>
      <c r="C15" s="21">
        <f ca="1">ROUND(C14*F15,0)</f>
        <v>54449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19052</v>
      </c>
      <c r="K16" s="1085" t="s">
        <v>715</v>
      </c>
      <c r="L16" s="1086"/>
      <c r="M16" s="1071"/>
    </row>
    <row r="17" spans="1:37" s="1395" customFormat="1" ht="18" customHeight="1">
      <c r="A17" s="981" t="s">
        <v>681</v>
      </c>
      <c r="B17" s="302" t="s">
        <v>716</v>
      </c>
      <c r="C17" s="21">
        <f ca="1">ROUND(F17*(F43+INDIRECT("'数据-取费表'!S"&amp;$G$1)),0)</f>
        <v>90748</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36299</v>
      </c>
      <c r="D18" s="302" t="s">
        <v>711</v>
      </c>
      <c r="E18" s="302" t="s">
        <v>712</v>
      </c>
      <c r="F18" s="322">
        <f>'数据-取费表'!B36</f>
        <v>0.02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1996456</v>
      </c>
      <c r="D19" s="131" t="s">
        <v>726</v>
      </c>
      <c r="E19" s="1358"/>
      <c r="F19" s="23"/>
      <c r="G19" s="1382"/>
      <c r="H19" s="981"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customHeight="1">
      <c r="A20" s="981" t="s">
        <v>402</v>
      </c>
      <c r="B20" s="302" t="s">
        <v>728</v>
      </c>
      <c r="C20" s="21">
        <f ca="1">ROUND(C19*F20,0)</f>
        <v>39929</v>
      </c>
      <c r="D20" s="323" t="s">
        <v>729</v>
      </c>
      <c r="E20" s="302" t="s">
        <v>712</v>
      </c>
      <c r="F20" s="322">
        <f>'数据-取费表'!B37</f>
        <v>0.02</v>
      </c>
      <c r="G20" s="1394"/>
      <c r="H20" s="981"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19052</v>
      </c>
      <c r="K22" s="1342" t="s">
        <v>739</v>
      </c>
      <c r="L22" s="302" t="s">
        <v>712</v>
      </c>
      <c r="M22" s="328">
        <f ca="1">INDIRECT("'数据-取费表'!Ak"&amp;$G$1)</f>
        <v>7.0000000000000001E-3</v>
      </c>
    </row>
    <row r="23" spans="1:37" s="1395" customFormat="1" ht="18" customHeight="1">
      <c r="A23" s="981" t="s">
        <v>397</v>
      </c>
      <c r="B23" s="302" t="s">
        <v>740</v>
      </c>
      <c r="C23" s="21">
        <f ca="1">IF('数据-取费表'!B22&lt;=1,ROUND(C19*F24*F23/2,0)+ROUND(C20*F24*F23/2,0),ROUND(C19*(POWER((1+F24),F23/2)-1),0)+ROUND(C20*(POWER((1+F24),F23/2)-1),0))</f>
        <v>68219</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3.3500000000000002E-2</v>
      </c>
      <c r="G24" s="1394"/>
      <c r="H24" s="1087" t="s">
        <v>684</v>
      </c>
      <c r="I24" s="1088" t="s">
        <v>728</v>
      </c>
      <c r="J24" s="1089">
        <f ca="1">ROUND(J5*M24,0)</f>
        <v>0</v>
      </c>
      <c r="K24" s="1090" t="s">
        <v>748</v>
      </c>
      <c r="L24" s="1088" t="s">
        <v>744</v>
      </c>
      <c r="M24" s="1084">
        <f ca="1">INDIRECT("'数据-取费表'!Am"&amp;$G$1)</f>
        <v>7.0000000000000001E-3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7" t="s">
        <v>394</v>
      </c>
      <c r="I25" s="1092" t="s">
        <v>752</v>
      </c>
      <c r="J25" s="310">
        <f ca="1">J5-J16</f>
        <v>-19052</v>
      </c>
      <c r="K25" s="1093" t="s">
        <v>753</v>
      </c>
      <c r="L25" s="1094"/>
      <c r="M25" s="1095"/>
    </row>
    <row r="26" spans="1:37" ht="18" customHeight="1">
      <c r="A26" s="981" t="s">
        <v>397</v>
      </c>
      <c r="B26" s="302" t="s">
        <v>754</v>
      </c>
      <c r="C26" s="21">
        <f ca="1">ROUND((C19+C20)*F26,0)</f>
        <v>407277</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2721726</v>
      </c>
      <c r="D29" s="1090"/>
      <c r="E29" s="1088"/>
      <c r="F29" s="1091"/>
      <c r="G29" s="1394"/>
      <c r="H29" s="334" t="s">
        <v>396</v>
      </c>
      <c r="I29" s="335" t="s">
        <v>768</v>
      </c>
      <c r="J29" s="336">
        <f ca="1">ROUND(J26/(1+F40)^F41,0)</f>
        <v>0</v>
      </c>
      <c r="K29" s="337" t="s">
        <v>769</v>
      </c>
      <c r="L29" s="338"/>
      <c r="M29" s="339">
        <f ca="1">INDIRECT("'数据-取费表'!k"&amp;$G$1)</f>
        <v>453.74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119160</v>
      </c>
      <c r="D30" s="1085" t="s">
        <v>715</v>
      </c>
      <c r="E30" s="1086"/>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ROUND(IF(AND(项目基本情况!B11="自然人",项目基本情况!B10="北京市"),C6*F31/(1+'数据-取费表'!C42),C32+C33+C34),0)</f>
        <v>93848</v>
      </c>
      <c r="D31" s="1343" t="s">
        <v>720</v>
      </c>
      <c r="E31" s="1342" t="s">
        <v>770</v>
      </c>
      <c r="F31" s="2313" t="str">
        <f>IF(项目基本情况!B11="企业","——",IF(M47="住宅",IF(F6*F7*F8/12/(1+'数据-取费表'!F30)&gt;100000,4%,2.5%),IF(F6*F7*F8/12/(1+'数据-取费表'!F30)&gt;100000,12%,7%)))</f>
        <v>——</v>
      </c>
      <c r="G31" s="1382"/>
      <c r="H31" s="2806" t="s">
        <v>2307</v>
      </c>
      <c r="I31" s="1396"/>
      <c r="J31" s="1397"/>
      <c r="K31" s="2473"/>
      <c r="L31" s="2696"/>
      <c r="M31" s="2697"/>
    </row>
    <row r="32" spans="1:37" ht="18" customHeight="1">
      <c r="A32" s="981" t="s">
        <v>397</v>
      </c>
      <c r="B32" s="302" t="s">
        <v>723</v>
      </c>
      <c r="C32" s="21">
        <f ca="1">IF(项目基本情况!B11="自然人","——",ROUND(C6*F32/(1+'数据-取费表'!C42),0))</f>
        <v>29495</v>
      </c>
      <c r="D32" s="1342" t="s">
        <v>724</v>
      </c>
      <c r="E32" s="302" t="s">
        <v>712</v>
      </c>
      <c r="F32" s="331">
        <f>'数据-取费表'!B41</f>
        <v>5.5000000000000007E-2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64353</v>
      </c>
      <c r="D33" s="1368" t="s">
        <v>3337</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19052</v>
      </c>
      <c r="D36" s="1342" t="s">
        <v>771</v>
      </c>
      <c r="E36" s="302" t="s">
        <v>712</v>
      </c>
      <c r="F36" s="328">
        <f ca="1">INDIRECT("'数据-取费表'!Ak"&amp;$G$1)</f>
        <v>7.0000000000000001E-3</v>
      </c>
      <c r="G36" s="1382"/>
      <c r="H36" s="2698"/>
      <c r="I36" s="1396"/>
      <c r="J36" s="1397"/>
      <c r="K36" s="2542"/>
      <c r="L36" s="2698"/>
      <c r="M36" s="2698"/>
    </row>
    <row r="37" spans="1:18" ht="18" customHeight="1">
      <c r="A37" s="981" t="s">
        <v>437</v>
      </c>
      <c r="B37" s="302" t="s">
        <v>742</v>
      </c>
      <c r="C37" s="21">
        <f ca="1">ROUND(C13*F37,0)</f>
        <v>2313</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3947</v>
      </c>
      <c r="D38" s="1090" t="s">
        <v>748</v>
      </c>
      <c r="E38" s="1088" t="s">
        <v>744</v>
      </c>
      <c r="F38" s="1084">
        <f ca="1">INDIRECT("'数据-取费表'!Am"&amp;$G$1)</f>
        <v>7.0000000000000001E-3</v>
      </c>
      <c r="G38" s="1382"/>
      <c r="H38" s="2698"/>
      <c r="I38" s="1396"/>
      <c r="J38" s="1397"/>
      <c r="K38" s="2702"/>
      <c r="L38" s="2698"/>
      <c r="M38" s="2698"/>
    </row>
    <row r="39" spans="1:18" ht="24.6" customHeight="1" thickTop="1">
      <c r="A39" s="1077" t="s">
        <v>394</v>
      </c>
      <c r="B39" s="1092" t="s">
        <v>772</v>
      </c>
      <c r="C39" s="310">
        <f ca="1">C5-C30</f>
        <v>444635</v>
      </c>
      <c r="D39" s="1093" t="s">
        <v>773</v>
      </c>
      <c r="E39" s="1094"/>
      <c r="F39" s="1095"/>
      <c r="G39" s="1382"/>
      <c r="H39" s="2698"/>
      <c r="I39" s="1396"/>
      <c r="J39" s="1397"/>
      <c r="K39" s="2702"/>
      <c r="L39" s="2698"/>
      <c r="M39" s="2698"/>
    </row>
    <row r="40" spans="1:18" ht="18" customHeight="1">
      <c r="A40" s="299" t="s">
        <v>395</v>
      </c>
      <c r="B40" s="300" t="s">
        <v>774</v>
      </c>
      <c r="C40" s="301">
        <f ca="1">ROUND(C39*(1-((1+F42)/(1+F40))^F41)/(F40-F42),0)</f>
        <v>6003033</v>
      </c>
      <c r="D40" s="324" t="s">
        <v>758</v>
      </c>
      <c r="E40" s="302" t="s">
        <v>759</v>
      </c>
      <c r="F40" s="312">
        <f ca="1">INDIRECT("'数据-取费表'!I"&amp;$G$1)</f>
        <v>5.5E-2</v>
      </c>
      <c r="G40" s="1382"/>
      <c r="H40" s="1459">
        <f ca="1">C39/C5</f>
        <v>0.78864658253443187</v>
      </c>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18.96</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f ca="1">C6*F40</f>
        <v>30970.005000000001</v>
      </c>
      <c r="I42" s="1396"/>
      <c r="J42" s="1397"/>
      <c r="K42" s="2542"/>
      <c r="L42" s="1189"/>
      <c r="M42" s="1189"/>
    </row>
    <row r="43" spans="1:18" ht="18" customHeight="1" thickBot="1">
      <c r="A43" s="334" t="s">
        <v>396</v>
      </c>
      <c r="B43" s="335" t="s">
        <v>776</v>
      </c>
      <c r="C43" s="336">
        <f ca="1">ROUND(C40/F43,0)</f>
        <v>13230</v>
      </c>
      <c r="D43" s="337" t="s">
        <v>777</v>
      </c>
      <c r="E43" s="338" t="s">
        <v>778</v>
      </c>
      <c r="F43" s="339">
        <f ca="1">INDIRECT("'数据-取费表'!k"&amp;$G$1)</f>
        <v>453.74</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3353</v>
      </c>
      <c r="B45" s="1398"/>
      <c r="C45" s="1470">
        <f ca="1">ROUND((C68-C40)/10000,4)</f>
        <v>-625.0729</v>
      </c>
      <c r="D45" s="3430" t="s">
        <v>3354</v>
      </c>
      <c r="E45" s="1398"/>
      <c r="F45" s="1398"/>
      <c r="O45" s="1401" t="s">
        <v>808</v>
      </c>
      <c r="P45" s="1459"/>
      <c r="Q45" s="1459"/>
      <c r="R45" s="1459"/>
    </row>
    <row r="46" spans="1:18" s="1382" customFormat="1" ht="13.5" thickBot="1">
      <c r="A46" s="1402" t="s">
        <v>809</v>
      </c>
      <c r="C46" s="1403">
        <f ca="1">ROUND(C45,0)</f>
        <v>-625</v>
      </c>
      <c r="D46" s="1404" t="str">
        <f>C2</f>
        <v>万元</v>
      </c>
      <c r="I46" s="1405" t="s">
        <v>810</v>
      </c>
      <c r="J46" s="1406"/>
      <c r="K46" s="1407"/>
      <c r="L46" s="1408">
        <f ca="1">IF(M47="住宅",0,IF(L48&gt;J51,L60,J60))</f>
        <v>368877</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3396</v>
      </c>
      <c r="K47" s="1414" t="s">
        <v>816</v>
      </c>
      <c r="L47" s="1415">
        <f ca="1">INDIRECT("'数据-取费表'!d"&amp;$G$1)</f>
        <v>40</v>
      </c>
      <c r="M47" s="1378" t="str">
        <f>IF(ISNUMBER(FIND("住宅",C1)),"住宅","非住宅")</f>
        <v>非住宅</v>
      </c>
      <c r="O47" s="1416" t="s">
        <v>403</v>
      </c>
      <c r="P47" s="1417" t="s">
        <v>817</v>
      </c>
      <c r="Q47" s="1418">
        <f ca="1">C40+J29</f>
        <v>6003033</v>
      </c>
      <c r="R47" s="1418" t="s">
        <v>818</v>
      </c>
    </row>
    <row r="48" spans="1:18" s="1382" customFormat="1" ht="28.5" thickBot="1">
      <c r="A48" s="1108" t="s">
        <v>438</v>
      </c>
      <c r="B48" s="300" t="s">
        <v>692</v>
      </c>
      <c r="C48" s="1357">
        <f ca="1">C49+C53+C55</f>
        <v>0</v>
      </c>
      <c r="D48" s="1110"/>
      <c r="E48" s="1111"/>
      <c r="F48" s="961"/>
      <c r="G48" s="721"/>
      <c r="H48" s="722"/>
      <c r="I48" s="1419" t="s">
        <v>819</v>
      </c>
      <c r="J48" s="1420" t="s">
        <v>3397</v>
      </c>
      <c r="K48" s="1421" t="s">
        <v>820</v>
      </c>
      <c r="L48" s="1422">
        <f ca="1">INDIRECT("'数据-取费表'!f"&amp;$G$1)</f>
        <v>18.96</v>
      </c>
      <c r="O48" s="1416" t="s">
        <v>404</v>
      </c>
      <c r="P48" s="1417" t="s">
        <v>821</v>
      </c>
      <c r="Q48" s="1418">
        <f ca="1">J60</f>
        <v>368877</v>
      </c>
      <c r="R48" s="1418" t="s">
        <v>822</v>
      </c>
    </row>
    <row r="49" spans="1:18" s="1382" customFormat="1" ht="13.5" thickBot="1">
      <c r="A49" s="974" t="s">
        <v>439</v>
      </c>
      <c r="B49" s="1369" t="s">
        <v>779</v>
      </c>
      <c r="C49" s="1112">
        <f ca="1">ROUND(F49*F51*F50*(1-F52),0)</f>
        <v>0</v>
      </c>
      <c r="D49" s="1054" t="s">
        <v>695</v>
      </c>
      <c r="E49" s="1370" t="s">
        <v>780</v>
      </c>
      <c r="F49" s="1059"/>
      <c r="G49" s="1423"/>
      <c r="H49" s="722"/>
      <c r="I49" s="1419" t="s">
        <v>823</v>
      </c>
      <c r="J49" s="1424">
        <f>'数据-取费表'!N19</f>
        <v>2015</v>
      </c>
      <c r="K49" s="1421" t="s">
        <v>824</v>
      </c>
      <c r="L49" s="1425"/>
      <c r="O49" s="1426" t="s">
        <v>405</v>
      </c>
      <c r="P49" s="1417" t="s">
        <v>825</v>
      </c>
      <c r="Q49" s="1418">
        <f ca="1">C29</f>
        <v>2721726</v>
      </c>
      <c r="R49" s="1418" t="s">
        <v>818</v>
      </c>
    </row>
    <row r="50" spans="1:18" s="1382" customFormat="1" ht="13.5" thickBot="1">
      <c r="A50" s="975"/>
      <c r="B50" s="978"/>
      <c r="C50" s="979"/>
      <c r="D50" s="952"/>
      <c r="E50" s="1055" t="s">
        <v>697</v>
      </c>
      <c r="F50" s="1056">
        <f ca="1">F7</f>
        <v>453.74</v>
      </c>
      <c r="H50" s="722"/>
      <c r="I50" s="1419" t="s">
        <v>826</v>
      </c>
      <c r="J50" s="1427">
        <f>SUMPRODUCT((I63:I65=J47)*(J62:L62=J48)*(J63:L65))</f>
        <v>60</v>
      </c>
      <c r="K50" s="1421" t="s">
        <v>827</v>
      </c>
      <c r="L50" s="1425"/>
      <c r="M50" s="1428"/>
      <c r="O50" s="1426" t="s">
        <v>406</v>
      </c>
      <c r="P50" s="1417" t="s">
        <v>828</v>
      </c>
      <c r="Q50" s="1429">
        <f ca="1">J58</f>
        <v>0.53400000000000003</v>
      </c>
      <c r="R50" s="1418"/>
    </row>
    <row r="51" spans="1:18" s="1382" customFormat="1" ht="13.5" thickBot="1">
      <c r="A51" s="976"/>
      <c r="B51" s="978"/>
      <c r="C51" s="979"/>
      <c r="D51" s="952"/>
      <c r="E51" s="980" t="s">
        <v>698</v>
      </c>
      <c r="F51" s="303">
        <f ca="1">F8</f>
        <v>365</v>
      </c>
      <c r="I51" s="1430" t="s">
        <v>829</v>
      </c>
      <c r="J51" s="1431">
        <f>IF(J49="",J50,J49+J50-YEAR('数据-取费表'!B2))</f>
        <v>51</v>
      </c>
      <c r="K51" s="1432" t="s">
        <v>830</v>
      </c>
      <c r="L51" s="1433">
        <f ca="1">ROUND(-PV(INDIRECT("'数据-取费表'!h"&amp;$G$1),J51,(C39-C13*C76),0),0)</f>
        <v>5184288</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18.96</v>
      </c>
      <c r="R52" s="1418" t="s">
        <v>835</v>
      </c>
    </row>
    <row r="53" spans="1:18" s="1382" customFormat="1" ht="30.75" customHeight="1" thickBot="1">
      <c r="A53" s="1109" t="s">
        <v>440</v>
      </c>
      <c r="B53" s="323" t="s">
        <v>700</v>
      </c>
      <c r="C53" s="316">
        <f ca="1">ROUND(IF(F53="押一",C49/12*F11,IF(F53="押二",C49/12*2*F11,IF(F53="押三",C49/12*3*F11,C54*F11))),0)</f>
        <v>0</v>
      </c>
      <c r="D53" s="1364" t="s">
        <v>2119</v>
      </c>
      <c r="E53" s="313" t="s">
        <v>701</v>
      </c>
      <c r="F53" s="1114"/>
      <c r="I53" s="1437" t="s">
        <v>836</v>
      </c>
      <c r="J53" s="2166">
        <f ca="1">IF(M47="住宅",IF(D1="——",MAX(J51,L48),MAX(J51,L48-'数据-取费表'!B24)),IF(D1="——",MIN(J51,L48),MIN(J51,L48-'数据-取费表'!B24)))</f>
        <v>18.96</v>
      </c>
      <c r="K53" s="3647" t="s">
        <v>837</v>
      </c>
      <c r="L53" s="3648"/>
      <c r="O53" s="1416" t="s">
        <v>409</v>
      </c>
      <c r="P53" s="1417" t="s">
        <v>838</v>
      </c>
      <c r="Q53" s="1418">
        <f ca="1">Q47+Q48</f>
        <v>6371910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0.53400000000000003</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2313467</v>
      </c>
      <c r="D56" s="1445"/>
      <c r="E56" s="1446"/>
      <c r="F56" s="1438"/>
      <c r="I56" s="1447" t="s">
        <v>842</v>
      </c>
      <c r="J56" s="1448" t="s">
        <v>3449</v>
      </c>
      <c r="K56" s="1419" t="s">
        <v>843</v>
      </c>
      <c r="L56" s="1422" t="str">
        <f ca="1">IF(L48&lt;J51,"——",L48-J51)</f>
        <v>——</v>
      </c>
      <c r="O56" s="1416" t="s">
        <v>403</v>
      </c>
      <c r="P56" s="1417" t="s">
        <v>817</v>
      </c>
      <c r="Q56" s="1418">
        <f ca="1">C40+J29</f>
        <v>6003033</v>
      </c>
      <c r="R56" s="1418" t="s">
        <v>818</v>
      </c>
    </row>
    <row r="57" spans="1:18" s="1382" customFormat="1" ht="24.75" thickBot="1">
      <c r="A57" s="1449"/>
      <c r="B57" s="949" t="s">
        <v>767</v>
      </c>
      <c r="C57" s="238">
        <f ca="1">C29</f>
        <v>2721726</v>
      </c>
      <c r="D57" s="1450"/>
      <c r="E57" s="1451"/>
      <c r="F57" s="1452"/>
      <c r="I57" s="1453" t="s">
        <v>844</v>
      </c>
      <c r="J57" s="1454">
        <f ca="1">IF(OR(M47="住宅",J51&lt;L48,J56="是"),"——",J51-L48)</f>
        <v>32.04</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21365</v>
      </c>
      <c r="D58" s="959" t="s">
        <v>715</v>
      </c>
      <c r="E58" s="960"/>
      <c r="F58" s="961"/>
      <c r="I58" s="1453" t="s">
        <v>848</v>
      </c>
      <c r="J58" s="1455">
        <f ca="1">IF(J55&lt;0.4,0.4,J55)</f>
        <v>0.53400000000000003</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1453402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f ca="1">IF(OR(M47="住宅",J51&lt;L48,J56="是"),"0",ROUND(J59/(1+J52)^J53,0))</f>
        <v>368877</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0</v>
      </c>
      <c r="I62" s="1460" t="s">
        <v>858</v>
      </c>
      <c r="J62" s="1461" t="s">
        <v>859</v>
      </c>
      <c r="K62" s="1461" t="s">
        <v>860</v>
      </c>
      <c r="L62" s="1461" t="s">
        <v>861</v>
      </c>
      <c r="M62" s="1462" t="s">
        <v>862</v>
      </c>
      <c r="O62" s="1416" t="s">
        <v>409</v>
      </c>
      <c r="P62" s="1417" t="s">
        <v>863</v>
      </c>
      <c r="Q62" s="1418">
        <f ca="1">Q56+Q57</f>
        <v>6003033</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19052</v>
      </c>
      <c r="D64" s="963" t="s">
        <v>791</v>
      </c>
      <c r="E64" s="949" t="s">
        <v>783</v>
      </c>
      <c r="F64" s="328">
        <f t="shared" ca="1" si="0"/>
        <v>7.0000000000000001E-3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2313</v>
      </c>
      <c r="D65" s="963" t="s">
        <v>743</v>
      </c>
      <c r="E65" s="949" t="s">
        <v>744</v>
      </c>
      <c r="F65" s="330">
        <f t="shared" ca="1" si="0"/>
        <v>1E-3</v>
      </c>
      <c r="I65" s="1460" t="s">
        <v>867</v>
      </c>
      <c r="J65" s="1461">
        <v>40</v>
      </c>
      <c r="K65" s="1461">
        <v>30</v>
      </c>
      <c r="L65" s="1461">
        <v>50</v>
      </c>
      <c r="M65" s="1463">
        <v>0.02</v>
      </c>
      <c r="O65" s="1416" t="s">
        <v>403</v>
      </c>
      <c r="P65" s="1417" t="s">
        <v>868</v>
      </c>
      <c r="Q65" s="1418">
        <f ca="1">C40+J29</f>
        <v>6003033</v>
      </c>
      <c r="R65" s="1418" t="s">
        <v>818</v>
      </c>
    </row>
    <row r="66" spans="1:18" s="1382" customFormat="1" ht="16.5" thickBot="1">
      <c r="A66" s="981" t="s">
        <v>793</v>
      </c>
      <c r="B66" s="949" t="s">
        <v>728</v>
      </c>
      <c r="C66" s="21">
        <f ca="1">ROUND(C48*F66,0)</f>
        <v>0</v>
      </c>
      <c r="D66" s="963" t="s">
        <v>794</v>
      </c>
      <c r="E66" s="949" t="s">
        <v>712</v>
      </c>
      <c r="F66" s="312">
        <f t="shared" ca="1" si="0"/>
        <v>7.0000000000000001E-3</v>
      </c>
      <c r="O66" s="1416" t="s">
        <v>404</v>
      </c>
      <c r="P66" s="1417" t="s">
        <v>846</v>
      </c>
      <c r="Q66" s="1418">
        <f ca="1">L60</f>
        <v>0</v>
      </c>
      <c r="R66" s="1418" t="s">
        <v>869</v>
      </c>
    </row>
    <row r="67" spans="1:18" s="1382" customFormat="1" ht="16.5" thickBot="1">
      <c r="A67" s="956" t="s">
        <v>394</v>
      </c>
      <c r="B67" s="966" t="s">
        <v>752</v>
      </c>
      <c r="C67" s="316">
        <f ca="1">C48-C58</f>
        <v>-21365</v>
      </c>
      <c r="D67" s="962" t="s">
        <v>753</v>
      </c>
      <c r="E67" s="967"/>
      <c r="F67" s="968"/>
      <c r="O67" s="1426" t="s">
        <v>405</v>
      </c>
      <c r="P67" s="1417" t="s">
        <v>850</v>
      </c>
      <c r="Q67" s="1464">
        <f ca="1">L51</f>
        <v>5184288</v>
      </c>
      <c r="R67" s="1418" t="s">
        <v>870</v>
      </c>
    </row>
    <row r="68" spans="1:18" s="1382" customFormat="1" ht="16.5" thickBot="1">
      <c r="A68" s="946" t="s">
        <v>395</v>
      </c>
      <c r="B68" s="947" t="s">
        <v>774</v>
      </c>
      <c r="C68" s="301">
        <f ca="1">ROUND(C67*(1-((1+F70)/(1+F68))^F69)/(F68-F70),0)</f>
        <v>-247696</v>
      </c>
      <c r="D68" s="964" t="s">
        <v>758</v>
      </c>
      <c r="E68" s="949" t="s">
        <v>759</v>
      </c>
      <c r="F68" s="312">
        <f ca="1">F40</f>
        <v>5.5E-2</v>
      </c>
      <c r="O68" s="1426" t="s">
        <v>406</v>
      </c>
      <c r="P68" s="1465" t="s">
        <v>871</v>
      </c>
      <c r="Q68" s="1418">
        <f ca="1">ROUND(Q69-Q70*Q71,0)</f>
        <v>282692</v>
      </c>
      <c r="R68" s="1418" t="s">
        <v>414</v>
      </c>
    </row>
    <row r="69" spans="1:18" s="1382" customFormat="1" ht="13.5" thickBot="1">
      <c r="A69" s="950"/>
      <c r="B69" s="951"/>
      <c r="C69" s="306"/>
      <c r="D69" s="969" t="s">
        <v>762</v>
      </c>
      <c r="E69" s="949" t="s">
        <v>763</v>
      </c>
      <c r="F69" s="333">
        <f ca="1">F41</f>
        <v>18.96</v>
      </c>
      <c r="O69" s="1426" t="s">
        <v>411</v>
      </c>
      <c r="P69" s="1465" t="s">
        <v>872</v>
      </c>
      <c r="Q69" s="1418">
        <f ca="1">C39</f>
        <v>444635</v>
      </c>
      <c r="R69" s="1418" t="s">
        <v>818</v>
      </c>
    </row>
    <row r="70" spans="1:18" s="1382" customFormat="1" ht="13.5" thickBot="1">
      <c r="A70" s="953"/>
      <c r="B70" s="954"/>
      <c r="C70" s="310"/>
      <c r="D70" s="965"/>
      <c r="E70" s="949" t="s">
        <v>766</v>
      </c>
      <c r="F70" s="1053"/>
      <c r="O70" s="1426" t="s">
        <v>412</v>
      </c>
      <c r="P70" s="1465" t="s">
        <v>873</v>
      </c>
      <c r="Q70" s="1418">
        <f ca="1">C13</f>
        <v>2313467</v>
      </c>
      <c r="R70" s="1418" t="s">
        <v>818</v>
      </c>
    </row>
    <row r="71" spans="1:18" s="1382" customFormat="1" ht="13.5" thickBot="1">
      <c r="A71" s="970" t="s">
        <v>396</v>
      </c>
      <c r="B71" s="971" t="s">
        <v>776</v>
      </c>
      <c r="C71" s="336">
        <f ca="1">ROUND(C68/F71,0)</f>
        <v>-546</v>
      </c>
      <c r="D71" s="972" t="s">
        <v>777</v>
      </c>
      <c r="E71" s="973" t="s">
        <v>778</v>
      </c>
      <c r="F71" s="339">
        <f ca="1">F43</f>
        <v>453.74</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161943</v>
      </c>
      <c r="D75" s="1382"/>
      <c r="E75" s="1382"/>
      <c r="F75" s="1382"/>
      <c r="K75" s="1400"/>
      <c r="L75" s="1382"/>
      <c r="O75" s="1416" t="s">
        <v>409</v>
      </c>
      <c r="P75" s="1417" t="s">
        <v>838</v>
      </c>
      <c r="Q75" s="1418">
        <f ca="1">Q65+Q66</f>
        <v>6003033</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0.63600000000000001</v>
      </c>
    </row>
    <row r="80" spans="1:18">
      <c r="B80" s="340" t="s">
        <v>800</v>
      </c>
      <c r="C80" s="274">
        <f ca="1">ROUND(C75/C39,3)</f>
        <v>0.36399999999999999</v>
      </c>
    </row>
    <row r="81" spans="2:3">
      <c r="B81" s="270" t="s">
        <v>801</v>
      </c>
      <c r="C81" s="238"/>
    </row>
    <row r="82" spans="2:3">
      <c r="B82" s="273" t="s">
        <v>802</v>
      </c>
      <c r="C82" s="275">
        <f ca="1">1-C83</f>
        <v>0.61499999999999999</v>
      </c>
    </row>
    <row r="83" spans="2:3">
      <c r="B83" s="273" t="s">
        <v>803</v>
      </c>
      <c r="C83" s="274">
        <f ca="1">ROUND(C13/C40,3)</f>
        <v>0.38500000000000001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3" t="s">
        <v>2316</v>
      </c>
      <c r="B2" s="2841" t="e">
        <f>IF(D2="——",C40,C40+E2)</f>
        <v>#DIV/0!</v>
      </c>
      <c r="C2" s="2842" t="s">
        <v>2317</v>
      </c>
      <c r="D2" s="3441" t="s">
        <v>3360</v>
      </c>
      <c r="E2" s="3442"/>
      <c r="F2" s="2844"/>
      <c r="G2" s="2845"/>
      <c r="H2" s="2846"/>
      <c r="I2" s="2847"/>
      <c r="J2" s="3699" t="s">
        <v>2318</v>
      </c>
      <c r="K2" s="3700"/>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701" t="s">
        <v>2328</v>
      </c>
      <c r="K3" s="3702"/>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701" t="s">
        <v>2330</v>
      </c>
      <c r="K4" s="3702"/>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703" t="s">
        <v>2334</v>
      </c>
      <c r="B6" s="3704"/>
      <c r="C6" s="3705"/>
      <c r="D6" s="2868"/>
      <c r="E6" s="2869"/>
      <c r="F6" s="2870"/>
      <c r="G6" s="2871"/>
      <c r="H6" s="2846"/>
      <c r="I6" s="2847"/>
      <c r="J6" s="3706">
        <v>1</v>
      </c>
      <c r="K6" s="3707"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706"/>
      <c r="K7" s="3708"/>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710" t="s">
        <v>2348</v>
      </c>
      <c r="C8" s="3711"/>
      <c r="D8" s="2887" t="s">
        <v>2349</v>
      </c>
      <c r="E8" s="2888" t="s">
        <v>2350</v>
      </c>
      <c r="F8" s="2889" t="s">
        <v>2351</v>
      </c>
      <c r="G8" s="2890"/>
      <c r="H8" s="2846"/>
      <c r="I8" s="2847"/>
      <c r="J8" s="3706"/>
      <c r="K8" s="3708"/>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710" t="s">
        <v>2354</v>
      </c>
      <c r="C9" s="3711"/>
      <c r="D9" s="2887">
        <f>ROUND(D6*E9,0)</f>
        <v>0</v>
      </c>
      <c r="E9" s="2891"/>
      <c r="F9" s="2892" t="s">
        <v>2355</v>
      </c>
      <c r="G9" s="2871"/>
      <c r="H9" s="2846"/>
      <c r="I9" s="2847"/>
      <c r="J9" s="3706"/>
      <c r="K9" s="3708"/>
      <c r="L9" s="2881" t="s">
        <v>2356</v>
      </c>
      <c r="M9" s="2882"/>
      <c r="N9" s="2858"/>
      <c r="O9" s="2883"/>
      <c r="P9" s="2883"/>
      <c r="Q9" s="2884">
        <v>365</v>
      </c>
      <c r="R9" s="2885">
        <f t="shared" si="0"/>
        <v>0</v>
      </c>
      <c r="S9" s="2839"/>
      <c r="T9" s="2839"/>
      <c r="U9" s="2839"/>
      <c r="V9" s="2847"/>
    </row>
    <row r="10" spans="1:22" s="2851" customFormat="1" ht="13.15" customHeight="1">
      <c r="A10" s="2886">
        <v>2</v>
      </c>
      <c r="B10" s="3710" t="s">
        <v>2357</v>
      </c>
      <c r="C10" s="3711"/>
      <c r="D10" s="2887">
        <f>ROUND(D6*E10,0)</f>
        <v>0</v>
      </c>
      <c r="E10" s="2891"/>
      <c r="F10" s="2892" t="s">
        <v>2358</v>
      </c>
      <c r="G10" s="2871"/>
      <c r="H10" s="2846"/>
      <c r="I10" s="2847"/>
      <c r="J10" s="3706"/>
      <c r="K10" s="3708"/>
      <c r="L10" s="2881" t="s">
        <v>2359</v>
      </c>
      <c r="M10" s="2882"/>
      <c r="N10" s="2858"/>
      <c r="O10" s="2883"/>
      <c r="P10" s="2883"/>
      <c r="Q10" s="2884">
        <v>365</v>
      </c>
      <c r="R10" s="2885">
        <f t="shared" si="0"/>
        <v>0</v>
      </c>
      <c r="S10" s="2839"/>
      <c r="T10" s="2839"/>
      <c r="U10" s="2839"/>
      <c r="V10" s="2847"/>
    </row>
    <row r="11" spans="1:22" s="2851" customFormat="1" ht="13.15" customHeight="1">
      <c r="A11" s="2886">
        <v>3</v>
      </c>
      <c r="B11" s="3710" t="s">
        <v>2360</v>
      </c>
      <c r="C11" s="3711"/>
      <c r="D11" s="2887">
        <f>D12+D14+D15+D16</f>
        <v>0</v>
      </c>
      <c r="E11" s="2893" t="e">
        <f>D11/D6</f>
        <v>#DIV/0!</v>
      </c>
      <c r="F11" s="2889"/>
      <c r="G11" s="2890"/>
      <c r="H11" s="2846"/>
      <c r="I11" s="2847"/>
      <c r="J11" s="3706"/>
      <c r="K11" s="3708"/>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712" t="s">
        <v>2363</v>
      </c>
      <c r="C12" s="3713"/>
      <c r="D12" s="2895">
        <f>ROUND(D13*1.2%*(1-30%),0)</f>
        <v>0</v>
      </c>
      <c r="E12" s="2896">
        <v>1.2E-2</v>
      </c>
      <c r="F12" s="2889" t="s">
        <v>2364</v>
      </c>
      <c r="G12" s="2890"/>
      <c r="H12" s="2846"/>
      <c r="I12" s="2847"/>
      <c r="J12" s="3706"/>
      <c r="K12" s="3708"/>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706"/>
      <c r="K13" s="3708"/>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712" t="s">
        <v>2369</v>
      </c>
      <c r="C14" s="3713"/>
      <c r="D14" s="2895">
        <f>ROUND(E14*B5/10000,0)</f>
        <v>0</v>
      </c>
      <c r="E14" s="2884"/>
      <c r="F14" s="2889" t="s">
        <v>2370</v>
      </c>
      <c r="G14" s="2890"/>
      <c r="H14" s="2846"/>
      <c r="I14" s="2847"/>
      <c r="J14" s="3706"/>
      <c r="K14" s="3709"/>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712" t="s">
        <v>2373</v>
      </c>
      <c r="C15" s="3713"/>
      <c r="D15" s="2895">
        <f>ROUND(D6*E15,0)</f>
        <v>0</v>
      </c>
      <c r="E15" s="2896">
        <v>5.5E-2</v>
      </c>
      <c r="F15" s="2889" t="s">
        <v>2374</v>
      </c>
      <c r="G15" s="2871"/>
      <c r="H15" s="2846"/>
      <c r="I15" s="2847"/>
      <c r="J15" s="3706">
        <v>2</v>
      </c>
      <c r="K15" s="3707"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712" t="s">
        <v>2382</v>
      </c>
      <c r="C16" s="3713"/>
      <c r="D16" s="2906">
        <f>D6*E16</f>
        <v>0</v>
      </c>
      <c r="E16" s="2907"/>
      <c r="F16" s="2892" t="s">
        <v>2383</v>
      </c>
      <c r="G16" s="2871"/>
      <c r="H16" s="2846"/>
      <c r="I16" s="2847"/>
      <c r="J16" s="3706"/>
      <c r="K16" s="3708"/>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714" t="s">
        <v>2385</v>
      </c>
      <c r="C17" s="3715"/>
      <c r="D17" s="2909">
        <f>ROUND(D6*E17,0)</f>
        <v>0</v>
      </c>
      <c r="E17" s="2910"/>
      <c r="F17" s="2911" t="s">
        <v>2386</v>
      </c>
      <c r="G17" s="2871"/>
      <c r="H17" s="2846"/>
      <c r="I17" s="2847"/>
      <c r="J17" s="3706"/>
      <c r="K17" s="3708"/>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706"/>
      <c r="K18" s="3708"/>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706"/>
      <c r="K19" s="3709"/>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6">
        <v>3</v>
      </c>
      <c r="K20" s="3707"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706"/>
      <c r="K21" s="3708"/>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706"/>
      <c r="K22" s="3708"/>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706"/>
      <c r="K23" s="3708"/>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706"/>
      <c r="K24" s="3709"/>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716">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71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699" t="s">
        <v>2318</v>
      </c>
      <c r="K32" s="3700"/>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701" t="s">
        <v>2328</v>
      </c>
      <c r="K33" s="3702"/>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701" t="s">
        <v>2330</v>
      </c>
      <c r="K34" s="370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706">
        <v>1</v>
      </c>
      <c r="K36" s="3707"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706"/>
      <c r="K37" s="3708"/>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6"/>
      <c r="K38" s="3708"/>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706"/>
      <c r="K39" s="3708"/>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706"/>
      <c r="K40" s="3709"/>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6">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71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637.19100000000003</v>
      </c>
      <c r="C2" s="1870" t="s">
        <v>1651</v>
      </c>
      <c r="D2" s="1871" t="s">
        <v>1652</v>
      </c>
      <c r="E2" s="2605">
        <f>SUM(E6:E13)</f>
        <v>453.74</v>
      </c>
      <c r="F2" s="2705"/>
      <c r="G2" s="1487"/>
      <c r="H2" s="1487"/>
      <c r="I2" s="1487"/>
      <c r="J2" s="1487"/>
      <c r="K2" s="1487"/>
      <c r="L2" s="1487"/>
      <c r="M2" s="1487"/>
      <c r="N2" s="1487"/>
      <c r="O2" s="1487"/>
      <c r="P2" s="1487"/>
      <c r="Q2" s="1487"/>
      <c r="R2" s="1487"/>
      <c r="S2" s="1487"/>
    </row>
    <row r="3" spans="1:22" ht="15.75">
      <c r="A3" s="1868" t="s">
        <v>686</v>
      </c>
      <c r="B3" s="2599">
        <f ca="1">ROUND(B2*10000/E2,0)</f>
        <v>14043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18" t="s">
        <v>1654</v>
      </c>
      <c r="C5" s="3719"/>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637.19100000000003</v>
      </c>
      <c r="C6" s="1870" t="s">
        <v>1651</v>
      </c>
      <c r="D6" s="2707"/>
      <c r="E6" s="2604">
        <f>IF(OR(A6=0,F6="否"),0,'数据-取费表'!K6+'数据-取费表'!S6)</f>
        <v>453.74</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6"/>
      <c r="H2" s="906"/>
      <c r="I2" s="906"/>
      <c r="J2" s="906"/>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453.74</v>
      </c>
      <c r="E3" s="906"/>
      <c r="F3" s="1886"/>
      <c r="G3" s="906"/>
      <c r="H3" s="906"/>
      <c r="I3" s="906"/>
      <c r="J3" s="906"/>
      <c r="K3" s="1882"/>
      <c r="L3" s="2711"/>
      <c r="M3" s="2712"/>
      <c r="N3" s="2712"/>
      <c r="O3" s="2712"/>
      <c r="P3" s="1883"/>
      <c r="Q3" s="1884"/>
      <c r="R3" s="1884"/>
      <c r="S3" s="1884"/>
      <c r="T3" s="1884"/>
      <c r="U3" s="1884"/>
      <c r="V3" s="1884"/>
      <c r="W3" s="1884"/>
      <c r="X3" s="1884"/>
      <c r="Y3" s="1884"/>
      <c r="Z3" s="1884"/>
      <c r="AA3" s="1884"/>
      <c r="AB3" s="1884"/>
      <c r="AC3" s="1060"/>
    </row>
    <row r="4" spans="1:29" ht="15">
      <c r="A4" s="355" t="s">
        <v>1666</v>
      </c>
      <c r="B4" s="356"/>
      <c r="C4" s="3672" t="s">
        <v>1667</v>
      </c>
      <c r="D4" s="3673"/>
      <c r="E4" s="3674" t="s">
        <v>1668</v>
      </c>
      <c r="F4" s="3675"/>
      <c r="G4" s="3672" t="s">
        <v>1669</v>
      </c>
      <c r="H4" s="3673"/>
      <c r="I4" s="3672" t="s">
        <v>1670</v>
      </c>
      <c r="J4" s="3673"/>
      <c r="K4" s="1887" t="s">
        <v>1671</v>
      </c>
      <c r="L4" s="2713"/>
      <c r="M4" s="2714"/>
      <c r="N4" s="2714"/>
      <c r="O4" s="2714"/>
      <c r="P4" s="3676" t="s">
        <v>1672</v>
      </c>
      <c r="Q4" s="3677"/>
      <c r="R4" s="3658" t="s">
        <v>1668</v>
      </c>
      <c r="S4" s="3659"/>
      <c r="T4" s="3658" t="s">
        <v>1669</v>
      </c>
      <c r="U4" s="3659"/>
      <c r="V4" s="3655" t="s">
        <v>1670</v>
      </c>
      <c r="W4" s="3655"/>
      <c r="X4" s="1353"/>
      <c r="Y4" s="3658" t="s">
        <v>1672</v>
      </c>
      <c r="Z4" s="3659"/>
      <c r="AA4" s="3652" t="s">
        <v>1668</v>
      </c>
      <c r="AB4" s="3652" t="s">
        <v>1669</v>
      </c>
      <c r="AC4" s="3652" t="s">
        <v>1670</v>
      </c>
    </row>
    <row r="5" spans="1:29" ht="15">
      <c r="A5" s="358"/>
      <c r="B5" s="359"/>
      <c r="C5" s="3664" t="s">
        <v>1673</v>
      </c>
      <c r="D5" s="3665"/>
      <c r="E5" s="3720" t="s">
        <v>1674</v>
      </c>
      <c r="F5" s="3663"/>
      <c r="G5" s="3664" t="s">
        <v>1675</v>
      </c>
      <c r="H5" s="3665"/>
      <c r="I5" s="3664" t="s">
        <v>1676</v>
      </c>
      <c r="J5" s="3665"/>
      <c r="K5" s="1888"/>
      <c r="L5" s="2713"/>
      <c r="M5" s="2714"/>
      <c r="N5" s="2714"/>
      <c r="O5" s="2714"/>
      <c r="P5" s="3678"/>
      <c r="Q5" s="3679"/>
      <c r="R5" s="3660"/>
      <c r="S5" s="3661"/>
      <c r="T5" s="3660"/>
      <c r="U5" s="3661"/>
      <c r="V5" s="3655"/>
      <c r="W5" s="3655"/>
      <c r="X5" s="1353"/>
      <c r="Y5" s="3660"/>
      <c r="Z5" s="3661"/>
      <c r="AA5" s="3653"/>
      <c r="AB5" s="3653"/>
      <c r="AC5" s="3653"/>
    </row>
    <row r="6" spans="1:29" ht="15.75" thickBot="1">
      <c r="A6" s="360"/>
      <c r="B6" s="361"/>
      <c r="C6" s="3666" t="s">
        <v>1677</v>
      </c>
      <c r="D6" s="3667"/>
      <c r="E6" s="3669" t="s">
        <v>1677</v>
      </c>
      <c r="F6" s="3670"/>
      <c r="G6" s="3666" t="s">
        <v>1677</v>
      </c>
      <c r="H6" s="3667"/>
      <c r="I6" s="3666" t="s">
        <v>1677</v>
      </c>
      <c r="J6" s="3667"/>
      <c r="K6" s="1888" t="s">
        <v>1678</v>
      </c>
      <c r="L6" s="2713"/>
      <c r="M6" s="2714"/>
      <c r="N6" s="2714"/>
      <c r="O6" s="2714"/>
      <c r="P6" s="3680"/>
      <c r="Q6" s="3681"/>
      <c r="R6" s="3660"/>
      <c r="S6" s="3661"/>
      <c r="T6" s="3682"/>
      <c r="U6" s="3683"/>
      <c r="V6" s="3655"/>
      <c r="W6" s="3655"/>
      <c r="X6" s="1353"/>
      <c r="Y6" s="3682"/>
      <c r="Z6" s="3683"/>
      <c r="AA6" s="3654"/>
      <c r="AB6" s="3654"/>
      <c r="AC6" s="3654"/>
    </row>
    <row r="7" spans="1:29" s="108" customFormat="1" ht="15.75" thickBot="1">
      <c r="A7" s="362" t="s">
        <v>1679</v>
      </c>
      <c r="B7" s="363"/>
      <c r="C7" s="364">
        <f>'数据-取费表'!B2</f>
        <v>45504</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56" t="s">
        <v>1680</v>
      </c>
      <c r="Q7" s="3684"/>
      <c r="R7" s="700" t="s">
        <v>20</v>
      </c>
      <c r="S7" s="701">
        <f t="shared" ref="S7:S15" si="0">F7</f>
        <v>0</v>
      </c>
      <c r="T7" s="700" t="s">
        <v>20</v>
      </c>
      <c r="U7" s="701">
        <f t="shared" ref="U7:U15" si="1">H7</f>
        <v>0</v>
      </c>
      <c r="V7" s="700" t="s">
        <v>20</v>
      </c>
      <c r="W7" s="701">
        <f t="shared" ref="W7:W15"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56" t="s">
        <v>1683</v>
      </c>
      <c r="Q8" s="3657"/>
      <c r="R8" s="700" t="s">
        <v>20</v>
      </c>
      <c r="S8" s="701">
        <f t="shared" si="0"/>
        <v>100</v>
      </c>
      <c r="T8" s="700" t="s">
        <v>20</v>
      </c>
      <c r="U8" s="701">
        <f t="shared" si="1"/>
        <v>100</v>
      </c>
      <c r="V8" s="700" t="s">
        <v>20</v>
      </c>
      <c r="W8" s="701">
        <f t="shared" si="2"/>
        <v>100</v>
      </c>
      <c r="X8" s="702"/>
      <c r="Y8" s="3656" t="s">
        <v>1683</v>
      </c>
      <c r="Z8" s="3657"/>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1" t="s">
        <v>1686</v>
      </c>
      <c r="Q9" s="1341" t="str">
        <f t="shared" ref="Q9:Q15" si="6">B9</f>
        <v>用途</v>
      </c>
      <c r="R9" s="700" t="s">
        <v>14</v>
      </c>
      <c r="S9" s="701">
        <f t="shared" si="0"/>
        <v>100</v>
      </c>
      <c r="T9" s="700" t="s">
        <v>14</v>
      </c>
      <c r="U9" s="701">
        <f t="shared" si="1"/>
        <v>100</v>
      </c>
      <c r="V9" s="700" t="s">
        <v>14</v>
      </c>
      <c r="W9" s="701">
        <f t="shared" si="2"/>
        <v>100</v>
      </c>
      <c r="X9" s="702"/>
      <c r="Y9" s="3620"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1"/>
      <c r="Q10" s="1341" t="str">
        <f t="shared" si="6"/>
        <v>土地使用年限（年）</v>
      </c>
      <c r="R10" s="700" t="s">
        <v>14</v>
      </c>
      <c r="S10" s="701">
        <f t="shared" si="0"/>
        <v>100</v>
      </c>
      <c r="T10" s="700" t="s">
        <v>14</v>
      </c>
      <c r="U10" s="701">
        <f t="shared" si="1"/>
        <v>100</v>
      </c>
      <c r="V10" s="700" t="s">
        <v>14</v>
      </c>
      <c r="W10" s="701">
        <f t="shared" si="2"/>
        <v>100</v>
      </c>
      <c r="X10" s="702"/>
      <c r="Y10" s="3620"/>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1"/>
      <c r="Q11" s="1341" t="str">
        <f t="shared" si="6"/>
        <v>容积率</v>
      </c>
      <c r="R11" s="700" t="s">
        <v>18</v>
      </c>
      <c r="S11" s="701" t="e">
        <f t="shared" si="0"/>
        <v>#N/A</v>
      </c>
      <c r="T11" s="700" t="s">
        <v>18</v>
      </c>
      <c r="U11" s="701" t="e">
        <f t="shared" si="1"/>
        <v>#N/A</v>
      </c>
      <c r="V11" s="700" t="s">
        <v>18</v>
      </c>
      <c r="W11" s="701" t="e">
        <f t="shared" si="2"/>
        <v>#N/A</v>
      </c>
      <c r="X11" s="702"/>
      <c r="Y11" s="3620"/>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1"/>
      <c r="Q12" s="1341">
        <f t="shared" si="6"/>
        <v>111</v>
      </c>
      <c r="R12" s="700" t="s">
        <v>18</v>
      </c>
      <c r="S12" s="701">
        <f t="shared" si="0"/>
        <v>100</v>
      </c>
      <c r="T12" s="700" t="s">
        <v>18</v>
      </c>
      <c r="U12" s="701">
        <f t="shared" si="1"/>
        <v>100</v>
      </c>
      <c r="V12" s="700" t="s">
        <v>18</v>
      </c>
      <c r="W12" s="701">
        <f t="shared" si="2"/>
        <v>100</v>
      </c>
      <c r="X12" s="702"/>
      <c r="Y12" s="3620"/>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1"/>
      <c r="Q13" s="1341">
        <f t="shared" si="6"/>
        <v>111</v>
      </c>
      <c r="R13" s="700" t="s">
        <v>18</v>
      </c>
      <c r="S13" s="701">
        <f t="shared" si="0"/>
        <v>100</v>
      </c>
      <c r="T13" s="700" t="s">
        <v>18</v>
      </c>
      <c r="U13" s="701">
        <f t="shared" si="1"/>
        <v>100</v>
      </c>
      <c r="V13" s="700" t="s">
        <v>18</v>
      </c>
      <c r="W13" s="701">
        <f t="shared" si="2"/>
        <v>100</v>
      </c>
      <c r="X13" s="702"/>
      <c r="Y13" s="3620"/>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1"/>
      <c r="Q14" s="1341">
        <f t="shared" si="6"/>
        <v>111</v>
      </c>
      <c r="R14" s="700" t="s">
        <v>18</v>
      </c>
      <c r="S14" s="701">
        <f t="shared" si="0"/>
        <v>100</v>
      </c>
      <c r="T14" s="700" t="s">
        <v>18</v>
      </c>
      <c r="U14" s="701">
        <f t="shared" si="1"/>
        <v>100</v>
      </c>
      <c r="V14" s="700" t="s">
        <v>18</v>
      </c>
      <c r="W14" s="701">
        <f t="shared" si="2"/>
        <v>100</v>
      </c>
      <c r="X14" s="702"/>
      <c r="Y14" s="3620"/>
      <c r="Z14" s="52">
        <f t="shared" si="7"/>
        <v>111</v>
      </c>
      <c r="AA14" s="703">
        <f t="shared" si="3"/>
        <v>1</v>
      </c>
      <c r="AB14" s="703">
        <f t="shared" si="4"/>
        <v>1</v>
      </c>
      <c r="AC14" s="703">
        <f t="shared" si="5"/>
        <v>1</v>
      </c>
    </row>
    <row r="15" spans="1:29" ht="15">
      <c r="A15" s="391" t="s">
        <v>1690</v>
      </c>
      <c r="B15" s="61" t="s">
        <v>1257</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5" t="s">
        <v>1691</v>
      </c>
      <c r="Q15" s="1350" t="str">
        <f t="shared" si="6"/>
        <v>居住社区成熟度</v>
      </c>
      <c r="R15" s="704" t="s">
        <v>18</v>
      </c>
      <c r="S15" s="705">
        <f t="shared" si="0"/>
        <v>100</v>
      </c>
      <c r="T15" s="704" t="s">
        <v>18</v>
      </c>
      <c r="U15" s="705">
        <f t="shared" si="1"/>
        <v>100</v>
      </c>
      <c r="V15" s="704" t="s">
        <v>18</v>
      </c>
      <c r="W15" s="705">
        <f t="shared" si="2"/>
        <v>100</v>
      </c>
      <c r="X15" s="1353"/>
      <c r="Y15" s="3687"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86"/>
      <c r="Q16" s="1350"/>
      <c r="R16" s="704"/>
      <c r="S16" s="705"/>
      <c r="T16" s="704"/>
      <c r="U16" s="705"/>
      <c r="V16" s="704"/>
      <c r="W16" s="705"/>
      <c r="X16" s="1353"/>
      <c r="Y16" s="3688"/>
      <c r="Z16" s="1354"/>
      <c r="AA16" s="1351">
        <v>1</v>
      </c>
      <c r="AB16" s="1351">
        <v>1</v>
      </c>
      <c r="AC16" s="1351">
        <v>1</v>
      </c>
    </row>
    <row r="17" spans="1:29" ht="85.5">
      <c r="A17" s="379"/>
      <c r="B17" s="402" t="s">
        <v>1259</v>
      </c>
      <c r="C17" s="1898" t="str">
        <f>估价对象房地状况!C6</f>
        <v>估价对象周边道路状况、公共交通通达情况915、918、955等、停车便捷程度，综合评价交通便捷度一般</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6"/>
      <c r="Q17" s="1350" t="str">
        <f>B17</f>
        <v>交通便捷度</v>
      </c>
      <c r="R17" s="704" t="s">
        <v>18</v>
      </c>
      <c r="S17" s="705">
        <f>F17</f>
        <v>100</v>
      </c>
      <c r="T17" s="704" t="s">
        <v>18</v>
      </c>
      <c r="U17" s="705">
        <f>H17</f>
        <v>100</v>
      </c>
      <c r="V17" s="704" t="s">
        <v>18</v>
      </c>
      <c r="W17" s="705">
        <f>J17</f>
        <v>100</v>
      </c>
      <c r="X17" s="1353"/>
      <c r="Y17" s="3688"/>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86"/>
      <c r="Q18" s="1350"/>
      <c r="R18" s="704"/>
      <c r="S18" s="705"/>
      <c r="T18" s="704"/>
      <c r="U18" s="705"/>
      <c r="V18" s="704"/>
      <c r="W18" s="705"/>
      <c r="X18" s="1353"/>
      <c r="Y18" s="3688"/>
      <c r="Z18" s="1354"/>
      <c r="AA18" s="1351">
        <v>1</v>
      </c>
      <c r="AB18" s="1351">
        <v>1</v>
      </c>
      <c r="AC18" s="1351">
        <v>1</v>
      </c>
    </row>
    <row r="19" spans="1:29" ht="42.75">
      <c r="A19" s="379"/>
      <c r="B19" s="402" t="s">
        <v>1258</v>
      </c>
      <c r="C19" s="1898" t="str">
        <f>估价对象房地状况!C7</f>
        <v>估价对象所在区域公共配套设施齐备情况一般</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6"/>
      <c r="Q19" s="1350" t="str">
        <f>B19</f>
        <v>公共配套设施</v>
      </c>
      <c r="R19" s="704" t="s">
        <v>18</v>
      </c>
      <c r="S19" s="705">
        <f>F19</f>
        <v>100</v>
      </c>
      <c r="T19" s="704" t="s">
        <v>18</v>
      </c>
      <c r="U19" s="705">
        <f>H19</f>
        <v>100</v>
      </c>
      <c r="V19" s="704" t="s">
        <v>18</v>
      </c>
      <c r="W19" s="705">
        <f>J19</f>
        <v>100</v>
      </c>
      <c r="X19" s="1353"/>
      <c r="Y19" s="3688"/>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86"/>
      <c r="Q20" s="1350"/>
      <c r="R20" s="704"/>
      <c r="S20" s="705"/>
      <c r="T20" s="704"/>
      <c r="U20" s="705"/>
      <c r="V20" s="704"/>
      <c r="W20" s="705"/>
      <c r="X20" s="1353"/>
      <c r="Y20" s="3688"/>
      <c r="Z20" s="1354"/>
      <c r="AA20" s="1351">
        <v>1</v>
      </c>
      <c r="AB20" s="1351">
        <v>1</v>
      </c>
      <c r="AC20" s="1351">
        <v>1</v>
      </c>
    </row>
    <row r="21" spans="1:29" ht="15">
      <c r="A21" s="379"/>
      <c r="B21" s="1129" t="s">
        <v>1260</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6"/>
      <c r="Q21" s="1350" t="str">
        <f>B21</f>
        <v>基础设施水平</v>
      </c>
      <c r="R21" s="704" t="s">
        <v>14</v>
      </c>
      <c r="S21" s="705">
        <f>F21</f>
        <v>100</v>
      </c>
      <c r="T21" s="704" t="s">
        <v>14</v>
      </c>
      <c r="U21" s="705">
        <f>H21</f>
        <v>100</v>
      </c>
      <c r="V21" s="704" t="s">
        <v>14</v>
      </c>
      <c r="W21" s="705">
        <f>J21</f>
        <v>100</v>
      </c>
      <c r="X21" s="1353"/>
      <c r="Y21" s="368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86"/>
      <c r="Q22" s="1350"/>
      <c r="R22" s="704"/>
      <c r="S22" s="705"/>
      <c r="T22" s="704"/>
      <c r="U22" s="705"/>
      <c r="V22" s="704"/>
      <c r="W22" s="705"/>
      <c r="X22" s="1353"/>
      <c r="Y22" s="3688"/>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6"/>
      <c r="Q23" s="1350" t="str">
        <f>B23</f>
        <v>自然及人文环境</v>
      </c>
      <c r="R23" s="704" t="s">
        <v>18</v>
      </c>
      <c r="S23" s="705">
        <f>F23</f>
        <v>100</v>
      </c>
      <c r="T23" s="704" t="s">
        <v>18</v>
      </c>
      <c r="U23" s="705">
        <f>H23</f>
        <v>100</v>
      </c>
      <c r="V23" s="704" t="s">
        <v>18</v>
      </c>
      <c r="W23" s="705">
        <f>J23</f>
        <v>100</v>
      </c>
      <c r="X23" s="1353"/>
      <c r="Y23" s="3688"/>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86"/>
      <c r="Q24" s="1350"/>
      <c r="R24" s="704"/>
      <c r="S24" s="705"/>
      <c r="T24" s="704"/>
      <c r="U24" s="705"/>
      <c r="V24" s="704"/>
      <c r="W24" s="705"/>
      <c r="X24" s="1353"/>
      <c r="Y24" s="3688"/>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86"/>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688"/>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86"/>
      <c r="Q26" s="1350" t="str">
        <f t="shared" si="11"/>
        <v>朝向</v>
      </c>
      <c r="R26" s="704" t="s">
        <v>18</v>
      </c>
      <c r="S26" s="705">
        <f t="shared" si="12"/>
        <v>100</v>
      </c>
      <c r="T26" s="704" t="s">
        <v>18</v>
      </c>
      <c r="U26" s="705">
        <f t="shared" si="13"/>
        <v>100</v>
      </c>
      <c r="V26" s="704" t="s">
        <v>18</v>
      </c>
      <c r="W26" s="705">
        <f t="shared" si="14"/>
        <v>100</v>
      </c>
      <c r="X26" s="1353"/>
      <c r="Y26" s="3688"/>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86"/>
      <c r="Q27" s="1341">
        <f t="shared" si="11"/>
        <v>111</v>
      </c>
      <c r="R27" s="700" t="s">
        <v>18</v>
      </c>
      <c r="S27" s="701">
        <f t="shared" si="12"/>
        <v>100</v>
      </c>
      <c r="T27" s="700" t="s">
        <v>18</v>
      </c>
      <c r="U27" s="701">
        <f t="shared" si="13"/>
        <v>100</v>
      </c>
      <c r="V27" s="700" t="s">
        <v>18</v>
      </c>
      <c r="W27" s="701">
        <f t="shared" si="14"/>
        <v>100</v>
      </c>
      <c r="X27" s="702"/>
      <c r="Y27" s="3688"/>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86"/>
      <c r="Q28" s="1350">
        <f t="shared" si="11"/>
        <v>111</v>
      </c>
      <c r="R28" s="704" t="s">
        <v>18</v>
      </c>
      <c r="S28" s="705">
        <f t="shared" si="12"/>
        <v>100</v>
      </c>
      <c r="T28" s="704" t="s">
        <v>18</v>
      </c>
      <c r="U28" s="705">
        <f t="shared" si="13"/>
        <v>100</v>
      </c>
      <c r="V28" s="704" t="s">
        <v>18</v>
      </c>
      <c r="W28" s="705">
        <f t="shared" si="14"/>
        <v>100</v>
      </c>
      <c r="X28" s="1353"/>
      <c r="Y28" s="3688"/>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86"/>
      <c r="Q29" s="1350">
        <f t="shared" si="11"/>
        <v>111</v>
      </c>
      <c r="R29" s="704" t="s">
        <v>18</v>
      </c>
      <c r="S29" s="705">
        <f t="shared" si="12"/>
        <v>100</v>
      </c>
      <c r="T29" s="704" t="s">
        <v>18</v>
      </c>
      <c r="U29" s="705">
        <f t="shared" si="13"/>
        <v>100</v>
      </c>
      <c r="V29" s="704" t="s">
        <v>18</v>
      </c>
      <c r="W29" s="705">
        <f t="shared" si="14"/>
        <v>100</v>
      </c>
      <c r="X29" s="1353"/>
      <c r="Y29" s="3688"/>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86"/>
      <c r="Q30" s="1350">
        <f t="shared" si="11"/>
        <v>111</v>
      </c>
      <c r="R30" s="704" t="s">
        <v>18</v>
      </c>
      <c r="S30" s="705">
        <f t="shared" si="12"/>
        <v>100</v>
      </c>
      <c r="T30" s="704" t="s">
        <v>18</v>
      </c>
      <c r="U30" s="705">
        <f t="shared" si="13"/>
        <v>100</v>
      </c>
      <c r="V30" s="704" t="s">
        <v>18</v>
      </c>
      <c r="W30" s="705">
        <f t="shared" si="14"/>
        <v>100</v>
      </c>
      <c r="X30" s="1353"/>
      <c r="Y30" s="3688"/>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86"/>
      <c r="Q31" s="1350">
        <f t="shared" si="11"/>
        <v>111</v>
      </c>
      <c r="R31" s="704" t="s">
        <v>18</v>
      </c>
      <c r="S31" s="705">
        <f t="shared" si="12"/>
        <v>100</v>
      </c>
      <c r="T31" s="704" t="s">
        <v>18</v>
      </c>
      <c r="U31" s="705">
        <f t="shared" si="13"/>
        <v>100</v>
      </c>
      <c r="V31" s="704" t="s">
        <v>18</v>
      </c>
      <c r="W31" s="705">
        <f t="shared" si="14"/>
        <v>100</v>
      </c>
      <c r="X31" s="1353"/>
      <c r="Y31" s="3688"/>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89" t="s">
        <v>1696</v>
      </c>
      <c r="Q32" s="1350" t="str">
        <f t="shared" si="11"/>
        <v>建筑类型</v>
      </c>
      <c r="R32" s="704" t="s">
        <v>18</v>
      </c>
      <c r="S32" s="705">
        <f t="shared" si="12"/>
        <v>100</v>
      </c>
      <c r="T32" s="704" t="s">
        <v>18</v>
      </c>
      <c r="U32" s="705">
        <f t="shared" si="13"/>
        <v>100</v>
      </c>
      <c r="V32" s="704" t="s">
        <v>18</v>
      </c>
      <c r="W32" s="705">
        <f t="shared" si="14"/>
        <v>100</v>
      </c>
      <c r="X32" s="1353"/>
      <c r="Y32" s="3692"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90"/>
      <c r="Q33" s="706" t="str">
        <f t="shared" si="11"/>
        <v>项目建筑规模</v>
      </c>
      <c r="R33" s="707" t="s">
        <v>18</v>
      </c>
      <c r="S33" s="708" t="e">
        <f t="shared" si="12"/>
        <v>#N/A</v>
      </c>
      <c r="T33" s="707" t="s">
        <v>18</v>
      </c>
      <c r="U33" s="708" t="e">
        <f t="shared" si="13"/>
        <v>#N/A</v>
      </c>
      <c r="V33" s="707" t="s">
        <v>18</v>
      </c>
      <c r="W33" s="708" t="e">
        <f t="shared" si="14"/>
        <v>#N/A</v>
      </c>
      <c r="X33" s="709"/>
      <c r="Y33" s="3692"/>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90"/>
      <c r="Q34" s="1350" t="str">
        <f t="shared" si="11"/>
        <v>建筑结构</v>
      </c>
      <c r="R34" s="704" t="s">
        <v>18</v>
      </c>
      <c r="S34" s="705">
        <f t="shared" si="12"/>
        <v>100</v>
      </c>
      <c r="T34" s="704" t="s">
        <v>18</v>
      </c>
      <c r="U34" s="705">
        <f t="shared" si="13"/>
        <v>100</v>
      </c>
      <c r="V34" s="704" t="s">
        <v>18</v>
      </c>
      <c r="W34" s="705">
        <f t="shared" si="14"/>
        <v>100</v>
      </c>
      <c r="X34" s="1353"/>
      <c r="Y34" s="3692"/>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90"/>
      <c r="Q35" s="1350" t="str">
        <f t="shared" si="11"/>
        <v>建筑品质</v>
      </c>
      <c r="R35" s="704" t="s">
        <v>18</v>
      </c>
      <c r="S35" s="705">
        <f t="shared" si="12"/>
        <v>100</v>
      </c>
      <c r="T35" s="704" t="s">
        <v>18</v>
      </c>
      <c r="U35" s="705">
        <f t="shared" si="13"/>
        <v>100</v>
      </c>
      <c r="V35" s="704" t="s">
        <v>18</v>
      </c>
      <c r="W35" s="705">
        <f t="shared" si="14"/>
        <v>100</v>
      </c>
      <c r="X35" s="1353"/>
      <c r="Y35" s="3692"/>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90"/>
      <c r="Q36" s="1350" t="str">
        <f t="shared" si="11"/>
        <v>公共部分装修</v>
      </c>
      <c r="R36" s="704" t="s">
        <v>18</v>
      </c>
      <c r="S36" s="705">
        <f t="shared" si="12"/>
        <v>100</v>
      </c>
      <c r="T36" s="704" t="s">
        <v>18</v>
      </c>
      <c r="U36" s="705">
        <f t="shared" si="13"/>
        <v>100</v>
      </c>
      <c r="V36" s="704" t="s">
        <v>18</v>
      </c>
      <c r="W36" s="705">
        <f t="shared" si="14"/>
        <v>100</v>
      </c>
      <c r="X36" s="1353"/>
      <c r="Y36" s="3692"/>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0"/>
      <c r="Q37" s="1341" t="str">
        <f t="shared" si="11"/>
        <v>成新度</v>
      </c>
      <c r="R37" s="700" t="s">
        <v>18</v>
      </c>
      <c r="S37" s="701" t="e">
        <f t="shared" si="12"/>
        <v>#N/A</v>
      </c>
      <c r="T37" s="700" t="s">
        <v>18</v>
      </c>
      <c r="U37" s="701" t="e">
        <f t="shared" si="13"/>
        <v>#N/A</v>
      </c>
      <c r="V37" s="700" t="s">
        <v>18</v>
      </c>
      <c r="W37" s="701" t="e">
        <f t="shared" si="14"/>
        <v>#N/A</v>
      </c>
      <c r="X37" s="702"/>
      <c r="Y37" s="3692"/>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90" t="s">
        <v>1696</v>
      </c>
      <c r="Q38" s="1350" t="str">
        <f t="shared" si="11"/>
        <v>物业管理</v>
      </c>
      <c r="R38" s="704" t="s">
        <v>18</v>
      </c>
      <c r="S38" s="705">
        <f t="shared" si="12"/>
        <v>100</v>
      </c>
      <c r="T38" s="704" t="s">
        <v>18</v>
      </c>
      <c r="U38" s="705">
        <f t="shared" si="13"/>
        <v>100</v>
      </c>
      <c r="V38" s="704" t="s">
        <v>18</v>
      </c>
      <c r="W38" s="705">
        <f t="shared" si="14"/>
        <v>100</v>
      </c>
      <c r="X38" s="1353"/>
      <c r="Y38" s="3692"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90"/>
      <c r="Q39" s="1350" t="str">
        <f t="shared" si="11"/>
        <v>市政基础设施</v>
      </c>
      <c r="R39" s="704" t="s">
        <v>18</v>
      </c>
      <c r="S39" s="705">
        <f t="shared" si="12"/>
        <v>100</v>
      </c>
      <c r="T39" s="704" t="s">
        <v>18</v>
      </c>
      <c r="U39" s="705">
        <f t="shared" si="13"/>
        <v>100</v>
      </c>
      <c r="V39" s="704" t="s">
        <v>18</v>
      </c>
      <c r="W39" s="705">
        <f t="shared" si="14"/>
        <v>100</v>
      </c>
      <c r="X39" s="1353"/>
      <c r="Y39" s="3692"/>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90"/>
      <c r="Q40" s="1350" t="str">
        <f t="shared" si="11"/>
        <v>房型</v>
      </c>
      <c r="R40" s="704" t="s">
        <v>18</v>
      </c>
      <c r="S40" s="705">
        <f t="shared" si="12"/>
        <v>100</v>
      </c>
      <c r="T40" s="704" t="s">
        <v>18</v>
      </c>
      <c r="U40" s="705">
        <f t="shared" si="13"/>
        <v>100</v>
      </c>
      <c r="V40" s="704" t="s">
        <v>18</v>
      </c>
      <c r="W40" s="705">
        <f t="shared" si="14"/>
        <v>100</v>
      </c>
      <c r="X40" s="1353"/>
      <c r="Y40" s="3692"/>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90"/>
      <c r="Q41" s="706" t="str">
        <f t="shared" si="11"/>
        <v>单套/主力户型建筑面积</v>
      </c>
      <c r="R41" s="707" t="s">
        <v>18</v>
      </c>
      <c r="S41" s="708">
        <f t="shared" si="12"/>
        <v>100</v>
      </c>
      <c r="T41" s="707" t="s">
        <v>18</v>
      </c>
      <c r="U41" s="708">
        <f t="shared" si="13"/>
        <v>100</v>
      </c>
      <c r="V41" s="707" t="s">
        <v>18</v>
      </c>
      <c r="W41" s="708">
        <f t="shared" si="14"/>
        <v>100</v>
      </c>
      <c r="X41" s="709"/>
      <c r="Y41" s="3692"/>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90"/>
      <c r="Q42" s="1350" t="str">
        <f t="shared" si="11"/>
        <v>内部装修</v>
      </c>
      <c r="R42" s="704" t="s">
        <v>18</v>
      </c>
      <c r="S42" s="705">
        <f t="shared" si="12"/>
        <v>100</v>
      </c>
      <c r="T42" s="704" t="s">
        <v>18</v>
      </c>
      <c r="U42" s="705">
        <f t="shared" si="13"/>
        <v>100</v>
      </c>
      <c r="V42" s="704" t="s">
        <v>18</v>
      </c>
      <c r="W42" s="705">
        <f t="shared" si="14"/>
        <v>100</v>
      </c>
      <c r="X42" s="1353"/>
      <c r="Y42" s="3692"/>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90"/>
      <c r="Q43" s="1350" t="str">
        <f t="shared" si="11"/>
        <v>内部装修维护情况</v>
      </c>
      <c r="R43" s="704" t="s">
        <v>18</v>
      </c>
      <c r="S43" s="705">
        <f t="shared" si="12"/>
        <v>100</v>
      </c>
      <c r="T43" s="704" t="s">
        <v>18</v>
      </c>
      <c r="U43" s="705">
        <f t="shared" si="13"/>
        <v>100</v>
      </c>
      <c r="V43" s="704" t="s">
        <v>18</v>
      </c>
      <c r="W43" s="705">
        <f t="shared" si="14"/>
        <v>100</v>
      </c>
      <c r="X43" s="1353"/>
      <c r="Y43" s="3692"/>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90"/>
      <c r="Q44" s="1341">
        <f t="shared" si="11"/>
        <v>111</v>
      </c>
      <c r="R44" s="700" t="s">
        <v>18</v>
      </c>
      <c r="S44" s="701">
        <f t="shared" si="12"/>
        <v>100</v>
      </c>
      <c r="T44" s="700" t="s">
        <v>18</v>
      </c>
      <c r="U44" s="701">
        <f t="shared" si="13"/>
        <v>100</v>
      </c>
      <c r="V44" s="700" t="s">
        <v>18</v>
      </c>
      <c r="W44" s="701">
        <f t="shared" si="14"/>
        <v>100</v>
      </c>
      <c r="X44" s="702"/>
      <c r="Y44" s="3692"/>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90"/>
      <c r="Q45" s="1350">
        <f t="shared" si="11"/>
        <v>111</v>
      </c>
      <c r="R45" s="704" t="s">
        <v>18</v>
      </c>
      <c r="S45" s="705">
        <f t="shared" si="12"/>
        <v>100</v>
      </c>
      <c r="T45" s="704" t="s">
        <v>18</v>
      </c>
      <c r="U45" s="705">
        <f t="shared" si="13"/>
        <v>100</v>
      </c>
      <c r="V45" s="704" t="s">
        <v>18</v>
      </c>
      <c r="W45" s="705">
        <f t="shared" si="14"/>
        <v>100</v>
      </c>
      <c r="X45" s="1353"/>
      <c r="Y45" s="3692"/>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91"/>
      <c r="Q46" s="1350">
        <f t="shared" si="11"/>
        <v>111</v>
      </c>
      <c r="R46" s="704" t="s">
        <v>17</v>
      </c>
      <c r="S46" s="705">
        <f t="shared" si="12"/>
        <v>100</v>
      </c>
      <c r="T46" s="704" t="s">
        <v>17</v>
      </c>
      <c r="U46" s="705">
        <f t="shared" si="13"/>
        <v>100</v>
      </c>
      <c r="V46" s="704" t="s">
        <v>17</v>
      </c>
      <c r="W46" s="705">
        <f t="shared" si="14"/>
        <v>100</v>
      </c>
      <c r="X46" s="1353"/>
      <c r="Y46" s="3693"/>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4" t="str">
        <f>A47</f>
        <v>成交单价（元/平方米）</v>
      </c>
      <c r="Q47" s="3694"/>
      <c r="R47" s="3695">
        <f>E47</f>
        <v>0</v>
      </c>
      <c r="S47" s="3695"/>
      <c r="T47" s="3695">
        <f>G47</f>
        <v>0</v>
      </c>
      <c r="U47" s="3695"/>
      <c r="V47" s="3695">
        <f>I47</f>
        <v>0</v>
      </c>
      <c r="W47" s="3695"/>
      <c r="X47" s="689"/>
      <c r="Y47" s="711"/>
      <c r="Z47" s="689"/>
      <c r="AA47" s="689"/>
      <c r="AB47" s="689"/>
      <c r="AC47" s="689"/>
    </row>
    <row r="48" spans="1:29" ht="15.75" thickBot="1">
      <c r="A48" s="437" t="s">
        <v>1709</v>
      </c>
      <c r="B48" s="438"/>
      <c r="C48" s="1158" t="e">
        <f>R49</f>
        <v>#DIV/0!</v>
      </c>
      <c r="D48" s="2315" t="s">
        <v>2138</v>
      </c>
      <c r="E48" s="1159" t="e">
        <f>R48</f>
        <v>#DIV/0!</v>
      </c>
      <c r="F48" s="2316"/>
      <c r="G48" s="1158" t="e">
        <f>T48</f>
        <v>#DIV/0!</v>
      </c>
      <c r="H48" s="2316"/>
      <c r="I48" s="1159" t="e">
        <f>V48</f>
        <v>#DIV/0!</v>
      </c>
      <c r="J48" s="2316"/>
      <c r="K48" s="2317">
        <f>F48+H48+J48</f>
        <v>0</v>
      </c>
      <c r="L48" s="2722"/>
      <c r="M48" s="2723"/>
      <c r="N48" s="2723"/>
      <c r="O48" s="2723"/>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9"/>
      <c r="Y48" s="689"/>
      <c r="Z48" s="689"/>
      <c r="AA48" s="689"/>
      <c r="AB48" s="689"/>
      <c r="AC48" s="689"/>
    </row>
    <row r="49" spans="1:29" ht="15.75" thickBot="1">
      <c r="A49" s="441" t="s">
        <v>1710</v>
      </c>
      <c r="B49" s="442"/>
      <c r="C49" s="1160" t="e">
        <f>R49</f>
        <v>#DIV/0!</v>
      </c>
      <c r="D49" s="1161"/>
      <c r="E49" s="1161"/>
      <c r="F49" s="1161"/>
      <c r="G49" s="1161"/>
      <c r="H49" s="1161"/>
      <c r="I49" s="1161"/>
      <c r="J49" s="1161"/>
      <c r="K49" s="1913"/>
      <c r="L49" s="2722"/>
      <c r="M49" s="2723"/>
      <c r="N49" s="2723"/>
      <c r="O49" s="2723"/>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3"/>
      <c r="O82" s="933"/>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453.74</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672" t="s">
        <v>1770</v>
      </c>
      <c r="D4" s="3673"/>
      <c r="E4" s="3674" t="s">
        <v>1771</v>
      </c>
      <c r="F4" s="3675"/>
      <c r="G4" s="3672" t="s">
        <v>1772</v>
      </c>
      <c r="H4" s="3673"/>
      <c r="I4" s="3672" t="s">
        <v>1773</v>
      </c>
      <c r="J4" s="3673"/>
      <c r="K4" s="559" t="s">
        <v>1774</v>
      </c>
      <c r="L4" s="2713"/>
      <c r="M4" s="2714"/>
      <c r="N4" s="2714"/>
      <c r="O4" s="2714"/>
      <c r="P4" s="3727" t="s">
        <v>1775</v>
      </c>
      <c r="Q4" s="3728"/>
      <c r="R4" s="3722" t="s">
        <v>1771</v>
      </c>
      <c r="S4" s="3723"/>
      <c r="T4" s="3722" t="s">
        <v>1772</v>
      </c>
      <c r="U4" s="3723"/>
      <c r="V4" s="3731" t="s">
        <v>1773</v>
      </c>
      <c r="W4" s="3731"/>
      <c r="X4" s="1956"/>
      <c r="Y4" s="3722" t="s">
        <v>1775</v>
      </c>
      <c r="Z4" s="3723"/>
      <c r="AA4" s="3721" t="s">
        <v>1771</v>
      </c>
      <c r="AB4" s="3721" t="s">
        <v>1772</v>
      </c>
      <c r="AC4" s="3724" t="s">
        <v>1773</v>
      </c>
    </row>
    <row r="5" spans="1:29" ht="15">
      <c r="A5" s="358"/>
      <c r="B5" s="359"/>
      <c r="C5" s="3664" t="s">
        <v>1673</v>
      </c>
      <c r="D5" s="3665"/>
      <c r="E5" s="3720" t="s">
        <v>1674</v>
      </c>
      <c r="F5" s="3663"/>
      <c r="G5" s="3664" t="s">
        <v>1675</v>
      </c>
      <c r="H5" s="3665"/>
      <c r="I5" s="3664" t="s">
        <v>1676</v>
      </c>
      <c r="J5" s="3665"/>
      <c r="K5" s="559"/>
      <c r="L5" s="2713"/>
      <c r="M5" s="2714"/>
      <c r="N5" s="2714"/>
      <c r="O5" s="2714"/>
      <c r="P5" s="3729"/>
      <c r="Q5" s="3679"/>
      <c r="R5" s="3660"/>
      <c r="S5" s="3661"/>
      <c r="T5" s="3660"/>
      <c r="U5" s="3661"/>
      <c r="V5" s="3655"/>
      <c r="W5" s="3655"/>
      <c r="X5" s="1353"/>
      <c r="Y5" s="3660"/>
      <c r="Z5" s="3661"/>
      <c r="AA5" s="3653"/>
      <c r="AB5" s="3653"/>
      <c r="AC5" s="3725"/>
    </row>
    <row r="6" spans="1:29" ht="15.75" thickBot="1">
      <c r="A6" s="360"/>
      <c r="B6" s="361"/>
      <c r="C6" s="3666" t="s">
        <v>1677</v>
      </c>
      <c r="D6" s="3667"/>
      <c r="E6" s="3669" t="s">
        <v>1677</v>
      </c>
      <c r="F6" s="3670"/>
      <c r="G6" s="3666" t="s">
        <v>1677</v>
      </c>
      <c r="H6" s="3667"/>
      <c r="I6" s="3666" t="s">
        <v>1677</v>
      </c>
      <c r="J6" s="3667"/>
      <c r="K6" s="559" t="s">
        <v>1678</v>
      </c>
      <c r="L6" s="2713"/>
      <c r="M6" s="2714"/>
      <c r="N6" s="2714"/>
      <c r="O6" s="2714"/>
      <c r="P6" s="3730"/>
      <c r="Q6" s="3681"/>
      <c r="R6" s="3660"/>
      <c r="S6" s="3661"/>
      <c r="T6" s="3682"/>
      <c r="U6" s="3683"/>
      <c r="V6" s="3655"/>
      <c r="W6" s="3655"/>
      <c r="X6" s="1353"/>
      <c r="Y6" s="3682"/>
      <c r="Z6" s="3683"/>
      <c r="AA6" s="3654"/>
      <c r="AB6" s="3654"/>
      <c r="AC6" s="3726"/>
    </row>
    <row r="7" spans="1:29" s="108" customFormat="1" ht="15.75" thickBot="1">
      <c r="A7" s="362" t="s">
        <v>1679</v>
      </c>
      <c r="B7" s="363"/>
      <c r="C7" s="364">
        <f>'数据-取费表'!B2</f>
        <v>45504</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2" t="s">
        <v>1680</v>
      </c>
      <c r="Q7" s="3684"/>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2" t="s">
        <v>1683</v>
      </c>
      <c r="Q8" s="3657"/>
      <c r="R8" s="700" t="s">
        <v>14</v>
      </c>
      <c r="S8" s="701">
        <f t="shared" si="0"/>
        <v>100</v>
      </c>
      <c r="T8" s="700" t="s">
        <v>14</v>
      </c>
      <c r="U8" s="701">
        <f t="shared" si="1"/>
        <v>100</v>
      </c>
      <c r="V8" s="700" t="s">
        <v>14</v>
      </c>
      <c r="W8" s="701">
        <f t="shared" si="2"/>
        <v>100</v>
      </c>
      <c r="X8" s="702"/>
      <c r="Y8" s="3656" t="s">
        <v>1683</v>
      </c>
      <c r="Z8" s="3657"/>
      <c r="AA8" s="703">
        <f t="shared" ref="AA8:AA47" si="3">D8/F8</f>
        <v>1</v>
      </c>
      <c r="AB8" s="703">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1" t="s">
        <v>1686</v>
      </c>
      <c r="Q9" s="1341" t="str">
        <f t="shared" ref="Q9:Q15" si="6">B9</f>
        <v>用途</v>
      </c>
      <c r="R9" s="700" t="s">
        <v>14</v>
      </c>
      <c r="S9" s="701">
        <f t="shared" si="0"/>
        <v>100</v>
      </c>
      <c r="T9" s="700" t="s">
        <v>14</v>
      </c>
      <c r="U9" s="701">
        <f t="shared" si="1"/>
        <v>100</v>
      </c>
      <c r="V9" s="700" t="s">
        <v>14</v>
      </c>
      <c r="W9" s="701">
        <f t="shared" si="2"/>
        <v>100</v>
      </c>
      <c r="X9" s="702"/>
      <c r="Y9" s="3620" t="s">
        <v>1687</v>
      </c>
      <c r="Z9" s="52" t="str">
        <f t="shared" ref="Z9:Z15" si="7">Q9</f>
        <v>用途</v>
      </c>
      <c r="AA9" s="703">
        <f t="shared" si="3"/>
        <v>1</v>
      </c>
      <c r="AB9" s="703">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1"/>
      <c r="Q10" s="1341" t="str">
        <f t="shared" si="6"/>
        <v>土地使用年限（年）</v>
      </c>
      <c r="R10" s="700" t="s">
        <v>14</v>
      </c>
      <c r="S10" s="701">
        <f t="shared" si="0"/>
        <v>100</v>
      </c>
      <c r="T10" s="700" t="s">
        <v>14</v>
      </c>
      <c r="U10" s="701">
        <f t="shared" si="1"/>
        <v>100</v>
      </c>
      <c r="V10" s="700" t="s">
        <v>14</v>
      </c>
      <c r="W10" s="701">
        <f t="shared" si="2"/>
        <v>100</v>
      </c>
      <c r="X10" s="702"/>
      <c r="Y10" s="3620"/>
      <c r="Z10" s="52" t="str">
        <f t="shared" si="7"/>
        <v>土地使用年限（年）</v>
      </c>
      <c r="AA10" s="703">
        <f t="shared" si="3"/>
        <v>1</v>
      </c>
      <c r="AB10" s="703">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1"/>
      <c r="Q11" s="1341" t="str">
        <f t="shared" si="6"/>
        <v>容积率</v>
      </c>
      <c r="R11" s="700" t="s">
        <v>14</v>
      </c>
      <c r="S11" s="701">
        <f t="shared" si="0"/>
        <v>100</v>
      </c>
      <c r="T11" s="700" t="s">
        <v>14</v>
      </c>
      <c r="U11" s="701">
        <f t="shared" si="1"/>
        <v>100</v>
      </c>
      <c r="V11" s="700" t="s">
        <v>14</v>
      </c>
      <c r="W11" s="701">
        <f t="shared" si="2"/>
        <v>100</v>
      </c>
      <c r="X11" s="702"/>
      <c r="Y11" s="3620"/>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1"/>
      <c r="Q12" s="1341">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1"/>
      <c r="Q13" s="1341">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20"/>
      <c r="M14" s="2714"/>
      <c r="N14" s="2714"/>
      <c r="O14" s="2714"/>
      <c r="P14" s="3671"/>
      <c r="Q14" s="1341">
        <f t="shared" si="6"/>
        <v>111</v>
      </c>
      <c r="R14" s="700" t="s">
        <v>14</v>
      </c>
      <c r="S14" s="701">
        <f t="shared" si="0"/>
        <v>100</v>
      </c>
      <c r="T14" s="700" t="s">
        <v>14</v>
      </c>
      <c r="U14" s="701">
        <f t="shared" si="1"/>
        <v>100</v>
      </c>
      <c r="V14" s="700" t="s">
        <v>14</v>
      </c>
      <c r="W14" s="701">
        <f t="shared" si="2"/>
        <v>100</v>
      </c>
      <c r="X14" s="702"/>
      <c r="Y14" s="3620"/>
      <c r="Z14" s="52">
        <f t="shared" si="7"/>
        <v>111</v>
      </c>
      <c r="AA14" s="703">
        <f t="shared" si="3"/>
        <v>1</v>
      </c>
      <c r="AB14" s="703">
        <f t="shared" si="4"/>
        <v>1</v>
      </c>
      <c r="AC14" s="1957">
        <f t="shared" si="5"/>
        <v>1</v>
      </c>
    </row>
    <row r="15" spans="1:29" ht="15">
      <c r="A15" s="391" t="s">
        <v>1690</v>
      </c>
      <c r="B15" s="576"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5" t="s">
        <v>1691</v>
      </c>
      <c r="Q15" s="1350" t="str">
        <f t="shared" si="6"/>
        <v>办公集聚程度</v>
      </c>
      <c r="R15" s="704" t="s">
        <v>14</v>
      </c>
      <c r="S15" s="705">
        <f t="shared" si="0"/>
        <v>100</v>
      </c>
      <c r="T15" s="704" t="s">
        <v>14</v>
      </c>
      <c r="U15" s="705">
        <f t="shared" si="1"/>
        <v>100</v>
      </c>
      <c r="V15" s="704" t="s">
        <v>14</v>
      </c>
      <c r="W15" s="705">
        <f t="shared" si="2"/>
        <v>100</v>
      </c>
      <c r="X15" s="1353"/>
      <c r="Y15" s="3687" t="s">
        <v>1691</v>
      </c>
      <c r="Z15" s="1354" t="str">
        <f t="shared" si="7"/>
        <v>办公集聚程度</v>
      </c>
      <c r="AA15" s="1351">
        <f t="shared" si="3"/>
        <v>1</v>
      </c>
      <c r="AB15" s="1351">
        <f t="shared" si="4"/>
        <v>1</v>
      </c>
      <c r="AC15" s="1960">
        <f t="shared" si="5"/>
        <v>1</v>
      </c>
    </row>
    <row r="16" spans="1:29" ht="15">
      <c r="A16" s="379"/>
      <c r="B16" s="577"/>
      <c r="C16" s="1902"/>
      <c r="D16" s="399"/>
      <c r="E16" s="398"/>
      <c r="F16" s="399"/>
      <c r="G16" s="1902"/>
      <c r="H16" s="401"/>
      <c r="I16" s="398"/>
      <c r="J16" s="399"/>
      <c r="K16" s="564"/>
      <c r="L16" s="2720"/>
      <c r="M16" s="2714"/>
      <c r="N16" s="2714"/>
      <c r="O16" s="2714"/>
      <c r="P16" s="3686"/>
      <c r="Q16" s="1350"/>
      <c r="R16" s="704"/>
      <c r="S16" s="705"/>
      <c r="T16" s="704"/>
      <c r="U16" s="705"/>
      <c r="V16" s="704"/>
      <c r="W16" s="705"/>
      <c r="X16" s="1353"/>
      <c r="Y16" s="3688"/>
      <c r="Z16" s="1354"/>
      <c r="AA16" s="1351">
        <v>1</v>
      </c>
      <c r="AB16" s="1351">
        <v>1</v>
      </c>
      <c r="AC16" s="1960">
        <v>1</v>
      </c>
    </row>
    <row r="17" spans="1:29" ht="85.5">
      <c r="A17" s="379"/>
      <c r="B17" s="578" t="s">
        <v>1259</v>
      </c>
      <c r="C17" s="1961" t="str">
        <f>估价对象房地状况!C6</f>
        <v>估价对象周边道路状况、公共交通通达情况915、918、955等、停车便捷程度，综合评价交通便捷度一般</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6"/>
      <c r="Q17" s="1350" t="str">
        <f>B17</f>
        <v>交通便捷度</v>
      </c>
      <c r="R17" s="704" t="s">
        <v>14</v>
      </c>
      <c r="S17" s="705">
        <f>F17</f>
        <v>100</v>
      </c>
      <c r="T17" s="704" t="s">
        <v>14</v>
      </c>
      <c r="U17" s="705">
        <f>H17</f>
        <v>100</v>
      </c>
      <c r="V17" s="704" t="s">
        <v>14</v>
      </c>
      <c r="W17" s="705">
        <f>J17</f>
        <v>100</v>
      </c>
      <c r="X17" s="1353"/>
      <c r="Y17" s="3688"/>
      <c r="Z17" s="1354" t="str">
        <f>Q17</f>
        <v>交通便捷度</v>
      </c>
      <c r="AA17" s="1351">
        <f t="shared" si="3"/>
        <v>1</v>
      </c>
      <c r="AB17" s="1351">
        <f t="shared" si="4"/>
        <v>1</v>
      </c>
      <c r="AC17" s="1960">
        <f t="shared" si="5"/>
        <v>1</v>
      </c>
    </row>
    <row r="18" spans="1:29" ht="15">
      <c r="A18" s="379"/>
      <c r="B18" s="579"/>
      <c r="C18" s="1962"/>
      <c r="D18" s="401"/>
      <c r="E18" s="1900"/>
      <c r="F18" s="401"/>
      <c r="G18" s="1901"/>
      <c r="H18" s="399"/>
      <c r="I18" s="1901"/>
      <c r="J18" s="399"/>
      <c r="K18" s="564"/>
      <c r="L18" s="2720"/>
      <c r="M18" s="2714"/>
      <c r="N18" s="2714"/>
      <c r="O18" s="2714"/>
      <c r="P18" s="3686"/>
      <c r="Q18" s="1350"/>
      <c r="R18" s="704"/>
      <c r="S18" s="705"/>
      <c r="T18" s="704"/>
      <c r="U18" s="705"/>
      <c r="V18" s="704"/>
      <c r="W18" s="705"/>
      <c r="X18" s="1353"/>
      <c r="Y18" s="3688"/>
      <c r="Z18" s="1354"/>
      <c r="AA18" s="1351">
        <v>1</v>
      </c>
      <c r="AB18" s="1351">
        <v>1</v>
      </c>
      <c r="AC18" s="1960">
        <v>1</v>
      </c>
    </row>
    <row r="19" spans="1:29" ht="42.75">
      <c r="A19" s="379"/>
      <c r="B19" s="578" t="s">
        <v>1812</v>
      </c>
      <c r="C19" s="1961" t="str">
        <f>估价对象房地状况!C7</f>
        <v>估价对象所在区域公共配套设施齐备情况一般</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6"/>
      <c r="Q19" s="1350" t="str">
        <f>B19</f>
        <v>公共配套设施</v>
      </c>
      <c r="R19" s="704" t="s">
        <v>14</v>
      </c>
      <c r="S19" s="705">
        <f>F19</f>
        <v>100</v>
      </c>
      <c r="T19" s="704" t="s">
        <v>14</v>
      </c>
      <c r="U19" s="705">
        <f>H19</f>
        <v>100</v>
      </c>
      <c r="V19" s="704" t="s">
        <v>14</v>
      </c>
      <c r="W19" s="705">
        <f>J19</f>
        <v>100</v>
      </c>
      <c r="X19" s="1353"/>
      <c r="Y19" s="3688"/>
      <c r="Z19" s="1354" t="str">
        <f>Q19</f>
        <v>公共配套设施</v>
      </c>
      <c r="AA19" s="1351">
        <f t="shared" si="3"/>
        <v>1</v>
      </c>
      <c r="AB19" s="1351">
        <f t="shared" si="4"/>
        <v>1</v>
      </c>
      <c r="AC19" s="1960">
        <f t="shared" si="5"/>
        <v>1</v>
      </c>
    </row>
    <row r="20" spans="1:29" ht="15">
      <c r="A20" s="379"/>
      <c r="B20" s="579"/>
      <c r="C20" s="1902"/>
      <c r="D20" s="399"/>
      <c r="E20" s="1895"/>
      <c r="F20" s="399"/>
      <c r="G20" s="1896"/>
      <c r="H20" s="399"/>
      <c r="I20" s="1896"/>
      <c r="J20" s="399"/>
      <c r="K20" s="564"/>
      <c r="L20" s="2720"/>
      <c r="M20" s="2714"/>
      <c r="N20" s="2714"/>
      <c r="O20" s="2714"/>
      <c r="P20" s="3686"/>
      <c r="Q20" s="1350"/>
      <c r="R20" s="704"/>
      <c r="S20" s="705"/>
      <c r="T20" s="704"/>
      <c r="U20" s="705"/>
      <c r="V20" s="704"/>
      <c r="W20" s="705"/>
      <c r="X20" s="1353"/>
      <c r="Y20" s="3688"/>
      <c r="Z20" s="1354"/>
      <c r="AA20" s="1351">
        <v>1</v>
      </c>
      <c r="AB20" s="1351">
        <v>1</v>
      </c>
      <c r="AC20" s="1960">
        <v>1</v>
      </c>
    </row>
    <row r="21" spans="1:29" ht="15">
      <c r="A21" s="379"/>
      <c r="B21" s="580" t="s">
        <v>1813</v>
      </c>
      <c r="C21" s="1961"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6"/>
      <c r="Q21" s="1350" t="str">
        <f>B21</f>
        <v>基础设施水平</v>
      </c>
      <c r="R21" s="704" t="s">
        <v>14</v>
      </c>
      <c r="S21" s="705">
        <f>F21</f>
        <v>100</v>
      </c>
      <c r="T21" s="704" t="s">
        <v>14</v>
      </c>
      <c r="U21" s="705">
        <f>H21</f>
        <v>100</v>
      </c>
      <c r="V21" s="704" t="s">
        <v>14</v>
      </c>
      <c r="W21" s="705">
        <f>J21</f>
        <v>100</v>
      </c>
      <c r="X21" s="1353"/>
      <c r="Y21" s="3688"/>
      <c r="Z21" s="1354" t="str">
        <f>Q21</f>
        <v>基础设施水平</v>
      </c>
      <c r="AA21" s="1351">
        <f t="shared" ref="AA21" si="8">D21/F21</f>
        <v>1</v>
      </c>
      <c r="AB21" s="1351">
        <f t="shared" ref="AB21" si="9">D21/H21</f>
        <v>1</v>
      </c>
      <c r="AC21" s="1960">
        <f t="shared" ref="AC21" si="10">D21/J21</f>
        <v>1</v>
      </c>
    </row>
    <row r="22" spans="1:29" ht="15">
      <c r="A22" s="379"/>
      <c r="B22" s="580"/>
      <c r="C22" s="1962"/>
      <c r="D22" s="399"/>
      <c r="E22" s="398"/>
      <c r="F22" s="399"/>
      <c r="G22" s="1902"/>
      <c r="H22" s="399"/>
      <c r="I22" s="1902"/>
      <c r="J22" s="399"/>
      <c r="K22" s="1128"/>
      <c r="L22" s="2720"/>
      <c r="M22" s="2714"/>
      <c r="N22" s="2714"/>
      <c r="O22" s="2714"/>
      <c r="P22" s="3686"/>
      <c r="Q22" s="1350"/>
      <c r="R22" s="704"/>
      <c r="S22" s="705"/>
      <c r="T22" s="704"/>
      <c r="U22" s="705"/>
      <c r="V22" s="704"/>
      <c r="W22" s="705"/>
      <c r="X22" s="1353"/>
      <c r="Y22" s="3688"/>
      <c r="Z22" s="1354"/>
      <c r="AA22" s="1351">
        <v>1</v>
      </c>
      <c r="AB22" s="1351">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6"/>
      <c r="Q23" s="1350" t="str">
        <f>B23</f>
        <v>环境质量</v>
      </c>
      <c r="R23" s="704" t="s">
        <v>14</v>
      </c>
      <c r="S23" s="705">
        <f>F23</f>
        <v>100</v>
      </c>
      <c r="T23" s="704" t="s">
        <v>14</v>
      </c>
      <c r="U23" s="705">
        <f>H23</f>
        <v>100</v>
      </c>
      <c r="V23" s="704" t="s">
        <v>14</v>
      </c>
      <c r="W23" s="705">
        <f>J23</f>
        <v>100</v>
      </c>
      <c r="X23" s="1353"/>
      <c r="Y23" s="3688"/>
      <c r="Z23" s="1354" t="str">
        <f>Q23</f>
        <v>环境质量</v>
      </c>
      <c r="AA23" s="1351">
        <f t="shared" si="3"/>
        <v>1</v>
      </c>
      <c r="AB23" s="1351">
        <f t="shared" si="4"/>
        <v>1</v>
      </c>
      <c r="AC23" s="1960">
        <f t="shared" si="5"/>
        <v>1</v>
      </c>
    </row>
    <row r="24" spans="1:29" ht="15">
      <c r="A24" s="379"/>
      <c r="B24" s="580"/>
      <c r="C24" s="1902"/>
      <c r="D24" s="399"/>
      <c r="E24" s="1895"/>
      <c r="F24" s="399"/>
      <c r="G24" s="1896"/>
      <c r="H24" s="399"/>
      <c r="I24" s="1896"/>
      <c r="J24" s="399"/>
      <c r="K24" s="564"/>
      <c r="L24" s="2720"/>
      <c r="M24" s="2714"/>
      <c r="N24" s="2714"/>
      <c r="O24" s="2714"/>
      <c r="P24" s="3686"/>
      <c r="Q24" s="1350"/>
      <c r="R24" s="704"/>
      <c r="S24" s="705"/>
      <c r="T24" s="704"/>
      <c r="U24" s="705"/>
      <c r="V24" s="704"/>
      <c r="W24" s="705"/>
      <c r="X24" s="1353"/>
      <c r="Y24" s="3688"/>
      <c r="Z24" s="1354"/>
      <c r="AA24" s="1351">
        <v>1</v>
      </c>
      <c r="AB24" s="1351">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86"/>
      <c r="Q25" s="1350" t="str">
        <f>B25</f>
        <v>毗邻道路的类型与等级</v>
      </c>
      <c r="R25" s="704" t="s">
        <v>14</v>
      </c>
      <c r="S25" s="705">
        <f>F25</f>
        <v>100</v>
      </c>
      <c r="T25" s="704" t="s">
        <v>14</v>
      </c>
      <c r="U25" s="705">
        <f>H25</f>
        <v>100</v>
      </c>
      <c r="V25" s="704" t="s">
        <v>14</v>
      </c>
      <c r="W25" s="705">
        <f>J25</f>
        <v>100</v>
      </c>
      <c r="X25" s="1353"/>
      <c r="Y25" s="3688"/>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20"/>
      <c r="M26" s="2714"/>
      <c r="N26" s="2714"/>
      <c r="O26" s="2714"/>
      <c r="P26" s="3686"/>
      <c r="Q26" s="1350"/>
      <c r="R26" s="704"/>
      <c r="S26" s="705"/>
      <c r="T26" s="704"/>
      <c r="U26" s="705"/>
      <c r="V26" s="704"/>
      <c r="W26" s="705"/>
      <c r="X26" s="1353"/>
      <c r="Y26" s="3688"/>
      <c r="Z26" s="1354"/>
      <c r="AA26" s="1351">
        <v>1</v>
      </c>
      <c r="AB26" s="1351">
        <v>1</v>
      </c>
      <c r="AC26" s="1960">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686"/>
      <c r="Q27" s="1350" t="str">
        <f t="shared" ref="Q27:Q47" si="11">B27</f>
        <v>楼层</v>
      </c>
      <c r="R27" s="704" t="s">
        <v>14</v>
      </c>
      <c r="S27" s="705">
        <f>F27</f>
        <v>100</v>
      </c>
      <c r="T27" s="704" t="s">
        <v>14</v>
      </c>
      <c r="U27" s="705">
        <f>H27</f>
        <v>100</v>
      </c>
      <c r="V27" s="704" t="s">
        <v>14</v>
      </c>
      <c r="W27" s="705">
        <f>J27</f>
        <v>100</v>
      </c>
      <c r="X27" s="1353"/>
      <c r="Y27" s="3688"/>
      <c r="Z27" s="1354" t="str">
        <f>Q27</f>
        <v>楼层</v>
      </c>
      <c r="AA27" s="1351">
        <f t="shared" si="3"/>
        <v>1</v>
      </c>
      <c r="AB27" s="1351">
        <f t="shared" si="4"/>
        <v>1</v>
      </c>
      <c r="AC27" s="1960">
        <f t="shared" si="5"/>
        <v>1</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6"/>
      <c r="Q28" s="1341" t="str">
        <f t="shared" si="11"/>
        <v>朝向</v>
      </c>
      <c r="R28" s="700" t="s">
        <v>14</v>
      </c>
      <c r="S28" s="701">
        <f>F28</f>
        <v>100</v>
      </c>
      <c r="T28" s="700" t="s">
        <v>14</v>
      </c>
      <c r="U28" s="701">
        <f>H28</f>
        <v>100</v>
      </c>
      <c r="V28" s="700" t="s">
        <v>14</v>
      </c>
      <c r="W28" s="701">
        <f>J28</f>
        <v>100</v>
      </c>
      <c r="X28" s="702"/>
      <c r="Y28" s="3688"/>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6"/>
      <c r="Q29" s="1350">
        <f t="shared" si="11"/>
        <v>111</v>
      </c>
      <c r="R29" s="704" t="s">
        <v>14</v>
      </c>
      <c r="S29" s="705">
        <f t="shared" ref="S29:S47" si="12">F29</f>
        <v>100</v>
      </c>
      <c r="T29" s="704" t="s">
        <v>14</v>
      </c>
      <c r="U29" s="705">
        <f t="shared" ref="U29:U47" si="13">H29</f>
        <v>100</v>
      </c>
      <c r="V29" s="704" t="s">
        <v>14</v>
      </c>
      <c r="W29" s="705">
        <f t="shared" ref="W29:W47" si="14">J29</f>
        <v>100</v>
      </c>
      <c r="X29" s="1353"/>
      <c r="Y29" s="3688"/>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6"/>
      <c r="Q30" s="1350">
        <f t="shared" si="11"/>
        <v>111</v>
      </c>
      <c r="R30" s="704" t="s">
        <v>14</v>
      </c>
      <c r="S30" s="705">
        <f t="shared" si="12"/>
        <v>100</v>
      </c>
      <c r="T30" s="704" t="s">
        <v>14</v>
      </c>
      <c r="U30" s="705">
        <f t="shared" si="13"/>
        <v>100</v>
      </c>
      <c r="V30" s="704" t="s">
        <v>14</v>
      </c>
      <c r="W30" s="705">
        <f t="shared" si="14"/>
        <v>100</v>
      </c>
      <c r="X30" s="1353"/>
      <c r="Y30" s="3688"/>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6"/>
      <c r="Q31" s="1350">
        <f t="shared" si="11"/>
        <v>111</v>
      </c>
      <c r="R31" s="704" t="s">
        <v>14</v>
      </c>
      <c r="S31" s="705">
        <f t="shared" si="12"/>
        <v>100</v>
      </c>
      <c r="T31" s="704" t="s">
        <v>14</v>
      </c>
      <c r="U31" s="705">
        <f t="shared" si="13"/>
        <v>100</v>
      </c>
      <c r="V31" s="704" t="s">
        <v>14</v>
      </c>
      <c r="W31" s="705">
        <f t="shared" si="14"/>
        <v>100</v>
      </c>
      <c r="X31" s="1353"/>
      <c r="Y31" s="3688"/>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6"/>
      <c r="Q32" s="1350">
        <f t="shared" si="11"/>
        <v>111</v>
      </c>
      <c r="R32" s="704" t="s">
        <v>14</v>
      </c>
      <c r="S32" s="705">
        <f t="shared" si="12"/>
        <v>100</v>
      </c>
      <c r="T32" s="704" t="s">
        <v>14</v>
      </c>
      <c r="U32" s="705">
        <f t="shared" si="13"/>
        <v>100</v>
      </c>
      <c r="V32" s="704" t="s">
        <v>14</v>
      </c>
      <c r="W32" s="705">
        <f t="shared" si="14"/>
        <v>100</v>
      </c>
      <c r="X32" s="1353"/>
      <c r="Y32" s="3688"/>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89" t="s">
        <v>1696</v>
      </c>
      <c r="Q33" s="1350" t="str">
        <f t="shared" si="11"/>
        <v>建筑类型</v>
      </c>
      <c r="R33" s="704" t="s">
        <v>14</v>
      </c>
      <c r="S33" s="705">
        <f t="shared" si="12"/>
        <v>100</v>
      </c>
      <c r="T33" s="704" t="s">
        <v>14</v>
      </c>
      <c r="U33" s="705">
        <f t="shared" si="13"/>
        <v>100</v>
      </c>
      <c r="V33" s="704" t="s">
        <v>14</v>
      </c>
      <c r="W33" s="705">
        <f t="shared" si="14"/>
        <v>100</v>
      </c>
      <c r="X33" s="1353"/>
      <c r="Y33" s="3692"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90"/>
      <c r="Q34" s="706" t="str">
        <f t="shared" si="11"/>
        <v>项目建筑规模</v>
      </c>
      <c r="R34" s="707" t="s">
        <v>14</v>
      </c>
      <c r="S34" s="708" t="e">
        <f t="shared" si="12"/>
        <v>#N/A</v>
      </c>
      <c r="T34" s="707" t="s">
        <v>14</v>
      </c>
      <c r="U34" s="708" t="e">
        <f t="shared" si="13"/>
        <v>#N/A</v>
      </c>
      <c r="V34" s="707" t="s">
        <v>14</v>
      </c>
      <c r="W34" s="708" t="e">
        <f t="shared" si="14"/>
        <v>#N/A</v>
      </c>
      <c r="X34" s="709"/>
      <c r="Y34" s="3692"/>
      <c r="Z34" s="710"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90"/>
      <c r="Q35" s="1350" t="str">
        <f t="shared" si="11"/>
        <v>建筑结构</v>
      </c>
      <c r="R35" s="704" t="s">
        <v>14</v>
      </c>
      <c r="S35" s="705">
        <f t="shared" si="12"/>
        <v>100</v>
      </c>
      <c r="T35" s="704" t="s">
        <v>14</v>
      </c>
      <c r="U35" s="705">
        <f t="shared" si="13"/>
        <v>100</v>
      </c>
      <c r="V35" s="704" t="s">
        <v>14</v>
      </c>
      <c r="W35" s="705">
        <f t="shared" si="14"/>
        <v>100</v>
      </c>
      <c r="X35" s="1353"/>
      <c r="Y35" s="3692"/>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90"/>
      <c r="Q36" s="1350" t="str">
        <f t="shared" si="11"/>
        <v>公共部分装修</v>
      </c>
      <c r="R36" s="704" t="s">
        <v>14</v>
      </c>
      <c r="S36" s="705">
        <f t="shared" si="12"/>
        <v>100</v>
      </c>
      <c r="T36" s="704" t="s">
        <v>14</v>
      </c>
      <c r="U36" s="705">
        <f t="shared" si="13"/>
        <v>100</v>
      </c>
      <c r="V36" s="704" t="s">
        <v>14</v>
      </c>
      <c r="W36" s="705">
        <f t="shared" si="14"/>
        <v>100</v>
      </c>
      <c r="X36" s="1353"/>
      <c r="Y36" s="3692"/>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90"/>
      <c r="Q37" s="1350" t="str">
        <f t="shared" si="11"/>
        <v>成新度</v>
      </c>
      <c r="R37" s="704" t="s">
        <v>14</v>
      </c>
      <c r="S37" s="705" t="e">
        <f t="shared" si="12"/>
        <v>#N/A</v>
      </c>
      <c r="T37" s="704" t="s">
        <v>14</v>
      </c>
      <c r="U37" s="705" t="e">
        <f t="shared" si="13"/>
        <v>#N/A</v>
      </c>
      <c r="V37" s="704" t="s">
        <v>14</v>
      </c>
      <c r="W37" s="705" t="e">
        <f t="shared" si="14"/>
        <v>#N/A</v>
      </c>
      <c r="X37" s="1353"/>
      <c r="Y37" s="3692"/>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0"/>
      <c r="Q38" s="1341" t="str">
        <f t="shared" si="11"/>
        <v>写字楼等级</v>
      </c>
      <c r="R38" s="700" t="s">
        <v>14</v>
      </c>
      <c r="S38" s="701">
        <f t="shared" si="12"/>
        <v>100</v>
      </c>
      <c r="T38" s="700" t="s">
        <v>14</v>
      </c>
      <c r="U38" s="701">
        <f t="shared" si="13"/>
        <v>100</v>
      </c>
      <c r="V38" s="700" t="s">
        <v>14</v>
      </c>
      <c r="W38" s="701">
        <f t="shared" si="14"/>
        <v>100</v>
      </c>
      <c r="X38" s="702"/>
      <c r="Y38" s="3692"/>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0" t="s">
        <v>1696</v>
      </c>
      <c r="Q39" s="1350" t="str">
        <f t="shared" si="11"/>
        <v>物业管理</v>
      </c>
      <c r="R39" s="704" t="s">
        <v>14</v>
      </c>
      <c r="S39" s="705">
        <f t="shared" si="12"/>
        <v>100</v>
      </c>
      <c r="T39" s="704" t="s">
        <v>14</v>
      </c>
      <c r="U39" s="705">
        <f t="shared" si="13"/>
        <v>100</v>
      </c>
      <c r="V39" s="704" t="s">
        <v>14</v>
      </c>
      <c r="W39" s="705">
        <f t="shared" si="14"/>
        <v>100</v>
      </c>
      <c r="X39" s="1353"/>
      <c r="Y39" s="3692"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0"/>
      <c r="Q40" s="1350" t="str">
        <f t="shared" si="11"/>
        <v>市政基础设施</v>
      </c>
      <c r="R40" s="704" t="s">
        <v>14</v>
      </c>
      <c r="S40" s="705">
        <f t="shared" si="12"/>
        <v>100</v>
      </c>
      <c r="T40" s="704" t="s">
        <v>14</v>
      </c>
      <c r="U40" s="705">
        <f t="shared" si="13"/>
        <v>100</v>
      </c>
      <c r="V40" s="704" t="s">
        <v>14</v>
      </c>
      <c r="W40" s="705">
        <f t="shared" si="14"/>
        <v>100</v>
      </c>
      <c r="X40" s="1353"/>
      <c r="Y40" s="3692"/>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0"/>
      <c r="Q41" s="1350" t="str">
        <f t="shared" si="11"/>
        <v>层高</v>
      </c>
      <c r="R41" s="704" t="s">
        <v>14</v>
      </c>
      <c r="S41" s="705">
        <f t="shared" si="12"/>
        <v>100</v>
      </c>
      <c r="T41" s="704" t="s">
        <v>14</v>
      </c>
      <c r="U41" s="705">
        <f t="shared" si="13"/>
        <v>100</v>
      </c>
      <c r="V41" s="704" t="s">
        <v>14</v>
      </c>
      <c r="W41" s="705">
        <f t="shared" si="14"/>
        <v>100</v>
      </c>
      <c r="X41" s="1353"/>
      <c r="Y41" s="3692"/>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0"/>
      <c r="Q42" s="706" t="str">
        <f t="shared" si="11"/>
        <v>单套建筑面积</v>
      </c>
      <c r="R42" s="707" t="s">
        <v>14</v>
      </c>
      <c r="S42" s="708">
        <f t="shared" si="12"/>
        <v>100</v>
      </c>
      <c r="T42" s="707" t="s">
        <v>14</v>
      </c>
      <c r="U42" s="708">
        <f t="shared" si="13"/>
        <v>100</v>
      </c>
      <c r="V42" s="707" t="s">
        <v>14</v>
      </c>
      <c r="W42" s="708">
        <f t="shared" si="14"/>
        <v>100</v>
      </c>
      <c r="X42" s="709"/>
      <c r="Y42" s="3692"/>
      <c r="Z42" s="710"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90"/>
      <c r="Q43" s="1350" t="str">
        <f t="shared" si="11"/>
        <v>内部装修</v>
      </c>
      <c r="R43" s="704" t="s">
        <v>14</v>
      </c>
      <c r="S43" s="705">
        <f t="shared" si="12"/>
        <v>100</v>
      </c>
      <c r="T43" s="704" t="s">
        <v>14</v>
      </c>
      <c r="U43" s="705">
        <f t="shared" si="13"/>
        <v>100</v>
      </c>
      <c r="V43" s="704" t="s">
        <v>14</v>
      </c>
      <c r="W43" s="705">
        <f t="shared" si="14"/>
        <v>100</v>
      </c>
      <c r="X43" s="1353"/>
      <c r="Y43" s="3692"/>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90"/>
      <c r="Q44" s="1350" t="str">
        <f t="shared" si="11"/>
        <v>内部装修维护情况</v>
      </c>
      <c r="R44" s="704" t="s">
        <v>14</v>
      </c>
      <c r="S44" s="705">
        <f t="shared" si="12"/>
        <v>100</v>
      </c>
      <c r="T44" s="704" t="s">
        <v>14</v>
      </c>
      <c r="U44" s="705">
        <f t="shared" si="13"/>
        <v>100</v>
      </c>
      <c r="V44" s="704" t="s">
        <v>14</v>
      </c>
      <c r="W44" s="705">
        <f t="shared" si="14"/>
        <v>100</v>
      </c>
      <c r="X44" s="1353"/>
      <c r="Y44" s="3692"/>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0"/>
      <c r="Q45" s="1341">
        <f t="shared" si="11"/>
        <v>111</v>
      </c>
      <c r="R45" s="700" t="s">
        <v>14</v>
      </c>
      <c r="S45" s="701">
        <f t="shared" si="12"/>
        <v>100</v>
      </c>
      <c r="T45" s="700" t="s">
        <v>14</v>
      </c>
      <c r="U45" s="701">
        <f t="shared" si="13"/>
        <v>100</v>
      </c>
      <c r="V45" s="700" t="s">
        <v>14</v>
      </c>
      <c r="W45" s="701">
        <f t="shared" si="14"/>
        <v>100</v>
      </c>
      <c r="X45" s="702"/>
      <c r="Y45" s="3692"/>
      <c r="Z45" s="52">
        <f t="shared" si="15"/>
        <v>111</v>
      </c>
      <c r="AA45" s="703">
        <f t="shared" si="3"/>
        <v>1</v>
      </c>
      <c r="AB45" s="703">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0"/>
      <c r="Q46" s="1350">
        <f t="shared" si="11"/>
        <v>111</v>
      </c>
      <c r="R46" s="704" t="s">
        <v>14</v>
      </c>
      <c r="S46" s="705">
        <f t="shared" si="12"/>
        <v>100</v>
      </c>
      <c r="T46" s="704" t="s">
        <v>14</v>
      </c>
      <c r="U46" s="705">
        <f t="shared" si="13"/>
        <v>100</v>
      </c>
      <c r="V46" s="704" t="s">
        <v>14</v>
      </c>
      <c r="W46" s="705">
        <f t="shared" si="14"/>
        <v>100</v>
      </c>
      <c r="X46" s="1353"/>
      <c r="Y46" s="3692"/>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1"/>
      <c r="Q47" s="1350">
        <f t="shared" si="11"/>
        <v>111</v>
      </c>
      <c r="R47" s="704" t="s">
        <v>14</v>
      </c>
      <c r="S47" s="705">
        <f t="shared" si="12"/>
        <v>100</v>
      </c>
      <c r="T47" s="704" t="s">
        <v>14</v>
      </c>
      <c r="U47" s="705">
        <f t="shared" si="13"/>
        <v>100</v>
      </c>
      <c r="V47" s="704" t="s">
        <v>14</v>
      </c>
      <c r="W47" s="705">
        <f t="shared" si="14"/>
        <v>100</v>
      </c>
      <c r="X47" s="1353"/>
      <c r="Y47" s="3693"/>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3"/>
      <c r="L48" s="2722"/>
      <c r="M48" s="2714"/>
      <c r="N48" s="2714"/>
      <c r="O48" s="2714"/>
      <c r="P48" s="3671" t="str">
        <f>A48</f>
        <v>成交单价（元/平方米）</v>
      </c>
      <c r="Q48" s="3694"/>
      <c r="R48" s="3695">
        <f>E48</f>
        <v>0</v>
      </c>
      <c r="S48" s="3695"/>
      <c r="T48" s="3695">
        <f>G48</f>
        <v>0</v>
      </c>
      <c r="U48" s="3695"/>
      <c r="V48" s="3695">
        <f>I48</f>
        <v>0</v>
      </c>
      <c r="W48" s="3695"/>
      <c r="X48" s="397"/>
      <c r="Y48" s="711"/>
      <c r="Z48" s="397"/>
      <c r="AA48" s="397"/>
      <c r="AB48" s="397"/>
      <c r="AC48" s="577"/>
    </row>
    <row r="49" spans="1:29" ht="15.75" thickBot="1">
      <c r="A49" s="437" t="s">
        <v>1793</v>
      </c>
      <c r="B49" s="438"/>
      <c r="C49" s="1158" t="e">
        <f>R50</f>
        <v>#DIV/0!</v>
      </c>
      <c r="D49" s="2315" t="s">
        <v>2138</v>
      </c>
      <c r="E49" s="1159" t="e">
        <f>R49</f>
        <v>#DIV/0!</v>
      </c>
      <c r="F49" s="2316"/>
      <c r="G49" s="1158" t="e">
        <f>T49</f>
        <v>#DIV/0!</v>
      </c>
      <c r="H49" s="2316"/>
      <c r="I49" s="1159" t="e">
        <f>V49</f>
        <v>#DIV/0!</v>
      </c>
      <c r="J49" s="2316"/>
      <c r="K49" s="2318">
        <f>F49+H49+J49</f>
        <v>0</v>
      </c>
      <c r="L49" s="2722"/>
      <c r="M49" s="2714"/>
      <c r="N49" s="2714"/>
      <c r="O49" s="2714"/>
      <c r="P49" s="3671"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397"/>
      <c r="Y49" s="397"/>
      <c r="Z49" s="397"/>
      <c r="AA49" s="397"/>
      <c r="AB49" s="397"/>
      <c r="AC49" s="577"/>
    </row>
    <row r="50" spans="1:29" ht="15.75" thickBot="1">
      <c r="A50" s="441" t="s">
        <v>1794</v>
      </c>
      <c r="B50" s="442"/>
      <c r="C50" s="1161" t="e">
        <f>R50</f>
        <v>#DIV/0!</v>
      </c>
      <c r="D50" s="1161"/>
      <c r="E50" s="1161"/>
      <c r="F50" s="1161"/>
      <c r="G50" s="1161"/>
      <c r="H50" s="1161"/>
      <c r="I50" s="1161"/>
      <c r="J50" s="443"/>
      <c r="K50" s="714"/>
      <c r="L50" s="2722"/>
      <c r="M50" s="2714"/>
      <c r="N50" s="2714"/>
      <c r="O50" s="2714"/>
      <c r="P50" s="3733" t="str">
        <f>A50</f>
        <v>估价对象XX用房的比较价值（楼面单价，元/平方米）</v>
      </c>
      <c r="Q50" s="3734"/>
      <c r="R50" s="3735" t="e">
        <f>IF(F1="售价",ROUND(IF(D49="简单平均",AVERAGE(R49:V49),R49*F49+T49*H49+V49*J49),0),ROUND(IF(D49="简单平均",AVERAGE(R49:V49),R49*F49+T49*H49+V49*J49),1))</f>
        <v>#DIV/0!</v>
      </c>
      <c r="S50" s="3735"/>
      <c r="T50" s="3735"/>
      <c r="U50" s="3735"/>
      <c r="V50" s="3735"/>
      <c r="W50" s="373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453.74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2" t="s">
        <v>1770</v>
      </c>
      <c r="D4" s="3673"/>
      <c r="E4" s="3674" t="s">
        <v>1771</v>
      </c>
      <c r="F4" s="3675"/>
      <c r="G4" s="3672" t="s">
        <v>1772</v>
      </c>
      <c r="H4" s="3673"/>
      <c r="I4" s="3672" t="s">
        <v>1773</v>
      </c>
      <c r="J4" s="3673"/>
      <c r="K4" s="559" t="s">
        <v>1774</v>
      </c>
      <c r="L4" s="912"/>
      <c r="M4" s="913"/>
      <c r="N4" s="913"/>
      <c r="O4" s="913"/>
      <c r="P4" s="3676" t="s">
        <v>1775</v>
      </c>
      <c r="Q4" s="3677"/>
      <c r="R4" s="3658" t="s">
        <v>1771</v>
      </c>
      <c r="S4" s="3659"/>
      <c r="T4" s="3658" t="s">
        <v>1772</v>
      </c>
      <c r="U4" s="3659"/>
      <c r="V4" s="3655" t="s">
        <v>1773</v>
      </c>
      <c r="W4" s="3655"/>
      <c r="X4" s="1353"/>
      <c r="Y4" s="3658" t="s">
        <v>1775</v>
      </c>
      <c r="Z4" s="3659"/>
      <c r="AA4" s="3652" t="s">
        <v>1771</v>
      </c>
      <c r="AB4" s="3653" t="s">
        <v>1772</v>
      </c>
      <c r="AC4" s="3652" t="s">
        <v>1773</v>
      </c>
    </row>
    <row r="5" spans="1:29" ht="15">
      <c r="A5" s="358"/>
      <c r="B5" s="359"/>
      <c r="C5" s="3664" t="s">
        <v>1673</v>
      </c>
      <c r="D5" s="3665"/>
      <c r="E5" s="3720" t="s">
        <v>1674</v>
      </c>
      <c r="F5" s="3663"/>
      <c r="G5" s="3664" t="s">
        <v>1675</v>
      </c>
      <c r="H5" s="3665"/>
      <c r="I5" s="3664" t="s">
        <v>1676</v>
      </c>
      <c r="J5" s="3665"/>
      <c r="K5" s="559"/>
      <c r="L5" s="912"/>
      <c r="M5" s="913"/>
      <c r="N5" s="913"/>
      <c r="O5" s="913"/>
      <c r="P5" s="3678"/>
      <c r="Q5" s="3679"/>
      <c r="R5" s="3660"/>
      <c r="S5" s="3661"/>
      <c r="T5" s="3660"/>
      <c r="U5" s="3661"/>
      <c r="V5" s="3655"/>
      <c r="W5" s="3655"/>
      <c r="X5" s="1353"/>
      <c r="Y5" s="3660"/>
      <c r="Z5" s="3661"/>
      <c r="AA5" s="3653"/>
      <c r="AB5" s="3653"/>
      <c r="AC5" s="3653"/>
    </row>
    <row r="6" spans="1:29" ht="15.75" thickBot="1">
      <c r="A6" s="360"/>
      <c r="B6" s="361"/>
      <c r="C6" s="3666" t="s">
        <v>1677</v>
      </c>
      <c r="D6" s="3667"/>
      <c r="E6" s="3669" t="s">
        <v>1677</v>
      </c>
      <c r="F6" s="3670"/>
      <c r="G6" s="3666" t="s">
        <v>1677</v>
      </c>
      <c r="H6" s="3667"/>
      <c r="I6" s="3666" t="s">
        <v>1677</v>
      </c>
      <c r="J6" s="3667"/>
      <c r="K6" s="559" t="s">
        <v>1678</v>
      </c>
      <c r="L6" s="912"/>
      <c r="M6" s="913"/>
      <c r="N6" s="913"/>
      <c r="O6" s="913"/>
      <c r="P6" s="3680"/>
      <c r="Q6" s="3681"/>
      <c r="R6" s="3660"/>
      <c r="S6" s="3661"/>
      <c r="T6" s="3682"/>
      <c r="U6" s="3683"/>
      <c r="V6" s="3655"/>
      <c r="W6" s="3655"/>
      <c r="X6" s="1353"/>
      <c r="Y6" s="3682"/>
      <c r="Z6" s="3683"/>
      <c r="AA6" s="3654"/>
      <c r="AB6" s="3654"/>
      <c r="AC6" s="3654"/>
    </row>
    <row r="7" spans="1:29" s="108" customFormat="1" ht="15.75" thickBot="1">
      <c r="A7" s="362" t="s">
        <v>1679</v>
      </c>
      <c r="B7" s="363"/>
      <c r="C7" s="364">
        <f>'数据-取费表'!B2</f>
        <v>45504</v>
      </c>
      <c r="D7" s="365">
        <v>100</v>
      </c>
      <c r="E7" s="366"/>
      <c r="F7" s="367">
        <f>SUMIF(52:52,YEAR(E7)&amp;"-"&amp;MONTH(E7),53:53)</f>
        <v>0</v>
      </c>
      <c r="G7" s="366"/>
      <c r="H7" s="365">
        <f>SUMIF(52:52,YEAR(G7)&amp;"-"&amp;MONTH(G7),53:53)</f>
        <v>0</v>
      </c>
      <c r="I7" s="366"/>
      <c r="J7" s="365">
        <f>SUMIF(52:52,YEAR(I7)&amp;"-"&amp;MONTH(I7),53:53)</f>
        <v>0</v>
      </c>
      <c r="K7" s="560"/>
      <c r="L7" s="914"/>
      <c r="M7" s="915"/>
      <c r="N7" s="915"/>
      <c r="O7" s="915"/>
      <c r="P7" s="3656" t="s">
        <v>1680</v>
      </c>
      <c r="Q7" s="3684"/>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56" t="s">
        <v>1683</v>
      </c>
      <c r="Q8" s="3657"/>
      <c r="R8" s="700" t="s">
        <v>14</v>
      </c>
      <c r="S8" s="701">
        <f t="shared" si="0"/>
        <v>100</v>
      </c>
      <c r="T8" s="700" t="s">
        <v>14</v>
      </c>
      <c r="U8" s="701">
        <f t="shared" si="1"/>
        <v>100</v>
      </c>
      <c r="V8" s="700" t="s">
        <v>14</v>
      </c>
      <c r="W8" s="701">
        <f t="shared" si="2"/>
        <v>100</v>
      </c>
      <c r="X8" s="702"/>
      <c r="Y8" s="3656" t="s">
        <v>1683</v>
      </c>
      <c r="Z8" s="3657"/>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4" t="s">
        <v>1686</v>
      </c>
      <c r="Q9" s="1341" t="str">
        <f t="shared" ref="Q9:Q15" si="6">B9</f>
        <v>用途</v>
      </c>
      <c r="R9" s="700" t="s">
        <v>14</v>
      </c>
      <c r="S9" s="701">
        <f t="shared" si="0"/>
        <v>100</v>
      </c>
      <c r="T9" s="700" t="s">
        <v>14</v>
      </c>
      <c r="U9" s="701">
        <f t="shared" si="1"/>
        <v>100</v>
      </c>
      <c r="V9" s="700" t="s">
        <v>14</v>
      </c>
      <c r="W9" s="701">
        <f t="shared" si="2"/>
        <v>100</v>
      </c>
      <c r="X9" s="702"/>
      <c r="Y9" s="3620"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94"/>
      <c r="Q10" s="1341" t="str">
        <f t="shared" si="6"/>
        <v>土地使用年限（年）</v>
      </c>
      <c r="R10" s="700" t="s">
        <v>14</v>
      </c>
      <c r="S10" s="701">
        <f t="shared" si="0"/>
        <v>100</v>
      </c>
      <c r="T10" s="700" t="s">
        <v>14</v>
      </c>
      <c r="U10" s="701">
        <f t="shared" si="1"/>
        <v>100</v>
      </c>
      <c r="V10" s="700" t="s">
        <v>14</v>
      </c>
      <c r="W10" s="701">
        <f t="shared" si="2"/>
        <v>100</v>
      </c>
      <c r="X10" s="702"/>
      <c r="Y10" s="3620"/>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4"/>
      <c r="Q11" s="1341" t="str">
        <f t="shared" si="6"/>
        <v>容积率</v>
      </c>
      <c r="R11" s="700" t="s">
        <v>14</v>
      </c>
      <c r="S11" s="701">
        <f t="shared" si="0"/>
        <v>100</v>
      </c>
      <c r="T11" s="700" t="s">
        <v>14</v>
      </c>
      <c r="U11" s="701">
        <f t="shared" si="1"/>
        <v>100</v>
      </c>
      <c r="V11" s="700" t="s">
        <v>14</v>
      </c>
      <c r="W11" s="701">
        <f t="shared" si="2"/>
        <v>100</v>
      </c>
      <c r="X11" s="702"/>
      <c r="Y11" s="3620"/>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694"/>
      <c r="Q12" s="1341">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694"/>
      <c r="Q13" s="1341">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694"/>
      <c r="Q14" s="1341">
        <f t="shared" si="6"/>
        <v>111</v>
      </c>
      <c r="R14" s="700" t="s">
        <v>14</v>
      </c>
      <c r="S14" s="701">
        <f t="shared" si="0"/>
        <v>100</v>
      </c>
      <c r="T14" s="700" t="s">
        <v>14</v>
      </c>
      <c r="U14" s="701">
        <f t="shared" si="1"/>
        <v>100</v>
      </c>
      <c r="V14" s="700" t="s">
        <v>14</v>
      </c>
      <c r="W14" s="701">
        <f t="shared" si="2"/>
        <v>100</v>
      </c>
      <c r="X14" s="702"/>
      <c r="Y14" s="3620"/>
      <c r="Z14" s="52">
        <f t="shared" si="7"/>
        <v>111</v>
      </c>
      <c r="AA14" s="703">
        <f t="shared" si="3"/>
        <v>1</v>
      </c>
      <c r="AB14" s="703">
        <f t="shared" si="4"/>
        <v>1</v>
      </c>
      <c r="AC14" s="703">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7" t="s">
        <v>1691</v>
      </c>
      <c r="Q15" s="1350" t="str">
        <f t="shared" si="6"/>
        <v>产业集聚程度</v>
      </c>
      <c r="R15" s="704" t="s">
        <v>14</v>
      </c>
      <c r="S15" s="705">
        <f t="shared" si="0"/>
        <v>100</v>
      </c>
      <c r="T15" s="704" t="s">
        <v>14</v>
      </c>
      <c r="U15" s="705">
        <f t="shared" si="1"/>
        <v>100</v>
      </c>
      <c r="V15" s="704" t="s">
        <v>14</v>
      </c>
      <c r="W15" s="705">
        <f t="shared" si="2"/>
        <v>100</v>
      </c>
      <c r="X15" s="1353"/>
      <c r="Y15" s="3687"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88"/>
      <c r="Q16" s="1350"/>
      <c r="R16" s="704"/>
      <c r="S16" s="705"/>
      <c r="T16" s="704"/>
      <c r="U16" s="705"/>
      <c r="V16" s="704"/>
      <c r="W16" s="705"/>
      <c r="X16" s="1353"/>
      <c r="Y16" s="3688"/>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8"/>
      <c r="Q17" s="1350" t="str">
        <f>B17</f>
        <v>交通便捷度</v>
      </c>
      <c r="R17" s="704" t="s">
        <v>14</v>
      </c>
      <c r="S17" s="705">
        <f>F17</f>
        <v>100</v>
      </c>
      <c r="T17" s="704" t="s">
        <v>14</v>
      </c>
      <c r="U17" s="705">
        <f>H17</f>
        <v>100</v>
      </c>
      <c r="V17" s="704" t="s">
        <v>14</v>
      </c>
      <c r="W17" s="705">
        <f>J17</f>
        <v>100</v>
      </c>
      <c r="X17" s="1353"/>
      <c r="Y17" s="368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688"/>
      <c r="Q18" s="1350"/>
      <c r="R18" s="704"/>
      <c r="S18" s="705"/>
      <c r="T18" s="704"/>
      <c r="U18" s="705"/>
      <c r="V18" s="704"/>
      <c r="W18" s="705"/>
      <c r="X18" s="1353"/>
      <c r="Y18" s="3688"/>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8"/>
      <c r="Q19" s="1350" t="str">
        <f>B19</f>
        <v>公共配套设施</v>
      </c>
      <c r="R19" s="704" t="s">
        <v>14</v>
      </c>
      <c r="S19" s="705">
        <f>F19</f>
        <v>100</v>
      </c>
      <c r="T19" s="704" t="s">
        <v>14</v>
      </c>
      <c r="U19" s="705">
        <f>H19</f>
        <v>100</v>
      </c>
      <c r="V19" s="704" t="s">
        <v>14</v>
      </c>
      <c r="W19" s="705">
        <f>J19</f>
        <v>100</v>
      </c>
      <c r="X19" s="1353"/>
      <c r="Y19" s="368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688"/>
      <c r="Q20" s="1350"/>
      <c r="R20" s="704"/>
      <c r="S20" s="705"/>
      <c r="T20" s="704"/>
      <c r="U20" s="705"/>
      <c r="V20" s="704"/>
      <c r="W20" s="705"/>
      <c r="X20" s="1353"/>
      <c r="Y20" s="3688"/>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8"/>
      <c r="Q21" s="1350" t="str">
        <f>B21</f>
        <v>基础设施水平</v>
      </c>
      <c r="R21" s="704" t="s">
        <v>14</v>
      </c>
      <c r="S21" s="705">
        <f>F21</f>
        <v>100</v>
      </c>
      <c r="T21" s="704" t="s">
        <v>14</v>
      </c>
      <c r="U21" s="705">
        <f>H21</f>
        <v>100</v>
      </c>
      <c r="V21" s="704" t="s">
        <v>14</v>
      </c>
      <c r="W21" s="705">
        <f>J21</f>
        <v>100</v>
      </c>
      <c r="X21" s="1353"/>
      <c r="Y21" s="368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2"/>
      <c r="M22" s="913"/>
      <c r="N22" s="913"/>
      <c r="O22" s="921"/>
      <c r="P22" s="3688"/>
      <c r="Q22" s="1350"/>
      <c r="R22" s="704"/>
      <c r="S22" s="705"/>
      <c r="T22" s="704"/>
      <c r="U22" s="705"/>
      <c r="V22" s="704"/>
      <c r="W22" s="705"/>
      <c r="X22" s="1353"/>
      <c r="Y22" s="3688"/>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8"/>
      <c r="Q23" s="1350" t="str">
        <f>B23</f>
        <v>环境质量</v>
      </c>
      <c r="R23" s="704" t="s">
        <v>14</v>
      </c>
      <c r="S23" s="705">
        <f>F23</f>
        <v>100</v>
      </c>
      <c r="T23" s="704" t="s">
        <v>14</v>
      </c>
      <c r="U23" s="705">
        <f>H23</f>
        <v>100</v>
      </c>
      <c r="V23" s="704" t="s">
        <v>14</v>
      </c>
      <c r="W23" s="705">
        <f>J23</f>
        <v>100</v>
      </c>
      <c r="X23" s="1353"/>
      <c r="Y23" s="3688"/>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2"/>
      <c r="M24" s="913"/>
      <c r="N24" s="913"/>
      <c r="O24" s="921"/>
      <c r="P24" s="3688"/>
      <c r="Q24" s="1350"/>
      <c r="R24" s="704"/>
      <c r="S24" s="705"/>
      <c r="T24" s="704"/>
      <c r="U24" s="705"/>
      <c r="V24" s="704"/>
      <c r="W24" s="705"/>
      <c r="X24" s="1353"/>
      <c r="Y24" s="3688"/>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8"/>
      <c r="Q25" s="1350">
        <f>B25</f>
        <v>111</v>
      </c>
      <c r="R25" s="704" t="s">
        <v>14</v>
      </c>
      <c r="S25" s="705">
        <f>F25</f>
        <v>100</v>
      </c>
      <c r="T25" s="704" t="s">
        <v>14</v>
      </c>
      <c r="U25" s="705">
        <f>H25</f>
        <v>100</v>
      </c>
      <c r="V25" s="704" t="s">
        <v>14</v>
      </c>
      <c r="W25" s="705">
        <f>J25</f>
        <v>100</v>
      </c>
      <c r="X25" s="1353"/>
      <c r="Y25" s="3688"/>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8"/>
      <c r="Q26" s="1350">
        <f t="shared" ref="Q26:Q40" si="11">B26</f>
        <v>111</v>
      </c>
      <c r="R26" s="704" t="s">
        <v>14</v>
      </c>
      <c r="S26" s="705">
        <f>F26</f>
        <v>100</v>
      </c>
      <c r="T26" s="704" t="s">
        <v>14</v>
      </c>
      <c r="U26" s="705">
        <f>H26</f>
        <v>100</v>
      </c>
      <c r="V26" s="704" t="s">
        <v>14</v>
      </c>
      <c r="W26" s="705">
        <f>J26</f>
        <v>100</v>
      </c>
      <c r="X26" s="1353"/>
      <c r="Y26" s="3688"/>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8"/>
      <c r="Q27" s="1341">
        <f t="shared" si="11"/>
        <v>111</v>
      </c>
      <c r="R27" s="700" t="s">
        <v>14</v>
      </c>
      <c r="S27" s="701">
        <f>F27</f>
        <v>100</v>
      </c>
      <c r="T27" s="700" t="s">
        <v>14</v>
      </c>
      <c r="U27" s="701">
        <f>H27</f>
        <v>100</v>
      </c>
      <c r="V27" s="700" t="s">
        <v>14</v>
      </c>
      <c r="W27" s="701">
        <f>J27</f>
        <v>100</v>
      </c>
      <c r="X27" s="702"/>
      <c r="Y27" s="3688"/>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8"/>
      <c r="Q28" s="1350">
        <f t="shared" si="11"/>
        <v>111</v>
      </c>
      <c r="R28" s="704" t="s">
        <v>14</v>
      </c>
      <c r="S28" s="705">
        <f t="shared" ref="S28:S40" si="12">F28</f>
        <v>100</v>
      </c>
      <c r="T28" s="704" t="s">
        <v>14</v>
      </c>
      <c r="U28" s="705">
        <f t="shared" ref="U28:U40" si="13">H28</f>
        <v>100</v>
      </c>
      <c r="V28" s="704" t="s">
        <v>14</v>
      </c>
      <c r="W28" s="705">
        <f t="shared" ref="W28:W40" si="14">J28</f>
        <v>100</v>
      </c>
      <c r="X28" s="1353"/>
      <c r="Y28" s="3688"/>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36" t="s">
        <v>1696</v>
      </c>
      <c r="Q29" s="1350" t="str">
        <f t="shared" si="11"/>
        <v>建筑类型</v>
      </c>
      <c r="R29" s="704" t="s">
        <v>14</v>
      </c>
      <c r="S29" s="705">
        <f t="shared" si="12"/>
        <v>100</v>
      </c>
      <c r="T29" s="704" t="s">
        <v>14</v>
      </c>
      <c r="U29" s="705">
        <f t="shared" si="13"/>
        <v>100</v>
      </c>
      <c r="V29" s="704" t="s">
        <v>14</v>
      </c>
      <c r="W29" s="705">
        <f t="shared" si="14"/>
        <v>100</v>
      </c>
      <c r="X29" s="1353"/>
      <c r="Y29" s="3692"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2"/>
      <c r="Q30" s="706" t="str">
        <f t="shared" si="11"/>
        <v>项目建筑规模</v>
      </c>
      <c r="R30" s="707" t="s">
        <v>14</v>
      </c>
      <c r="S30" s="708" t="e">
        <f t="shared" si="12"/>
        <v>#N/A</v>
      </c>
      <c r="T30" s="707" t="s">
        <v>14</v>
      </c>
      <c r="U30" s="708" t="e">
        <f t="shared" si="13"/>
        <v>#N/A</v>
      </c>
      <c r="V30" s="707" t="s">
        <v>14</v>
      </c>
      <c r="W30" s="708" t="e">
        <f t="shared" si="14"/>
        <v>#N/A</v>
      </c>
      <c r="X30" s="709"/>
      <c r="Y30" s="3692"/>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2"/>
      <c r="Q31" s="1350" t="str">
        <f t="shared" si="11"/>
        <v>建筑结构</v>
      </c>
      <c r="R31" s="704" t="s">
        <v>14</v>
      </c>
      <c r="S31" s="705">
        <f t="shared" si="12"/>
        <v>100</v>
      </c>
      <c r="T31" s="704" t="s">
        <v>14</v>
      </c>
      <c r="U31" s="705">
        <f t="shared" si="13"/>
        <v>100</v>
      </c>
      <c r="V31" s="704" t="s">
        <v>14</v>
      </c>
      <c r="W31" s="705">
        <f t="shared" si="14"/>
        <v>100</v>
      </c>
      <c r="X31" s="1353"/>
      <c r="Y31" s="3692"/>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2"/>
      <c r="Q32" s="1350" t="str">
        <f t="shared" si="11"/>
        <v>公共部分装修</v>
      </c>
      <c r="R32" s="704" t="s">
        <v>14</v>
      </c>
      <c r="S32" s="705">
        <f t="shared" si="12"/>
        <v>100</v>
      </c>
      <c r="T32" s="704" t="s">
        <v>14</v>
      </c>
      <c r="U32" s="705">
        <f t="shared" si="13"/>
        <v>100</v>
      </c>
      <c r="V32" s="704" t="s">
        <v>14</v>
      </c>
      <c r="W32" s="705">
        <f t="shared" si="14"/>
        <v>100</v>
      </c>
      <c r="X32" s="1353"/>
      <c r="Y32" s="3692"/>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2"/>
      <c r="Q33" s="1350" t="str">
        <f t="shared" si="11"/>
        <v>成新度</v>
      </c>
      <c r="R33" s="704" t="s">
        <v>14</v>
      </c>
      <c r="S33" s="705" t="e">
        <f t="shared" si="12"/>
        <v>#N/A</v>
      </c>
      <c r="T33" s="704" t="s">
        <v>14</v>
      </c>
      <c r="U33" s="705" t="e">
        <f t="shared" si="13"/>
        <v>#N/A</v>
      </c>
      <c r="V33" s="704" t="s">
        <v>14</v>
      </c>
      <c r="W33" s="705" t="e">
        <f t="shared" si="14"/>
        <v>#N/A</v>
      </c>
      <c r="X33" s="1353"/>
      <c r="Y33" s="3692"/>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2"/>
      <c r="Q34" s="1341" t="str">
        <f t="shared" si="11"/>
        <v>物业管理</v>
      </c>
      <c r="R34" s="700" t="s">
        <v>14</v>
      </c>
      <c r="S34" s="701">
        <f t="shared" si="12"/>
        <v>100</v>
      </c>
      <c r="T34" s="700" t="s">
        <v>14</v>
      </c>
      <c r="U34" s="701">
        <f t="shared" si="13"/>
        <v>100</v>
      </c>
      <c r="V34" s="700" t="s">
        <v>14</v>
      </c>
      <c r="W34" s="701">
        <f t="shared" si="14"/>
        <v>100</v>
      </c>
      <c r="X34" s="702"/>
      <c r="Y34" s="3692"/>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2" t="s">
        <v>1696</v>
      </c>
      <c r="Q35" s="1350" t="str">
        <f t="shared" si="11"/>
        <v>市政基础设施</v>
      </c>
      <c r="R35" s="704" t="s">
        <v>14</v>
      </c>
      <c r="S35" s="705">
        <f t="shared" si="12"/>
        <v>100</v>
      </c>
      <c r="T35" s="704" t="s">
        <v>14</v>
      </c>
      <c r="U35" s="705">
        <f t="shared" si="13"/>
        <v>100</v>
      </c>
      <c r="V35" s="704" t="s">
        <v>14</v>
      </c>
      <c r="W35" s="705">
        <f t="shared" si="14"/>
        <v>100</v>
      </c>
      <c r="X35" s="1353"/>
      <c r="Y35" s="3692"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2"/>
      <c r="Q36" s="1350" t="str">
        <f t="shared" si="11"/>
        <v>内部装修</v>
      </c>
      <c r="R36" s="704" t="s">
        <v>14</v>
      </c>
      <c r="S36" s="705">
        <f t="shared" si="12"/>
        <v>100</v>
      </c>
      <c r="T36" s="704" t="s">
        <v>14</v>
      </c>
      <c r="U36" s="705">
        <f t="shared" si="13"/>
        <v>100</v>
      </c>
      <c r="V36" s="704" t="s">
        <v>14</v>
      </c>
      <c r="W36" s="705">
        <f t="shared" si="14"/>
        <v>100</v>
      </c>
      <c r="X36" s="1353"/>
      <c r="Y36" s="3692"/>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2"/>
      <c r="Q37" s="1350" t="str">
        <f t="shared" si="11"/>
        <v>内部装修状况</v>
      </c>
      <c r="R37" s="704" t="s">
        <v>14</v>
      </c>
      <c r="S37" s="705">
        <f t="shared" si="12"/>
        <v>100</v>
      </c>
      <c r="T37" s="704" t="s">
        <v>14</v>
      </c>
      <c r="U37" s="705">
        <f t="shared" si="13"/>
        <v>100</v>
      </c>
      <c r="V37" s="704" t="s">
        <v>14</v>
      </c>
      <c r="W37" s="705">
        <f t="shared" si="14"/>
        <v>100</v>
      </c>
      <c r="X37" s="1353"/>
      <c r="Y37" s="3692"/>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2"/>
      <c r="Q38" s="706">
        <f t="shared" si="11"/>
        <v>111</v>
      </c>
      <c r="R38" s="707" t="s">
        <v>14</v>
      </c>
      <c r="S38" s="708">
        <f t="shared" si="12"/>
        <v>100</v>
      </c>
      <c r="T38" s="707" t="s">
        <v>14</v>
      </c>
      <c r="U38" s="708">
        <f t="shared" si="13"/>
        <v>100</v>
      </c>
      <c r="V38" s="707" t="s">
        <v>14</v>
      </c>
      <c r="W38" s="708">
        <f t="shared" si="14"/>
        <v>100</v>
      </c>
      <c r="X38" s="709"/>
      <c r="Y38" s="3692"/>
      <c r="Z38" s="710">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2"/>
      <c r="Q39" s="1350">
        <f t="shared" si="11"/>
        <v>111</v>
      </c>
      <c r="R39" s="704" t="s">
        <v>14</v>
      </c>
      <c r="S39" s="705">
        <f t="shared" si="12"/>
        <v>100</v>
      </c>
      <c r="T39" s="704" t="s">
        <v>14</v>
      </c>
      <c r="U39" s="705">
        <f t="shared" si="13"/>
        <v>100</v>
      </c>
      <c r="V39" s="704" t="s">
        <v>14</v>
      </c>
      <c r="W39" s="705">
        <f t="shared" si="14"/>
        <v>100</v>
      </c>
      <c r="X39" s="1353"/>
      <c r="Y39" s="3692"/>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3"/>
      <c r="Q40" s="1350">
        <f t="shared" si="11"/>
        <v>111</v>
      </c>
      <c r="R40" s="704" t="s">
        <v>14</v>
      </c>
      <c r="S40" s="705">
        <f t="shared" si="12"/>
        <v>100</v>
      </c>
      <c r="T40" s="704" t="s">
        <v>14</v>
      </c>
      <c r="U40" s="705">
        <f t="shared" si="13"/>
        <v>100</v>
      </c>
      <c r="V40" s="704" t="s">
        <v>14</v>
      </c>
      <c r="W40" s="705">
        <f t="shared" si="14"/>
        <v>100</v>
      </c>
      <c r="X40" s="1353"/>
      <c r="Y40" s="3693"/>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3"/>
      <c r="L41" s="925"/>
      <c r="M41" s="926"/>
      <c r="N41" s="913"/>
      <c r="O41" s="926"/>
      <c r="P41" s="3694" t="str">
        <f>A41</f>
        <v>成交单价（元/平方米）</v>
      </c>
      <c r="Q41" s="3694"/>
      <c r="R41" s="3695">
        <f>E41</f>
        <v>0</v>
      </c>
      <c r="S41" s="3695"/>
      <c r="T41" s="3695">
        <f>G41</f>
        <v>0</v>
      </c>
      <c r="U41" s="3695"/>
      <c r="V41" s="3695">
        <f>I41</f>
        <v>0</v>
      </c>
      <c r="W41" s="3695"/>
      <c r="X41" s="689"/>
      <c r="Y41" s="711"/>
      <c r="Z41" s="689"/>
      <c r="AA41" s="689"/>
      <c r="AB41" s="689"/>
      <c r="AC41" s="689"/>
    </row>
    <row r="42" spans="1:29" ht="15.75" thickBot="1">
      <c r="A42" s="437" t="s">
        <v>1793</v>
      </c>
      <c r="B42" s="438"/>
      <c r="C42" s="1158" t="e">
        <f>R43</f>
        <v>#DIV/0!</v>
      </c>
      <c r="D42" s="2315" t="s">
        <v>2138</v>
      </c>
      <c r="E42" s="1159" t="e">
        <f>R42</f>
        <v>#DIV/0!</v>
      </c>
      <c r="F42" s="2316"/>
      <c r="G42" s="1158" t="e">
        <f>T42</f>
        <v>#DIV/0!</v>
      </c>
      <c r="H42" s="2316"/>
      <c r="I42" s="1159" t="e">
        <f>V42</f>
        <v>#DIV/0!</v>
      </c>
      <c r="J42" s="2316"/>
      <c r="K42" s="2318">
        <f>F42+H42+J42</f>
        <v>0</v>
      </c>
      <c r="L42" s="925"/>
      <c r="M42" s="926"/>
      <c r="N42" s="913"/>
      <c r="O42" s="926"/>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89"/>
      <c r="Y42" s="689"/>
      <c r="Z42" s="689"/>
      <c r="AA42" s="689"/>
      <c r="AB42" s="689"/>
      <c r="AC42" s="689"/>
    </row>
    <row r="43" spans="1:29" ht="15.75" thickBot="1">
      <c r="A43" s="441" t="s">
        <v>1794</v>
      </c>
      <c r="B43" s="442"/>
      <c r="C43" s="1161" t="e">
        <f>R43</f>
        <v>#DIV/0!</v>
      </c>
      <c r="D43" s="1161"/>
      <c r="E43" s="1161"/>
      <c r="F43" s="1161"/>
      <c r="G43" s="1161"/>
      <c r="H43" s="1161"/>
      <c r="I43" s="1161"/>
      <c r="J43" s="1161"/>
      <c r="K43" s="714"/>
      <c r="L43" s="925"/>
      <c r="M43" s="926"/>
      <c r="N43" s="926"/>
      <c r="O43" s="926"/>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受贵公司委托，我公司对北京市顺义区金关北二路2号院2号楼1层115房地产抵押价值进行了预评估。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估价对象为北京市顺义区金关北二路2号院2号楼1层115房地产，为所有。根据《国有土地使用证》[]，估价对象（分摊）出让国有建设用地使用权面积为0平方米，建筑面积为453.74平方米。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金关北二路2号院2号楼1层115房地产,属开发建设的，该项目尚在开发建设中。根据《国有土地使用证》[]，估价对象（分摊）出让国有建设用地使用权面积为0平方米，规划建筑面积为453.74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顺义区金关北二路2号院2号楼1层115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2024年7月31日（评估专业人员实地查勘之日）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31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3334</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1163"/>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3"/>
      <c r="Q3" s="698"/>
      <c r="R3" s="698"/>
      <c r="S3" s="698"/>
      <c r="T3" s="698"/>
      <c r="U3" s="698"/>
      <c r="V3" s="698"/>
      <c r="W3" s="698"/>
      <c r="X3" s="698"/>
      <c r="Y3" s="698"/>
      <c r="Z3" s="698"/>
      <c r="AA3" s="698"/>
      <c r="AB3" s="715"/>
      <c r="AC3" s="712"/>
    </row>
    <row r="4" spans="1:29" ht="15">
      <c r="A4" s="355" t="s">
        <v>1769</v>
      </c>
      <c r="B4" s="356"/>
      <c r="C4" s="3672" t="s">
        <v>1770</v>
      </c>
      <c r="D4" s="3673"/>
      <c r="E4" s="3674" t="s">
        <v>1771</v>
      </c>
      <c r="F4" s="3675"/>
      <c r="G4" s="3672" t="s">
        <v>1772</v>
      </c>
      <c r="H4" s="3673"/>
      <c r="I4" s="3672" t="s">
        <v>1773</v>
      </c>
      <c r="J4" s="3673"/>
      <c r="K4" s="559" t="s">
        <v>1774</v>
      </c>
      <c r="L4" s="2713"/>
      <c r="M4" s="2714"/>
      <c r="N4" s="2714"/>
      <c r="O4" s="2714"/>
      <c r="P4" s="3676" t="s">
        <v>1775</v>
      </c>
      <c r="Q4" s="3677"/>
      <c r="R4" s="3658" t="s">
        <v>1771</v>
      </c>
      <c r="S4" s="3659"/>
      <c r="T4" s="3658" t="s">
        <v>1772</v>
      </c>
      <c r="U4" s="3659"/>
      <c r="V4" s="3655" t="s">
        <v>1773</v>
      </c>
      <c r="W4" s="3655"/>
      <c r="X4" s="1353"/>
      <c r="Y4" s="3658" t="s">
        <v>1775</v>
      </c>
      <c r="Z4" s="3659"/>
      <c r="AA4" s="3652" t="s">
        <v>1771</v>
      </c>
      <c r="AB4" s="3653" t="s">
        <v>1772</v>
      </c>
      <c r="AC4" s="3652" t="s">
        <v>1773</v>
      </c>
    </row>
    <row r="5" spans="1:29" ht="15">
      <c r="A5" s="358"/>
      <c r="B5" s="359"/>
      <c r="C5" s="3664" t="s">
        <v>1673</v>
      </c>
      <c r="D5" s="3665"/>
      <c r="E5" s="3720" t="s">
        <v>1674</v>
      </c>
      <c r="F5" s="3663"/>
      <c r="G5" s="3664" t="s">
        <v>1675</v>
      </c>
      <c r="H5" s="3665"/>
      <c r="I5" s="3664" t="s">
        <v>1676</v>
      </c>
      <c r="J5" s="3665"/>
      <c r="K5" s="559"/>
      <c r="L5" s="2713"/>
      <c r="M5" s="2714"/>
      <c r="N5" s="2714"/>
      <c r="O5" s="2714"/>
      <c r="P5" s="3678"/>
      <c r="Q5" s="3679"/>
      <c r="R5" s="3660"/>
      <c r="S5" s="3661"/>
      <c r="T5" s="3660"/>
      <c r="U5" s="3661"/>
      <c r="V5" s="3655"/>
      <c r="W5" s="3655"/>
      <c r="X5" s="1353"/>
      <c r="Y5" s="3660"/>
      <c r="Z5" s="3661"/>
      <c r="AA5" s="3653"/>
      <c r="AB5" s="3653"/>
      <c r="AC5" s="3653"/>
    </row>
    <row r="6" spans="1:29" ht="15.75" thickBot="1">
      <c r="A6" s="360"/>
      <c r="B6" s="361"/>
      <c r="C6" s="3666" t="s">
        <v>1677</v>
      </c>
      <c r="D6" s="3667"/>
      <c r="E6" s="3669" t="s">
        <v>1677</v>
      </c>
      <c r="F6" s="3670"/>
      <c r="G6" s="3666" t="s">
        <v>1677</v>
      </c>
      <c r="H6" s="3667"/>
      <c r="I6" s="3666" t="s">
        <v>1677</v>
      </c>
      <c r="J6" s="3667"/>
      <c r="K6" s="559" t="s">
        <v>1678</v>
      </c>
      <c r="L6" s="2713"/>
      <c r="M6" s="2714"/>
      <c r="N6" s="2714"/>
      <c r="O6" s="2714"/>
      <c r="P6" s="3680"/>
      <c r="Q6" s="3681"/>
      <c r="R6" s="3660"/>
      <c r="S6" s="3661"/>
      <c r="T6" s="3682"/>
      <c r="U6" s="3683"/>
      <c r="V6" s="3655"/>
      <c r="W6" s="3655"/>
      <c r="X6" s="1353"/>
      <c r="Y6" s="3682"/>
      <c r="Z6" s="3683"/>
      <c r="AA6" s="3654"/>
      <c r="AB6" s="3654"/>
      <c r="AC6" s="3654"/>
    </row>
    <row r="7" spans="1:29" s="108" customFormat="1" ht="15.75" thickBot="1">
      <c r="A7" s="362" t="s">
        <v>1679</v>
      </c>
      <c r="B7" s="363"/>
      <c r="C7" s="364">
        <f>'数据-取费表'!B2</f>
        <v>45504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56" t="s">
        <v>1680</v>
      </c>
      <c r="Q7" s="3684"/>
      <c r="R7" s="700" t="s">
        <v>14</v>
      </c>
      <c r="S7" s="701">
        <f t="shared" ref="S7:S14" si="0">F7</f>
        <v>0</v>
      </c>
      <c r="T7" s="700" t="s">
        <v>14</v>
      </c>
      <c r="U7" s="701">
        <f t="shared" ref="U7:U14" si="1">H7</f>
        <v>0</v>
      </c>
      <c r="V7" s="700" t="s">
        <v>14</v>
      </c>
      <c r="W7" s="701">
        <f t="shared" ref="W7:W14"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56" t="s">
        <v>1683</v>
      </c>
      <c r="Q8" s="3657"/>
      <c r="R8" s="700" t="s">
        <v>14</v>
      </c>
      <c r="S8" s="701">
        <f t="shared" si="0"/>
        <v>100</v>
      </c>
      <c r="T8" s="700" t="s">
        <v>14</v>
      </c>
      <c r="U8" s="701">
        <f t="shared" si="1"/>
        <v>100</v>
      </c>
      <c r="V8" s="700" t="s">
        <v>14</v>
      </c>
      <c r="W8" s="701">
        <f t="shared" si="2"/>
        <v>100</v>
      </c>
      <c r="X8" s="702"/>
      <c r="Y8" s="3656" t="s">
        <v>1683</v>
      </c>
      <c r="Z8" s="3657"/>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4" t="s">
        <v>1686</v>
      </c>
      <c r="Q9" s="1341" t="str">
        <f t="shared" ref="Q9:Q14" si="6">B9</f>
        <v>用途</v>
      </c>
      <c r="R9" s="700" t="s">
        <v>14</v>
      </c>
      <c r="S9" s="701">
        <f t="shared" si="0"/>
        <v>100</v>
      </c>
      <c r="T9" s="700" t="s">
        <v>14</v>
      </c>
      <c r="U9" s="701">
        <f t="shared" si="1"/>
        <v>100</v>
      </c>
      <c r="V9" s="700" t="s">
        <v>14</v>
      </c>
      <c r="W9" s="701">
        <f t="shared" si="2"/>
        <v>100</v>
      </c>
      <c r="X9" s="702"/>
      <c r="Y9" s="3620"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4"/>
      <c r="Q10" s="1341" t="str">
        <f t="shared" si="6"/>
        <v>土地使用年限（年）</v>
      </c>
      <c r="R10" s="700" t="s">
        <v>14</v>
      </c>
      <c r="S10" s="701">
        <f t="shared" si="0"/>
        <v>100</v>
      </c>
      <c r="T10" s="700" t="s">
        <v>14</v>
      </c>
      <c r="U10" s="701">
        <f t="shared" si="1"/>
        <v>100</v>
      </c>
      <c r="V10" s="700" t="s">
        <v>14</v>
      </c>
      <c r="W10" s="701">
        <f t="shared" si="2"/>
        <v>100</v>
      </c>
      <c r="X10" s="702"/>
      <c r="Y10" s="3620"/>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4"/>
      <c r="Q11" s="1341">
        <f t="shared" si="6"/>
        <v>111</v>
      </c>
      <c r="R11" s="700" t="s">
        <v>14</v>
      </c>
      <c r="S11" s="701">
        <f t="shared" si="0"/>
        <v>100</v>
      </c>
      <c r="T11" s="700" t="s">
        <v>14</v>
      </c>
      <c r="U11" s="701">
        <f t="shared" si="1"/>
        <v>100</v>
      </c>
      <c r="V11" s="700" t="s">
        <v>14</v>
      </c>
      <c r="W11" s="701">
        <f t="shared" si="2"/>
        <v>100</v>
      </c>
      <c r="X11" s="702"/>
      <c r="Y11" s="3620"/>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4"/>
      <c r="Q12" s="1341">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4"/>
      <c r="Q13" s="1341">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703">
        <f t="shared" si="5"/>
        <v>1</v>
      </c>
    </row>
    <row r="14" spans="1:29" ht="99.75">
      <c r="A14" s="355" t="s">
        <v>1690</v>
      </c>
      <c r="B14" s="576" t="s">
        <v>1833</v>
      </c>
      <c r="C14" s="1969" t="str">
        <f>IF(B1="工业",估价对象房地状况!G4,估价对象房地状况!C6)</f>
        <v>估价对象周边道路状况、公共交通通达情况915、918、955等、停车便捷程度，综合评价交通便捷度一般</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7" t="s">
        <v>1691</v>
      </c>
      <c r="Q14" s="1350" t="str">
        <f t="shared" si="6"/>
        <v>交通便捷度</v>
      </c>
      <c r="R14" s="704" t="s">
        <v>14</v>
      </c>
      <c r="S14" s="705">
        <f t="shared" si="0"/>
        <v>100</v>
      </c>
      <c r="T14" s="704" t="s">
        <v>14</v>
      </c>
      <c r="U14" s="705">
        <f t="shared" si="1"/>
        <v>100</v>
      </c>
      <c r="V14" s="704" t="s">
        <v>14</v>
      </c>
      <c r="W14" s="705">
        <f t="shared" si="2"/>
        <v>100</v>
      </c>
      <c r="X14" s="1353"/>
      <c r="Y14" s="3687" t="s">
        <v>1691</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20"/>
      <c r="M15" s="2714"/>
      <c r="N15" s="2714"/>
      <c r="O15" s="2714"/>
      <c r="P15" s="3688"/>
      <c r="Q15" s="1350"/>
      <c r="R15" s="704"/>
      <c r="S15" s="705"/>
      <c r="T15" s="704"/>
      <c r="U15" s="705"/>
      <c r="V15" s="704"/>
      <c r="W15" s="705"/>
      <c r="X15" s="1353"/>
      <c r="Y15" s="3688"/>
      <c r="Z15" s="1354"/>
      <c r="AA15" s="1351">
        <v>1</v>
      </c>
      <c r="AB15" s="1351">
        <v>1</v>
      </c>
      <c r="AC15" s="1351">
        <v>1</v>
      </c>
    </row>
    <row r="16" spans="1:29" ht="42.75">
      <c r="A16" s="358"/>
      <c r="B16" s="578" t="s">
        <v>1812</v>
      </c>
      <c r="C16" s="1898" t="str">
        <f>IF(B1="工业",估价对象房地状况!G5,估价对象房地状况!C7)</f>
        <v>估价对象所在区域公共配套设施齐备情况一般</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88"/>
      <c r="Q16" s="1350" t="str">
        <f>B16</f>
        <v>公共配套设施</v>
      </c>
      <c r="R16" s="704" t="s">
        <v>14</v>
      </c>
      <c r="S16" s="705">
        <f>F16</f>
        <v>100</v>
      </c>
      <c r="T16" s="704" t="s">
        <v>14</v>
      </c>
      <c r="U16" s="705">
        <f>H16</f>
        <v>100</v>
      </c>
      <c r="V16" s="704" t="s">
        <v>14</v>
      </c>
      <c r="W16" s="705">
        <f>J16</f>
        <v>100</v>
      </c>
      <c r="X16" s="1353"/>
      <c r="Y16" s="3688"/>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20"/>
      <c r="M17" s="2714"/>
      <c r="N17" s="2714"/>
      <c r="O17" s="2714"/>
      <c r="P17" s="3688"/>
      <c r="Q17" s="1350"/>
      <c r="R17" s="704"/>
      <c r="S17" s="705"/>
      <c r="T17" s="704"/>
      <c r="U17" s="705"/>
      <c r="V17" s="704"/>
      <c r="W17" s="705"/>
      <c r="X17" s="1353"/>
      <c r="Y17" s="3688"/>
      <c r="Z17" s="1354"/>
      <c r="AA17" s="1351">
        <v>1</v>
      </c>
      <c r="AB17" s="1351">
        <v>1</v>
      </c>
      <c r="AC17" s="1351">
        <v>1</v>
      </c>
    </row>
    <row r="18" spans="1:29" ht="15">
      <c r="A18" s="358"/>
      <c r="B18" s="580" t="s">
        <v>1813</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8"/>
      <c r="Q18" s="1350" t="str">
        <f>B18</f>
        <v>基础设施水平</v>
      </c>
      <c r="R18" s="704" t="s">
        <v>14</v>
      </c>
      <c r="S18" s="705">
        <f>F18</f>
        <v>100</v>
      </c>
      <c r="T18" s="704" t="s">
        <v>14</v>
      </c>
      <c r="U18" s="705">
        <f>H18</f>
        <v>100</v>
      </c>
      <c r="V18" s="704" t="s">
        <v>14</v>
      </c>
      <c r="W18" s="705">
        <f>J18</f>
        <v>100</v>
      </c>
      <c r="X18" s="1353"/>
      <c r="Y18" s="3688"/>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20"/>
      <c r="M19" s="2714"/>
      <c r="N19" s="2714"/>
      <c r="O19" s="2714"/>
      <c r="P19" s="3688"/>
      <c r="Q19" s="1350"/>
      <c r="R19" s="704"/>
      <c r="S19" s="705"/>
      <c r="T19" s="704"/>
      <c r="U19" s="705"/>
      <c r="V19" s="704"/>
      <c r="W19" s="705"/>
      <c r="X19" s="1353"/>
      <c r="Y19" s="3688"/>
      <c r="Z19" s="1354"/>
      <c r="AA19" s="1351">
        <v>1</v>
      </c>
      <c r="AB19" s="1351">
        <v>1</v>
      </c>
      <c r="AC19" s="1351">
        <v>1</v>
      </c>
    </row>
    <row r="20" spans="1:29" ht="57">
      <c r="A20" s="358"/>
      <c r="B20" s="578"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88"/>
      <c r="Q20" s="1350" t="str">
        <f>B20</f>
        <v>自然及人文环境</v>
      </c>
      <c r="R20" s="704" t="s">
        <v>14</v>
      </c>
      <c r="S20" s="705">
        <f>F20</f>
        <v>100</v>
      </c>
      <c r="T20" s="704" t="s">
        <v>14</v>
      </c>
      <c r="U20" s="705">
        <f>H20</f>
        <v>100</v>
      </c>
      <c r="V20" s="704" t="s">
        <v>14</v>
      </c>
      <c r="W20" s="705">
        <f>J20</f>
        <v>100</v>
      </c>
      <c r="X20" s="1353"/>
      <c r="Y20" s="3688"/>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20"/>
      <c r="M21" s="2714"/>
      <c r="N21" s="2714"/>
      <c r="O21" s="2714"/>
      <c r="P21" s="3688"/>
      <c r="Q21" s="1350"/>
      <c r="R21" s="704"/>
      <c r="S21" s="705"/>
      <c r="T21" s="704"/>
      <c r="U21" s="705"/>
      <c r="V21" s="704"/>
      <c r="W21" s="705"/>
      <c r="X21" s="1353"/>
      <c r="Y21" s="3688"/>
      <c r="Z21" s="1354"/>
      <c r="AA21" s="1351">
        <v>1</v>
      </c>
      <c r="AB21" s="1351">
        <v>1</v>
      </c>
      <c r="AC21" s="1351">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88"/>
      <c r="Q22" s="1350" t="str">
        <f>B22</f>
        <v>楼层</v>
      </c>
      <c r="R22" s="704" t="s">
        <v>14</v>
      </c>
      <c r="S22" s="705">
        <f>F22</f>
        <v>100</v>
      </c>
      <c r="T22" s="704" t="s">
        <v>14</v>
      </c>
      <c r="U22" s="705">
        <f>H22</f>
        <v>100</v>
      </c>
      <c r="V22" s="704" t="s">
        <v>14</v>
      </c>
      <c r="W22" s="705">
        <f>J22</f>
        <v>100</v>
      </c>
      <c r="X22" s="1353"/>
      <c r="Y22" s="3688"/>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8"/>
      <c r="Q23" s="1350">
        <f>B23</f>
        <v>111</v>
      </c>
      <c r="R23" s="704" t="s">
        <v>14</v>
      </c>
      <c r="S23" s="705">
        <f>F23</f>
        <v>100</v>
      </c>
      <c r="T23" s="704" t="s">
        <v>14</v>
      </c>
      <c r="U23" s="705">
        <f>H23</f>
        <v>100</v>
      </c>
      <c r="V23" s="704" t="s">
        <v>14</v>
      </c>
      <c r="W23" s="705">
        <f>J23</f>
        <v>100</v>
      </c>
      <c r="X23" s="1353"/>
      <c r="Y23" s="3688"/>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8"/>
      <c r="Q24" s="1350">
        <f t="shared" ref="Q24:Q36" si="11">B24</f>
        <v>111</v>
      </c>
      <c r="R24" s="704" t="s">
        <v>14</v>
      </c>
      <c r="S24" s="705">
        <f>F24</f>
        <v>100</v>
      </c>
      <c r="T24" s="704" t="s">
        <v>14</v>
      </c>
      <c r="U24" s="705">
        <f>H24</f>
        <v>100</v>
      </c>
      <c r="V24" s="704" t="s">
        <v>14</v>
      </c>
      <c r="W24" s="705">
        <f>J24</f>
        <v>100</v>
      </c>
      <c r="X24" s="1353"/>
      <c r="Y24" s="3688"/>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688"/>
      <c r="Q25" s="1341">
        <f t="shared" si="11"/>
        <v>111</v>
      </c>
      <c r="R25" s="700" t="s">
        <v>14</v>
      </c>
      <c r="S25" s="701">
        <f>F25</f>
        <v>100</v>
      </c>
      <c r="T25" s="700" t="s">
        <v>14</v>
      </c>
      <c r="U25" s="701">
        <f>H25</f>
        <v>100</v>
      </c>
      <c r="V25" s="700" t="s">
        <v>14</v>
      </c>
      <c r="W25" s="701">
        <f>J25</f>
        <v>100</v>
      </c>
      <c r="X25" s="702"/>
      <c r="Y25" s="3688"/>
      <c r="Z25" s="52">
        <f>Q25</f>
        <v>111</v>
      </c>
      <c r="AA25" s="1351">
        <f>D25/F25</f>
        <v>1</v>
      </c>
      <c r="AB25" s="1351">
        <f>D25/H25</f>
        <v>1</v>
      </c>
      <c r="AC25" s="1351">
        <f>D25/J25</f>
        <v>1</v>
      </c>
    </row>
    <row r="26" spans="1:29" ht="28.5">
      <c r="A26" s="599"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6"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692" t="s">
        <v>1696</v>
      </c>
      <c r="Z26" s="1354" t="str">
        <f t="shared" ref="Z26:Z36" si="15">Q26</f>
        <v>配套类型</v>
      </c>
      <c r="AA26" s="1351" t="e">
        <f t="shared" si="3"/>
        <v>#DIV/0!</v>
      </c>
      <c r="AB26" s="1351" t="e">
        <f t="shared" si="4"/>
        <v>#DIV/0!</v>
      </c>
      <c r="AC26" s="1351"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692"/>
      <c r="Q27" s="706" t="str">
        <f t="shared" si="11"/>
        <v>项目停车位配比</v>
      </c>
      <c r="R27" s="707" t="s">
        <v>14</v>
      </c>
      <c r="S27" s="708">
        <f t="shared" si="12"/>
        <v>100</v>
      </c>
      <c r="T27" s="707" t="s">
        <v>14</v>
      </c>
      <c r="U27" s="708">
        <f t="shared" si="13"/>
        <v>100</v>
      </c>
      <c r="V27" s="707" t="s">
        <v>14</v>
      </c>
      <c r="W27" s="708">
        <f t="shared" si="14"/>
        <v>100</v>
      </c>
      <c r="X27" s="709"/>
      <c r="Y27" s="3692"/>
      <c r="Z27" s="710" t="str">
        <f t="shared" si="15"/>
        <v>项目停车位配比</v>
      </c>
      <c r="AA27" s="1351">
        <f t="shared" si="3"/>
        <v>1</v>
      </c>
      <c r="AB27" s="1351">
        <f t="shared" si="4"/>
        <v>1</v>
      </c>
      <c r="AC27" s="1351">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2"/>
      <c r="Q28" s="1350" t="str">
        <f t="shared" si="11"/>
        <v>公共部分装修</v>
      </c>
      <c r="R28" s="704" t="s">
        <v>14</v>
      </c>
      <c r="S28" s="705">
        <f t="shared" si="12"/>
        <v>100</v>
      </c>
      <c r="T28" s="704" t="s">
        <v>14</v>
      </c>
      <c r="U28" s="705">
        <f t="shared" si="13"/>
        <v>100</v>
      </c>
      <c r="V28" s="704" t="s">
        <v>14</v>
      </c>
      <c r="W28" s="705">
        <f t="shared" si="14"/>
        <v>100</v>
      </c>
      <c r="X28" s="1353"/>
      <c r="Y28" s="3692"/>
      <c r="Z28" s="1354" t="str">
        <f t="shared" si="15"/>
        <v>公共部分装修</v>
      </c>
      <c r="AA28" s="1351">
        <f t="shared" si="3"/>
        <v>1</v>
      </c>
      <c r="AB28" s="1351">
        <f t="shared" si="4"/>
        <v>1</v>
      </c>
      <c r="AC28" s="1351">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2"/>
      <c r="Q29" s="1350" t="str">
        <f t="shared" si="11"/>
        <v>成新率</v>
      </c>
      <c r="R29" s="704" t="s">
        <v>14</v>
      </c>
      <c r="S29" s="705" t="e">
        <f t="shared" si="12"/>
        <v>#N/A</v>
      </c>
      <c r="T29" s="704" t="s">
        <v>14</v>
      </c>
      <c r="U29" s="705" t="e">
        <f t="shared" si="13"/>
        <v>#N/A</v>
      </c>
      <c r="V29" s="704" t="s">
        <v>14</v>
      </c>
      <c r="W29" s="705" t="e">
        <f t="shared" si="14"/>
        <v>#N/A</v>
      </c>
      <c r="X29" s="1353"/>
      <c r="Y29" s="3692"/>
      <c r="Z29" s="1354" t="str">
        <f t="shared" si="15"/>
        <v>成新率</v>
      </c>
      <c r="AA29" s="1351" t="e">
        <f t="shared" si="3"/>
        <v>#N/A</v>
      </c>
      <c r="AB29" s="1351" t="e">
        <f t="shared" si="4"/>
        <v>#N/A</v>
      </c>
      <c r="AC29" s="1351"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692"/>
      <c r="Q30" s="1350" t="str">
        <f t="shared" si="11"/>
        <v>物业等级</v>
      </c>
      <c r="R30" s="704" t="s">
        <v>14</v>
      </c>
      <c r="S30" s="705">
        <f t="shared" si="12"/>
        <v>100</v>
      </c>
      <c r="T30" s="704" t="s">
        <v>14</v>
      </c>
      <c r="U30" s="705">
        <f t="shared" si="13"/>
        <v>100</v>
      </c>
      <c r="V30" s="704" t="s">
        <v>14</v>
      </c>
      <c r="W30" s="705">
        <f t="shared" si="14"/>
        <v>100</v>
      </c>
      <c r="X30" s="1353"/>
      <c r="Y30" s="3692"/>
      <c r="Z30" s="1354" t="str">
        <f t="shared" si="15"/>
        <v>物业等级</v>
      </c>
      <c r="AA30" s="1351">
        <f t="shared" si="3"/>
        <v>1</v>
      </c>
      <c r="AB30" s="1351">
        <f t="shared" si="4"/>
        <v>1</v>
      </c>
      <c r="AC30" s="1351">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2"/>
      <c r="Q31" s="1341" t="str">
        <f t="shared" si="11"/>
        <v>停车位面积</v>
      </c>
      <c r="R31" s="700" t="s">
        <v>14</v>
      </c>
      <c r="S31" s="701" t="e">
        <f t="shared" si="12"/>
        <v>#N/A</v>
      </c>
      <c r="T31" s="700" t="s">
        <v>14</v>
      </c>
      <c r="U31" s="701" t="e">
        <f t="shared" si="13"/>
        <v>#N/A</v>
      </c>
      <c r="V31" s="700" t="s">
        <v>14</v>
      </c>
      <c r="W31" s="701" t="e">
        <f t="shared" si="14"/>
        <v>#N/A</v>
      </c>
      <c r="X31" s="702"/>
      <c r="Y31" s="3692"/>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2" t="s">
        <v>1696</v>
      </c>
      <c r="Q32" s="1350" t="str">
        <f t="shared" si="11"/>
        <v>车位类型</v>
      </c>
      <c r="R32" s="704" t="s">
        <v>14</v>
      </c>
      <c r="S32" s="705">
        <f t="shared" si="12"/>
        <v>100</v>
      </c>
      <c r="T32" s="704" t="s">
        <v>14</v>
      </c>
      <c r="U32" s="705">
        <f t="shared" si="13"/>
        <v>100</v>
      </c>
      <c r="V32" s="704" t="s">
        <v>14</v>
      </c>
      <c r="W32" s="705">
        <f t="shared" si="14"/>
        <v>100</v>
      </c>
      <c r="X32" s="1353"/>
      <c r="Y32" s="3692" t="s">
        <v>1696</v>
      </c>
      <c r="Z32" s="1354" t="str">
        <f t="shared" si="15"/>
        <v>车位类型</v>
      </c>
      <c r="AA32" s="1351">
        <f t="shared" si="3"/>
        <v>1</v>
      </c>
      <c r="AB32" s="1351">
        <f t="shared" si="4"/>
        <v>1</v>
      </c>
      <c r="AC32" s="1351">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2"/>
      <c r="Q33" s="1350" t="str">
        <f t="shared" si="11"/>
        <v>是否直接入户</v>
      </c>
      <c r="R33" s="704" t="s">
        <v>14</v>
      </c>
      <c r="S33" s="705">
        <f t="shared" si="12"/>
        <v>100</v>
      </c>
      <c r="T33" s="704" t="s">
        <v>14</v>
      </c>
      <c r="U33" s="705">
        <f t="shared" si="13"/>
        <v>100</v>
      </c>
      <c r="V33" s="704" t="s">
        <v>14</v>
      </c>
      <c r="W33" s="705">
        <f t="shared" si="14"/>
        <v>100</v>
      </c>
      <c r="X33" s="1353"/>
      <c r="Y33" s="3692"/>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2"/>
      <c r="Q34" s="1350">
        <f t="shared" si="11"/>
        <v>111</v>
      </c>
      <c r="R34" s="704" t="s">
        <v>14</v>
      </c>
      <c r="S34" s="705">
        <f t="shared" si="12"/>
        <v>100</v>
      </c>
      <c r="T34" s="704" t="s">
        <v>14</v>
      </c>
      <c r="U34" s="705">
        <f t="shared" si="13"/>
        <v>100</v>
      </c>
      <c r="V34" s="704" t="s">
        <v>14</v>
      </c>
      <c r="W34" s="705">
        <f t="shared" si="14"/>
        <v>100</v>
      </c>
      <c r="X34" s="1353"/>
      <c r="Y34" s="3692"/>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2"/>
      <c r="Q35" s="706">
        <f t="shared" si="11"/>
        <v>111</v>
      </c>
      <c r="R35" s="707" t="s">
        <v>14</v>
      </c>
      <c r="S35" s="708">
        <f t="shared" si="12"/>
        <v>100</v>
      </c>
      <c r="T35" s="707" t="s">
        <v>14</v>
      </c>
      <c r="U35" s="708">
        <f t="shared" si="13"/>
        <v>100</v>
      </c>
      <c r="V35" s="707" t="s">
        <v>14</v>
      </c>
      <c r="W35" s="708">
        <f t="shared" si="14"/>
        <v>100</v>
      </c>
      <c r="X35" s="709"/>
      <c r="Y35" s="3692"/>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2"/>
      <c r="Q36" s="1350">
        <f t="shared" si="11"/>
        <v>111</v>
      </c>
      <c r="R36" s="704" t="s">
        <v>14</v>
      </c>
      <c r="S36" s="705">
        <f t="shared" si="12"/>
        <v>100</v>
      </c>
      <c r="T36" s="704" t="s">
        <v>14</v>
      </c>
      <c r="U36" s="705">
        <f t="shared" si="13"/>
        <v>100</v>
      </c>
      <c r="V36" s="704" t="s">
        <v>14</v>
      </c>
      <c r="W36" s="705">
        <f t="shared" si="14"/>
        <v>100</v>
      </c>
      <c r="X36" s="1353"/>
      <c r="Y36" s="3692"/>
      <c r="Z36" s="1354">
        <f t="shared" si="15"/>
        <v>111</v>
      </c>
      <c r="AA36" s="1351">
        <f t="shared" si="3"/>
        <v>1</v>
      </c>
      <c r="AB36" s="1351">
        <f t="shared" si="4"/>
        <v>1</v>
      </c>
      <c r="AC36" s="1351">
        <f t="shared" si="5"/>
        <v>1</v>
      </c>
    </row>
    <row r="37" spans="1:29" ht="15">
      <c r="A37" s="430" t="s">
        <v>1844</v>
      </c>
      <c r="B37" s="1971" t="s">
        <v>3355</v>
      </c>
      <c r="C37" s="1152" t="s">
        <v>0</v>
      </c>
      <c r="D37" s="1153"/>
      <c r="E37" s="1154"/>
      <c r="F37" s="1155"/>
      <c r="G37" s="1156"/>
      <c r="H37" s="1157"/>
      <c r="I37" s="1154"/>
      <c r="J37" s="1157"/>
      <c r="K37" s="567"/>
      <c r="L37" s="2722"/>
      <c r="M37" s="2723"/>
      <c r="N37" s="2714"/>
      <c r="O37" s="2723"/>
      <c r="P37" s="3694" t="str">
        <f>A37</f>
        <v>成交单价</v>
      </c>
      <c r="Q37" s="3694"/>
      <c r="R37" s="3695">
        <f>E37</f>
        <v>0</v>
      </c>
      <c r="S37" s="3695"/>
      <c r="T37" s="3695">
        <f>G37</f>
        <v>0</v>
      </c>
      <c r="U37" s="3695"/>
      <c r="V37" s="3695">
        <f>I37</f>
        <v>0</v>
      </c>
      <c r="W37" s="3695"/>
      <c r="X37" s="689"/>
      <c r="Y37" s="711"/>
      <c r="Z37" s="689"/>
      <c r="AA37" s="689"/>
      <c r="AB37" s="689"/>
      <c r="AC37" s="689"/>
    </row>
    <row r="38" spans="1:29" ht="15.75" thickBot="1">
      <c r="A38" s="437" t="s">
        <v>1845</v>
      </c>
      <c r="B38" s="438" t="str">
        <f>B37</f>
        <v>元/平方米</v>
      </c>
      <c r="C38" s="1158" t="e">
        <f>R39</f>
        <v>#DIV/0!</v>
      </c>
      <c r="D38" s="2315" t="s">
        <v>2138</v>
      </c>
      <c r="E38" s="1159" t="e">
        <f>R38</f>
        <v>#DIV/0!</v>
      </c>
      <c r="F38" s="2316"/>
      <c r="G38" s="1158" t="e">
        <f>T38</f>
        <v>#DIV/0!</v>
      </c>
      <c r="H38" s="2316"/>
      <c r="I38" s="1159" t="e">
        <f>V38</f>
        <v>#DIV/0!</v>
      </c>
      <c r="J38" s="2316"/>
      <c r="K38" s="2318">
        <f>F38+H38+J38</f>
        <v>0</v>
      </c>
      <c r="L38" s="2722"/>
      <c r="M38" s="2723"/>
      <c r="N38" s="2723"/>
      <c r="O38" s="2723"/>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89"/>
      <c r="Y38" s="689"/>
      <c r="Z38" s="689"/>
      <c r="AA38" s="689"/>
      <c r="AB38" s="689"/>
      <c r="AC38" s="689"/>
    </row>
    <row r="39" spans="1:29" ht="15.75" thickBot="1">
      <c r="A39" s="441" t="s">
        <v>1846</v>
      </c>
      <c r="B39" s="442"/>
      <c r="C39" s="1161" t="e">
        <f>R39</f>
        <v>#DIV/0!</v>
      </c>
      <c r="D39" s="1161"/>
      <c r="E39" s="1161"/>
      <c r="F39" s="1161"/>
      <c r="G39" s="1161"/>
      <c r="H39" s="1161"/>
      <c r="I39" s="1161"/>
      <c r="J39" s="1161"/>
      <c r="K39" s="568"/>
      <c r="L39" s="2722"/>
      <c r="M39" s="2723"/>
      <c r="N39" s="2723"/>
      <c r="O39" s="2723"/>
      <c r="P39" s="3696" t="str">
        <f>A39</f>
        <v>估价对象XX用房的比较价值（楼面单价，元/平方米）</v>
      </c>
      <c r="Q39" s="3697"/>
      <c r="R39" s="3737" t="e">
        <f>IF(F1="售价",ROUND(IF(D38="简单平均",AVERAGE(R38:W38),R38*F38+T38*H38+V38*J38),0),ROUND(IF(D38="简单平均",AVERAGE(R38:V38),R38*F38+T38*H38+V38*J38),1))</f>
        <v>#DIV/0!</v>
      </c>
      <c r="S39" s="3737"/>
      <c r="T39" s="3737"/>
      <c r="U39" s="3737"/>
      <c r="V39" s="3737"/>
      <c r="W39" s="3737"/>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6"/>
      <c r="C47" s="939"/>
      <c r="D47" s="939"/>
      <c r="E47" s="939"/>
      <c r="F47" s="1165"/>
      <c r="G47" s="1165"/>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3335</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72" t="s">
        <v>1770</v>
      </c>
      <c r="D4" s="3673"/>
      <c r="E4" s="3674" t="s">
        <v>1771</v>
      </c>
      <c r="F4" s="3675"/>
      <c r="G4" s="3672" t="s">
        <v>1772</v>
      </c>
      <c r="H4" s="3673"/>
      <c r="I4" s="3672" t="s">
        <v>1773</v>
      </c>
      <c r="J4" s="3673"/>
      <c r="K4" s="559" t="s">
        <v>1774</v>
      </c>
      <c r="L4" s="2713"/>
      <c r="M4" s="2714"/>
      <c r="N4" s="2714"/>
      <c r="O4" s="2714"/>
      <c r="P4" s="3676" t="s">
        <v>1775</v>
      </c>
      <c r="Q4" s="3677"/>
      <c r="R4" s="3658" t="s">
        <v>1771</v>
      </c>
      <c r="S4" s="3659"/>
      <c r="T4" s="3658" t="s">
        <v>1772</v>
      </c>
      <c r="U4" s="3659"/>
      <c r="V4" s="3655" t="s">
        <v>1773</v>
      </c>
      <c r="W4" s="3655"/>
      <c r="X4" s="1353"/>
      <c r="Y4" s="3658" t="s">
        <v>1775</v>
      </c>
      <c r="Z4" s="3659"/>
      <c r="AA4" s="3652" t="s">
        <v>1771</v>
      </c>
      <c r="AB4" s="3653" t="s">
        <v>1772</v>
      </c>
      <c r="AC4" s="3652" t="s">
        <v>1773</v>
      </c>
    </row>
    <row r="5" spans="1:29" ht="15">
      <c r="A5" s="358"/>
      <c r="B5" s="359"/>
      <c r="C5" s="3664" t="s">
        <v>1673</v>
      </c>
      <c r="D5" s="3665"/>
      <c r="E5" s="3720" t="s">
        <v>1674</v>
      </c>
      <c r="F5" s="3663"/>
      <c r="G5" s="3664" t="s">
        <v>1675</v>
      </c>
      <c r="H5" s="3665"/>
      <c r="I5" s="3664" t="s">
        <v>1676</v>
      </c>
      <c r="J5" s="3665"/>
      <c r="K5" s="559"/>
      <c r="L5" s="2713"/>
      <c r="M5" s="2714"/>
      <c r="N5" s="2714"/>
      <c r="O5" s="2714"/>
      <c r="P5" s="3678"/>
      <c r="Q5" s="3679"/>
      <c r="R5" s="3660"/>
      <c r="S5" s="3661"/>
      <c r="T5" s="3660"/>
      <c r="U5" s="3661"/>
      <c r="V5" s="3655"/>
      <c r="W5" s="3655"/>
      <c r="X5" s="1353"/>
      <c r="Y5" s="3660"/>
      <c r="Z5" s="3661"/>
      <c r="AA5" s="3653"/>
      <c r="AB5" s="3653"/>
      <c r="AC5" s="3653"/>
    </row>
    <row r="6" spans="1:29" ht="15.75" thickBot="1">
      <c r="A6" s="360"/>
      <c r="B6" s="361"/>
      <c r="C6" s="3666" t="s">
        <v>1677</v>
      </c>
      <c r="D6" s="3667"/>
      <c r="E6" s="3669" t="s">
        <v>1677</v>
      </c>
      <c r="F6" s="3670"/>
      <c r="G6" s="3666" t="s">
        <v>1677</v>
      </c>
      <c r="H6" s="3667"/>
      <c r="I6" s="3666" t="s">
        <v>1677</v>
      </c>
      <c r="J6" s="3667"/>
      <c r="K6" s="559" t="s">
        <v>1678</v>
      </c>
      <c r="L6" s="2713"/>
      <c r="M6" s="2714"/>
      <c r="N6" s="2714"/>
      <c r="O6" s="2714"/>
      <c r="P6" s="3680"/>
      <c r="Q6" s="3681"/>
      <c r="R6" s="3660"/>
      <c r="S6" s="3661"/>
      <c r="T6" s="3682"/>
      <c r="U6" s="3683"/>
      <c r="V6" s="3655"/>
      <c r="W6" s="3655"/>
      <c r="X6" s="1353"/>
      <c r="Y6" s="3682"/>
      <c r="Z6" s="3683"/>
      <c r="AA6" s="3654"/>
      <c r="AB6" s="3654"/>
      <c r="AC6" s="3654"/>
    </row>
    <row r="7" spans="1:29" s="108" customFormat="1" ht="15.75" thickBot="1">
      <c r="A7" s="362" t="s">
        <v>1679</v>
      </c>
      <c r="B7" s="363"/>
      <c r="C7" s="364">
        <f>'数据-取费表'!B2</f>
        <v>45504</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56" t="s">
        <v>1680</v>
      </c>
      <c r="Q7" s="3684"/>
      <c r="R7" s="700" t="s">
        <v>14</v>
      </c>
      <c r="S7" s="701">
        <f t="shared" ref="S7:S14" si="0">F7</f>
        <v>0</v>
      </c>
      <c r="T7" s="700" t="s">
        <v>14</v>
      </c>
      <c r="U7" s="701">
        <f t="shared" ref="U7:U14" si="1">H7</f>
        <v>0</v>
      </c>
      <c r="V7" s="700" t="s">
        <v>14</v>
      </c>
      <c r="W7" s="701">
        <f t="shared" ref="W7:W14"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6" t="s">
        <v>1683</v>
      </c>
      <c r="Q8" s="3657"/>
      <c r="R8" s="700" t="s">
        <v>14</v>
      </c>
      <c r="S8" s="701">
        <f t="shared" si="0"/>
        <v>100</v>
      </c>
      <c r="T8" s="700" t="s">
        <v>14</v>
      </c>
      <c r="U8" s="701">
        <f t="shared" si="1"/>
        <v>100</v>
      </c>
      <c r="V8" s="700" t="s">
        <v>14</v>
      </c>
      <c r="W8" s="701">
        <f t="shared" si="2"/>
        <v>100</v>
      </c>
      <c r="X8" s="702"/>
      <c r="Y8" s="3656" t="s">
        <v>1683</v>
      </c>
      <c r="Z8" s="3657"/>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4" t="s">
        <v>1686</v>
      </c>
      <c r="Q9" s="1341" t="str">
        <f t="shared" ref="Q9:Q14" si="6">B9</f>
        <v>用途</v>
      </c>
      <c r="R9" s="700" t="s">
        <v>14</v>
      </c>
      <c r="S9" s="701">
        <f t="shared" si="0"/>
        <v>100</v>
      </c>
      <c r="T9" s="700" t="s">
        <v>14</v>
      </c>
      <c r="U9" s="701">
        <f t="shared" si="1"/>
        <v>100</v>
      </c>
      <c r="V9" s="700" t="s">
        <v>14</v>
      </c>
      <c r="W9" s="701">
        <f t="shared" si="2"/>
        <v>100</v>
      </c>
      <c r="X9" s="702"/>
      <c r="Y9" s="3620"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4"/>
      <c r="Q10" s="1341" t="str">
        <f t="shared" si="6"/>
        <v>土地使用年限（年）</v>
      </c>
      <c r="R10" s="700" t="s">
        <v>14</v>
      </c>
      <c r="S10" s="701">
        <f t="shared" si="0"/>
        <v>100</v>
      </c>
      <c r="T10" s="700" t="s">
        <v>14</v>
      </c>
      <c r="U10" s="701">
        <f t="shared" si="1"/>
        <v>100</v>
      </c>
      <c r="V10" s="700" t="s">
        <v>14</v>
      </c>
      <c r="W10" s="701">
        <f t="shared" si="2"/>
        <v>100</v>
      </c>
      <c r="X10" s="702"/>
      <c r="Y10" s="3620"/>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4"/>
      <c r="Q11" s="1341">
        <f t="shared" si="6"/>
        <v>111</v>
      </c>
      <c r="R11" s="700" t="s">
        <v>14</v>
      </c>
      <c r="S11" s="701">
        <f t="shared" si="0"/>
        <v>100</v>
      </c>
      <c r="T11" s="700" t="s">
        <v>14</v>
      </c>
      <c r="U11" s="701">
        <f t="shared" si="1"/>
        <v>100</v>
      </c>
      <c r="V11" s="700" t="s">
        <v>14</v>
      </c>
      <c r="W11" s="701">
        <f t="shared" si="2"/>
        <v>100</v>
      </c>
      <c r="X11" s="702"/>
      <c r="Y11" s="3620"/>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4"/>
      <c r="Q12" s="1341">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4"/>
      <c r="Q13" s="1341">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703">
        <f t="shared" si="5"/>
        <v>1</v>
      </c>
    </row>
    <row r="14" spans="1:29" ht="99.75">
      <c r="A14" s="391" t="s">
        <v>1690</v>
      </c>
      <c r="B14" s="61" t="s">
        <v>1833</v>
      </c>
      <c r="C14" s="1969" t="str">
        <f>IF(B1="工业",估价对象房地状况!G4,估价对象房地状况!C6)</f>
        <v>估价对象周边道路状况、公共交通通达情况915、918、955等、停车便捷程度，综合评价交通便捷度一般</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7" t="s">
        <v>1691</v>
      </c>
      <c r="Q14" s="1350" t="str">
        <f t="shared" si="6"/>
        <v>交通便捷度</v>
      </c>
      <c r="R14" s="704" t="s">
        <v>14</v>
      </c>
      <c r="S14" s="705">
        <f t="shared" si="0"/>
        <v>100</v>
      </c>
      <c r="T14" s="704" t="s">
        <v>14</v>
      </c>
      <c r="U14" s="705">
        <f t="shared" si="1"/>
        <v>100</v>
      </c>
      <c r="V14" s="704" t="s">
        <v>14</v>
      </c>
      <c r="W14" s="705">
        <f t="shared" si="2"/>
        <v>100</v>
      </c>
      <c r="X14" s="1353"/>
      <c r="Y14" s="3687"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88"/>
      <c r="Q15" s="1350"/>
      <c r="R15" s="704"/>
      <c r="S15" s="705"/>
      <c r="T15" s="704"/>
      <c r="U15" s="705"/>
      <c r="V15" s="704"/>
      <c r="W15" s="705"/>
      <c r="X15" s="1353"/>
      <c r="Y15" s="3688"/>
      <c r="Z15" s="1354"/>
      <c r="AA15" s="1351">
        <v>1</v>
      </c>
      <c r="AB15" s="1351">
        <v>1</v>
      </c>
      <c r="AC15" s="1351">
        <v>1</v>
      </c>
    </row>
    <row r="16" spans="1:29" ht="42.75">
      <c r="A16" s="379"/>
      <c r="B16" s="402" t="s">
        <v>1812</v>
      </c>
      <c r="C16" s="1898" t="str">
        <f>IF(B1="工业",估价对象房地状况!G5,估价对象房地状况!C7)</f>
        <v>估价对象所在区域公共配套设施齐备情况一般</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8"/>
      <c r="Q16" s="1350" t="str">
        <f>B16</f>
        <v>公共配套设施</v>
      </c>
      <c r="R16" s="704" t="s">
        <v>14</v>
      </c>
      <c r="S16" s="705">
        <f>F16</f>
        <v>100</v>
      </c>
      <c r="T16" s="704" t="s">
        <v>14</v>
      </c>
      <c r="U16" s="705">
        <f>H16</f>
        <v>100</v>
      </c>
      <c r="V16" s="704" t="s">
        <v>14</v>
      </c>
      <c r="W16" s="705">
        <f>J16</f>
        <v>100</v>
      </c>
      <c r="X16" s="1353"/>
      <c r="Y16" s="3688"/>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88"/>
      <c r="Q17" s="1350"/>
      <c r="R17" s="704"/>
      <c r="S17" s="705"/>
      <c r="T17" s="704"/>
      <c r="U17" s="705"/>
      <c r="V17" s="704"/>
      <c r="W17" s="705"/>
      <c r="X17" s="1353"/>
      <c r="Y17" s="3688"/>
      <c r="Z17" s="1354"/>
      <c r="AA17" s="1351">
        <v>1</v>
      </c>
      <c r="AB17" s="1351">
        <v>1</v>
      </c>
      <c r="AC17" s="1351">
        <v>1</v>
      </c>
    </row>
    <row r="18" spans="1:29" ht="15">
      <c r="A18" s="379"/>
      <c r="B18" s="1129" t="s">
        <v>1813</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8"/>
      <c r="Q18" s="1350" t="str">
        <f>B18</f>
        <v>基础设施水平</v>
      </c>
      <c r="R18" s="704" t="s">
        <v>14</v>
      </c>
      <c r="S18" s="705">
        <f>F18</f>
        <v>100</v>
      </c>
      <c r="T18" s="704" t="s">
        <v>14</v>
      </c>
      <c r="U18" s="705">
        <f>H18</f>
        <v>100</v>
      </c>
      <c r="V18" s="704" t="s">
        <v>14</v>
      </c>
      <c r="W18" s="705">
        <f>J18</f>
        <v>100</v>
      </c>
      <c r="X18" s="1353"/>
      <c r="Y18" s="3688"/>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88"/>
      <c r="Q19" s="1350"/>
      <c r="R19" s="704"/>
      <c r="S19" s="705"/>
      <c r="T19" s="704"/>
      <c r="U19" s="705"/>
      <c r="V19" s="704"/>
      <c r="W19" s="705"/>
      <c r="X19" s="1353"/>
      <c r="Y19" s="3688"/>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8"/>
      <c r="Q20" s="1350" t="str">
        <f>B20</f>
        <v>自然及人文环境</v>
      </c>
      <c r="R20" s="704" t="s">
        <v>14</v>
      </c>
      <c r="S20" s="705">
        <f>F20</f>
        <v>100</v>
      </c>
      <c r="T20" s="704" t="s">
        <v>14</v>
      </c>
      <c r="U20" s="705">
        <f>H20</f>
        <v>100</v>
      </c>
      <c r="V20" s="704" t="s">
        <v>14</v>
      </c>
      <c r="W20" s="705">
        <f>J20</f>
        <v>100</v>
      </c>
      <c r="X20" s="1353"/>
      <c r="Y20" s="3688"/>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88"/>
      <c r="Q21" s="1350"/>
      <c r="R21" s="704"/>
      <c r="S21" s="705"/>
      <c r="T21" s="704"/>
      <c r="U21" s="705"/>
      <c r="V21" s="704"/>
      <c r="W21" s="705"/>
      <c r="X21" s="1353"/>
      <c r="Y21" s="3688"/>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8"/>
      <c r="Q22" s="1350" t="str">
        <f>B22</f>
        <v>楼层</v>
      </c>
      <c r="R22" s="704" t="s">
        <v>14</v>
      </c>
      <c r="S22" s="705">
        <f>F22</f>
        <v>100</v>
      </c>
      <c r="T22" s="704" t="s">
        <v>14</v>
      </c>
      <c r="U22" s="705">
        <f>H22</f>
        <v>100</v>
      </c>
      <c r="V22" s="704" t="s">
        <v>14</v>
      </c>
      <c r="W22" s="705">
        <f>J22</f>
        <v>100</v>
      </c>
      <c r="X22" s="1353"/>
      <c r="Y22" s="3688"/>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8"/>
      <c r="Q23" s="1350">
        <f>B23</f>
        <v>111</v>
      </c>
      <c r="R23" s="704" t="s">
        <v>14</v>
      </c>
      <c r="S23" s="705">
        <f>F23</f>
        <v>100</v>
      </c>
      <c r="T23" s="704" t="s">
        <v>14</v>
      </c>
      <c r="U23" s="705">
        <f>H23</f>
        <v>100</v>
      </c>
      <c r="V23" s="704" t="s">
        <v>14</v>
      </c>
      <c r="W23" s="705">
        <f>J23</f>
        <v>100</v>
      </c>
      <c r="X23" s="1353"/>
      <c r="Y23" s="3688"/>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8"/>
      <c r="Q24" s="1350">
        <f t="shared" ref="Q24:Q34" si="11">B24</f>
        <v>111</v>
      </c>
      <c r="R24" s="704" t="s">
        <v>14</v>
      </c>
      <c r="S24" s="705">
        <f>F24</f>
        <v>100</v>
      </c>
      <c r="T24" s="704" t="s">
        <v>14</v>
      </c>
      <c r="U24" s="705">
        <f>H24</f>
        <v>100</v>
      </c>
      <c r="V24" s="704" t="s">
        <v>14</v>
      </c>
      <c r="W24" s="705">
        <f>J24</f>
        <v>100</v>
      </c>
      <c r="X24" s="1353"/>
      <c r="Y24" s="3688"/>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5"/>
      <c r="M25" s="2716"/>
      <c r="N25" s="2716"/>
      <c r="O25" s="2770"/>
      <c r="P25" s="3688"/>
      <c r="Q25" s="1341">
        <f t="shared" si="11"/>
        <v>111</v>
      </c>
      <c r="R25" s="700" t="s">
        <v>14</v>
      </c>
      <c r="S25" s="701">
        <f>F25</f>
        <v>100</v>
      </c>
      <c r="T25" s="700" t="s">
        <v>14</v>
      </c>
      <c r="U25" s="701">
        <f>H25</f>
        <v>100</v>
      </c>
      <c r="V25" s="700" t="s">
        <v>14</v>
      </c>
      <c r="W25" s="701">
        <f>J25</f>
        <v>100</v>
      </c>
      <c r="X25" s="702"/>
      <c r="Y25" s="3688"/>
      <c r="Z25" s="52">
        <f>Q25</f>
        <v>111</v>
      </c>
      <c r="AA25" s="1351">
        <f>D25/F25</f>
        <v>1</v>
      </c>
      <c r="AB25" s="1351">
        <f>D25/H25</f>
        <v>1</v>
      </c>
      <c r="AC25" s="1351">
        <f>D25/J25</f>
        <v>1</v>
      </c>
    </row>
    <row r="26" spans="1:29" ht="28.5">
      <c r="A26" s="417" t="s">
        <v>1694</v>
      </c>
      <c r="B26" s="63" t="s">
        <v>1838</v>
      </c>
      <c r="C26" s="1965"/>
      <c r="D26" s="418">
        <v>100</v>
      </c>
      <c r="E26" s="1965"/>
      <c r="F26" s="614">
        <f>SUMIF(77:77,E26,78:78)-SUMIF(77:77,C26,78:78)+100</f>
        <v>100</v>
      </c>
      <c r="G26" s="1965"/>
      <c r="H26" s="418">
        <f>SUMIF(77:77,G26,78:78)-SUMIF(77:77,C26,78:78)+100</f>
        <v>100</v>
      </c>
      <c r="I26" s="1965"/>
      <c r="J26" s="418">
        <f>SUMIF(77:77,I26,78:78)-SUMIF(77:77,C26,78:78)+100</f>
        <v>100</v>
      </c>
      <c r="K26" s="561"/>
      <c r="L26" s="2720"/>
      <c r="M26" s="2714"/>
      <c r="N26" s="2714"/>
      <c r="O26" s="2772"/>
      <c r="P26" s="3736"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692"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2"/>
      <c r="Q27" s="706" t="str">
        <f t="shared" si="11"/>
        <v>成新率</v>
      </c>
      <c r="R27" s="707" t="s">
        <v>14</v>
      </c>
      <c r="S27" s="708" t="e">
        <f t="shared" si="12"/>
        <v>#N/A</v>
      </c>
      <c r="T27" s="707" t="s">
        <v>14</v>
      </c>
      <c r="U27" s="708" t="e">
        <f t="shared" si="13"/>
        <v>#N/A</v>
      </c>
      <c r="V27" s="707" t="s">
        <v>14</v>
      </c>
      <c r="W27" s="708" t="e">
        <f t="shared" si="14"/>
        <v>#N/A</v>
      </c>
      <c r="X27" s="709"/>
      <c r="Y27" s="3692"/>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2"/>
      <c r="Q28" s="1350" t="str">
        <f t="shared" si="11"/>
        <v>物业等级</v>
      </c>
      <c r="R28" s="704" t="s">
        <v>14</v>
      </c>
      <c r="S28" s="705">
        <f t="shared" si="12"/>
        <v>100</v>
      </c>
      <c r="T28" s="704" t="s">
        <v>14</v>
      </c>
      <c r="U28" s="705">
        <f t="shared" si="13"/>
        <v>100</v>
      </c>
      <c r="V28" s="704" t="s">
        <v>14</v>
      </c>
      <c r="W28" s="705">
        <f t="shared" si="14"/>
        <v>100</v>
      </c>
      <c r="X28" s="1353"/>
      <c r="Y28" s="3692"/>
      <c r="Z28" s="1354" t="str">
        <f t="shared" si="15"/>
        <v>物业等级</v>
      </c>
      <c r="AA28" s="1351">
        <f t="shared" si="3"/>
        <v>1</v>
      </c>
      <c r="AB28" s="1351">
        <f t="shared" si="4"/>
        <v>1</v>
      </c>
      <c r="AC28" s="1351">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692"/>
      <c r="Q29" s="1350" t="str">
        <f t="shared" si="11"/>
        <v>有无电梯</v>
      </c>
      <c r="R29" s="704" t="s">
        <v>14</v>
      </c>
      <c r="S29" s="705">
        <f t="shared" si="12"/>
        <v>100</v>
      </c>
      <c r="T29" s="704" t="s">
        <v>14</v>
      </c>
      <c r="U29" s="705">
        <f t="shared" si="13"/>
        <v>100</v>
      </c>
      <c r="V29" s="704" t="s">
        <v>14</v>
      </c>
      <c r="W29" s="705">
        <f t="shared" si="14"/>
        <v>100</v>
      </c>
      <c r="X29" s="1353"/>
      <c r="Y29" s="3692"/>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2"/>
      <c r="Q30" s="1350" t="str">
        <f t="shared" si="11"/>
        <v>建筑面积</v>
      </c>
      <c r="R30" s="704" t="s">
        <v>14</v>
      </c>
      <c r="S30" s="705" t="e">
        <f t="shared" si="12"/>
        <v>#N/A</v>
      </c>
      <c r="T30" s="704" t="s">
        <v>14</v>
      </c>
      <c r="U30" s="705" t="e">
        <f t="shared" si="13"/>
        <v>#N/A</v>
      </c>
      <c r="V30" s="704" t="s">
        <v>14</v>
      </c>
      <c r="W30" s="705" t="e">
        <f t="shared" si="14"/>
        <v>#N/A</v>
      </c>
      <c r="X30" s="1353"/>
      <c r="Y30" s="3692"/>
      <c r="Z30" s="1354" t="str">
        <f t="shared" si="15"/>
        <v>建筑面积</v>
      </c>
      <c r="AA30" s="1351" t="e">
        <f t="shared" si="3"/>
        <v>#N/A</v>
      </c>
      <c r="AB30" s="1351" t="e">
        <f t="shared" si="4"/>
        <v>#N/A</v>
      </c>
      <c r="AC30" s="1351"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692"/>
      <c r="Q31" s="1341" t="str">
        <f t="shared" si="11"/>
        <v>是否封闭</v>
      </c>
      <c r="R31" s="700" t="s">
        <v>14</v>
      </c>
      <c r="S31" s="701">
        <f t="shared" si="12"/>
        <v>100</v>
      </c>
      <c r="T31" s="700" t="s">
        <v>14</v>
      </c>
      <c r="U31" s="701">
        <f t="shared" si="13"/>
        <v>100</v>
      </c>
      <c r="V31" s="700" t="s">
        <v>14</v>
      </c>
      <c r="W31" s="701">
        <f t="shared" si="14"/>
        <v>100</v>
      </c>
      <c r="X31" s="702"/>
      <c r="Y31" s="3692"/>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2" t="s">
        <v>1696</v>
      </c>
      <c r="Q32" s="1350">
        <f t="shared" si="11"/>
        <v>111</v>
      </c>
      <c r="R32" s="704" t="s">
        <v>14</v>
      </c>
      <c r="S32" s="705">
        <f t="shared" si="12"/>
        <v>100</v>
      </c>
      <c r="T32" s="704" t="s">
        <v>14</v>
      </c>
      <c r="U32" s="705">
        <f t="shared" si="13"/>
        <v>100</v>
      </c>
      <c r="V32" s="704" t="s">
        <v>14</v>
      </c>
      <c r="W32" s="705">
        <f t="shared" si="14"/>
        <v>100</v>
      </c>
      <c r="X32" s="1353"/>
      <c r="Y32" s="3692"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2"/>
      <c r="Q33" s="1350">
        <f t="shared" si="11"/>
        <v>111</v>
      </c>
      <c r="R33" s="704" t="s">
        <v>14</v>
      </c>
      <c r="S33" s="705">
        <f t="shared" si="12"/>
        <v>100</v>
      </c>
      <c r="T33" s="704" t="s">
        <v>14</v>
      </c>
      <c r="U33" s="705">
        <f t="shared" si="13"/>
        <v>100</v>
      </c>
      <c r="V33" s="704" t="s">
        <v>14</v>
      </c>
      <c r="W33" s="705">
        <f t="shared" si="14"/>
        <v>100</v>
      </c>
      <c r="X33" s="1353"/>
      <c r="Y33" s="3692"/>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92"/>
      <c r="Q34" s="1350">
        <f t="shared" si="11"/>
        <v>111</v>
      </c>
      <c r="R34" s="704" t="s">
        <v>14</v>
      </c>
      <c r="S34" s="705">
        <f t="shared" si="12"/>
        <v>100</v>
      </c>
      <c r="T34" s="704" t="s">
        <v>14</v>
      </c>
      <c r="U34" s="705">
        <f t="shared" si="13"/>
        <v>100</v>
      </c>
      <c r="V34" s="704" t="s">
        <v>14</v>
      </c>
      <c r="W34" s="705">
        <f t="shared" si="14"/>
        <v>100</v>
      </c>
      <c r="X34" s="1353"/>
      <c r="Y34" s="3692"/>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3"/>
      <c r="L35" s="2722"/>
      <c r="M35" s="2723"/>
      <c r="N35" s="2714"/>
      <c r="O35" s="2723"/>
      <c r="P35" s="3694" t="str">
        <f>A35</f>
        <v>成交单价（元/平方米）</v>
      </c>
      <c r="Q35" s="3694"/>
      <c r="R35" s="3695">
        <f>E35</f>
        <v>0</v>
      </c>
      <c r="S35" s="3695"/>
      <c r="T35" s="3695">
        <f>G35</f>
        <v>0</v>
      </c>
      <c r="U35" s="3695"/>
      <c r="V35" s="3695">
        <f>I35</f>
        <v>0</v>
      </c>
      <c r="W35" s="3695"/>
      <c r="X35" s="689"/>
      <c r="Y35" s="711"/>
      <c r="Z35" s="689"/>
      <c r="AA35" s="689"/>
      <c r="AB35" s="689"/>
      <c r="AC35" s="689"/>
    </row>
    <row r="36" spans="1:30" ht="15.75" thickBot="1">
      <c r="A36" s="437" t="s">
        <v>1793</v>
      </c>
      <c r="B36" s="438"/>
      <c r="C36" s="1158" t="e">
        <f>R37</f>
        <v>#DIV/0!</v>
      </c>
      <c r="D36" s="2315" t="s">
        <v>2138</v>
      </c>
      <c r="E36" s="1159" t="e">
        <f>R36</f>
        <v>#DIV/0!</v>
      </c>
      <c r="F36" s="2316"/>
      <c r="G36" s="1158" t="e">
        <f>T36</f>
        <v>#DIV/0!</v>
      </c>
      <c r="H36" s="2316"/>
      <c r="I36" s="1159" t="e">
        <f>V36</f>
        <v>#DIV/0!</v>
      </c>
      <c r="J36" s="2316"/>
      <c r="K36" s="2318">
        <f>F36+H36+J36</f>
        <v>0</v>
      </c>
      <c r="L36" s="2722"/>
      <c r="M36" s="2723"/>
      <c r="N36" s="2714"/>
      <c r="O36" s="2723"/>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89"/>
      <c r="Y36" s="689"/>
      <c r="Z36" s="689"/>
      <c r="AA36" s="689"/>
      <c r="AB36" s="689"/>
      <c r="AC36" s="689"/>
    </row>
    <row r="37" spans="1:30" ht="15.75" thickBot="1">
      <c r="A37" s="441" t="s">
        <v>1794</v>
      </c>
      <c r="B37" s="442"/>
      <c r="C37" s="1161" t="e">
        <f>R37</f>
        <v>#DIV/0!</v>
      </c>
      <c r="D37" s="1161"/>
      <c r="E37" s="1161"/>
      <c r="F37" s="1161"/>
      <c r="G37" s="1161"/>
      <c r="H37" s="1161"/>
      <c r="I37" s="1161"/>
      <c r="J37" s="1161"/>
      <c r="K37" s="714"/>
      <c r="L37" s="2722"/>
      <c r="M37" s="2723"/>
      <c r="N37" s="2723"/>
      <c r="O37" s="2723"/>
      <c r="P37" s="3696" t="str">
        <f>A37</f>
        <v>估价对象XX用房的比较价值（楼面单价，元/平方米）</v>
      </c>
      <c r="Q37" s="3697"/>
      <c r="R37" s="3737" t="e">
        <f>IF(F1="售价",ROUND(IF(D36="简单平均",AVERAGE(R36:W36),R36*F36+T36*H36+V36*J36),0),ROUND(IF(D36="简单平均",AVERAGE(R36:V36),R36*F36+T36*H36+V36*J36),1))</f>
        <v>#DIV/0!</v>
      </c>
      <c r="S37" s="3737"/>
      <c r="T37" s="3737"/>
      <c r="U37" s="3737"/>
      <c r="V37" s="3737"/>
      <c r="W37" s="3737"/>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672" t="s">
        <v>1770</v>
      </c>
      <c r="D4" s="3673"/>
      <c r="E4" s="3674" t="s">
        <v>1771</v>
      </c>
      <c r="F4" s="3675"/>
      <c r="G4" s="3672" t="s">
        <v>1772</v>
      </c>
      <c r="H4" s="3673"/>
      <c r="I4" s="3672" t="s">
        <v>1773</v>
      </c>
      <c r="J4" s="3673"/>
      <c r="K4" s="559" t="s">
        <v>1774</v>
      </c>
      <c r="L4" s="2713"/>
      <c r="M4" s="2714"/>
      <c r="N4" s="2714"/>
      <c r="O4" s="2714"/>
      <c r="P4" s="3676" t="s">
        <v>1775</v>
      </c>
      <c r="Q4" s="3677"/>
      <c r="R4" s="3658" t="s">
        <v>1771</v>
      </c>
      <c r="S4" s="3659"/>
      <c r="T4" s="3658" t="s">
        <v>1772</v>
      </c>
      <c r="U4" s="3659"/>
      <c r="V4" s="3655" t="s">
        <v>1773</v>
      </c>
      <c r="W4" s="3655"/>
      <c r="X4" s="1353"/>
      <c r="Y4" s="3658" t="s">
        <v>1775</v>
      </c>
      <c r="Z4" s="3659"/>
      <c r="AA4" s="3652" t="s">
        <v>1771</v>
      </c>
      <c r="AB4" s="3653" t="s">
        <v>1772</v>
      </c>
      <c r="AC4" s="3652" t="s">
        <v>1773</v>
      </c>
    </row>
    <row r="5" spans="1:30" ht="15">
      <c r="A5" s="358"/>
      <c r="B5" s="359"/>
      <c r="C5" s="3664" t="s">
        <v>1673</v>
      </c>
      <c r="D5" s="3665"/>
      <c r="E5" s="3720" t="s">
        <v>1674</v>
      </c>
      <c r="F5" s="3663"/>
      <c r="G5" s="3664" t="s">
        <v>1675</v>
      </c>
      <c r="H5" s="3665"/>
      <c r="I5" s="3664" t="s">
        <v>1676</v>
      </c>
      <c r="J5" s="3665"/>
      <c r="K5" s="559"/>
      <c r="L5" s="2713"/>
      <c r="M5" s="2714"/>
      <c r="N5" s="2714"/>
      <c r="O5" s="2714"/>
      <c r="P5" s="3678"/>
      <c r="Q5" s="3679"/>
      <c r="R5" s="3660"/>
      <c r="S5" s="3661"/>
      <c r="T5" s="3660"/>
      <c r="U5" s="3661"/>
      <c r="V5" s="3655"/>
      <c r="W5" s="3655"/>
      <c r="X5" s="1353"/>
      <c r="Y5" s="3660"/>
      <c r="Z5" s="3661"/>
      <c r="AA5" s="3653"/>
      <c r="AB5" s="3653"/>
      <c r="AC5" s="3653"/>
    </row>
    <row r="6" spans="1:30" ht="15.75" thickBot="1">
      <c r="A6" s="360"/>
      <c r="B6" s="361"/>
      <c r="C6" s="3666" t="s">
        <v>1677</v>
      </c>
      <c r="D6" s="3667"/>
      <c r="E6" s="3669" t="s">
        <v>1677</v>
      </c>
      <c r="F6" s="3670"/>
      <c r="G6" s="3666" t="s">
        <v>1677</v>
      </c>
      <c r="H6" s="3667"/>
      <c r="I6" s="3666" t="s">
        <v>1677</v>
      </c>
      <c r="J6" s="3667"/>
      <c r="K6" s="559" t="s">
        <v>1678</v>
      </c>
      <c r="L6" s="2713"/>
      <c r="M6" s="2714"/>
      <c r="N6" s="2714"/>
      <c r="O6" s="2714"/>
      <c r="P6" s="3680"/>
      <c r="Q6" s="3681"/>
      <c r="R6" s="3660"/>
      <c r="S6" s="3661"/>
      <c r="T6" s="3682"/>
      <c r="U6" s="3683"/>
      <c r="V6" s="3655"/>
      <c r="W6" s="3655"/>
      <c r="X6" s="1353"/>
      <c r="Y6" s="3682"/>
      <c r="Z6" s="3683"/>
      <c r="AA6" s="3654"/>
      <c r="AB6" s="3654"/>
      <c r="AC6" s="3654"/>
    </row>
    <row r="7" spans="1:30" s="108" customFormat="1" ht="15.75" thickBot="1">
      <c r="A7" s="362" t="s">
        <v>1679</v>
      </c>
      <c r="B7" s="363"/>
      <c r="C7" s="364">
        <f>'数据-取费表'!B2</f>
        <v>45504</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56" t="s">
        <v>1680</v>
      </c>
      <c r="Q7" s="3684"/>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6" t="s">
        <v>1683</v>
      </c>
      <c r="Q8" s="3657"/>
      <c r="R8" s="700" t="s">
        <v>14</v>
      </c>
      <c r="S8" s="701">
        <f t="shared" si="0"/>
        <v>0</v>
      </c>
      <c r="T8" s="700" t="s">
        <v>14</v>
      </c>
      <c r="U8" s="701">
        <f t="shared" si="1"/>
        <v>0</v>
      </c>
      <c r="V8" s="700" t="s">
        <v>14</v>
      </c>
      <c r="W8" s="701">
        <f t="shared" si="2"/>
        <v>0</v>
      </c>
      <c r="X8" s="702"/>
      <c r="Y8" s="3656" t="s">
        <v>1683</v>
      </c>
      <c r="Z8" s="3657"/>
      <c r="AA8" s="703" t="e">
        <f t="shared" ref="AA8:AA45" si="3">D8/F8</f>
        <v>#DIV/0!</v>
      </c>
      <c r="AB8" s="703" t="e">
        <f t="shared" ref="AB8:AB45" si="4">D8/H8</f>
        <v>#DIV/0!</v>
      </c>
      <c r="AC8" s="703"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4" t="s">
        <v>1686</v>
      </c>
      <c r="Q9" s="1341" t="str">
        <f t="shared" ref="Q9:Q15" si="6">B9</f>
        <v>用途</v>
      </c>
      <c r="R9" s="700" t="s">
        <v>14</v>
      </c>
      <c r="S9" s="701">
        <f t="shared" si="0"/>
        <v>100</v>
      </c>
      <c r="T9" s="700" t="s">
        <v>14</v>
      </c>
      <c r="U9" s="701">
        <f t="shared" si="1"/>
        <v>100</v>
      </c>
      <c r="V9" s="700" t="s">
        <v>14</v>
      </c>
      <c r="W9" s="701">
        <f t="shared" si="2"/>
        <v>100</v>
      </c>
      <c r="X9" s="702"/>
      <c r="Y9" s="3620"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142</v>
      </c>
      <c r="G10" s="414"/>
      <c r="H10" s="127">
        <f>ROUND(100/'数据-取费表'!G16,0)</f>
        <v>142</v>
      </c>
      <c r="I10" s="414"/>
      <c r="J10" s="127">
        <f>ROUND(100/'数据-取费表'!G16,0)</f>
        <v>142</v>
      </c>
      <c r="K10" s="619"/>
      <c r="L10" s="2717"/>
      <c r="M10" s="2718"/>
      <c r="N10" s="2718"/>
      <c r="O10" s="2771"/>
      <c r="P10" s="3694"/>
      <c r="Q10" s="1341" t="str">
        <f t="shared" si="6"/>
        <v>土地使用年限（年）</v>
      </c>
      <c r="R10" s="700" t="s">
        <v>14</v>
      </c>
      <c r="S10" s="701">
        <f t="shared" si="0"/>
        <v>142</v>
      </c>
      <c r="T10" s="700" t="s">
        <v>14</v>
      </c>
      <c r="U10" s="701">
        <f t="shared" si="1"/>
        <v>142</v>
      </c>
      <c r="V10" s="700" t="s">
        <v>14</v>
      </c>
      <c r="W10" s="701">
        <f t="shared" si="2"/>
        <v>142</v>
      </c>
      <c r="X10" s="702"/>
      <c r="Y10" s="3620"/>
      <c r="Z10" s="52" t="str">
        <f t="shared" si="7"/>
        <v>土地使用年限（年）</v>
      </c>
      <c r="AA10" s="703">
        <f t="shared" si="3"/>
        <v>0.70422535211267601</v>
      </c>
      <c r="AB10" s="703">
        <f t="shared" si="4"/>
        <v>0.70422535211267601</v>
      </c>
      <c r="AC10" s="703">
        <f t="shared" si="5"/>
        <v>0.70422535211267601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694"/>
      <c r="Q11" s="1341" t="str">
        <f t="shared" si="6"/>
        <v>容积率</v>
      </c>
      <c r="R11" s="700" t="s">
        <v>14</v>
      </c>
      <c r="S11" s="701" t="e">
        <f t="shared" si="0"/>
        <v>#N/A</v>
      </c>
      <c r="T11" s="700" t="s">
        <v>14</v>
      </c>
      <c r="U11" s="701" t="e">
        <f t="shared" si="1"/>
        <v>#N/A</v>
      </c>
      <c r="V11" s="700" t="s">
        <v>14</v>
      </c>
      <c r="W11" s="701" t="e">
        <f t="shared" si="2"/>
        <v>#N/A</v>
      </c>
      <c r="X11" s="702"/>
      <c r="Y11" s="3620"/>
      <c r="Z11" s="52" t="str">
        <f t="shared" si="7"/>
        <v>容积率</v>
      </c>
      <c r="AA11" s="703" t="e">
        <f t="shared" si="3"/>
        <v>#N/A</v>
      </c>
      <c r="AB11" s="703" t="e">
        <f t="shared" si="4"/>
        <v>#N/A</v>
      </c>
      <c r="AC11" s="703"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694"/>
      <c r="Q12" s="1341" t="str">
        <f t="shared" si="6"/>
        <v>配建</v>
      </c>
      <c r="R12" s="700" t="s">
        <v>14</v>
      </c>
      <c r="S12" s="701">
        <f t="shared" si="0"/>
        <v>100</v>
      </c>
      <c r="T12" s="700" t="s">
        <v>14</v>
      </c>
      <c r="U12" s="701">
        <f t="shared" si="1"/>
        <v>100</v>
      </c>
      <c r="V12" s="700" t="s">
        <v>14</v>
      </c>
      <c r="W12" s="701">
        <f t="shared" si="2"/>
        <v>100</v>
      </c>
      <c r="X12" s="702"/>
      <c r="Y12" s="3620"/>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694"/>
      <c r="Q13" s="1341">
        <f t="shared" si="6"/>
        <v>111</v>
      </c>
      <c r="R13" s="700" t="s">
        <v>14</v>
      </c>
      <c r="S13" s="701">
        <f t="shared" si="0"/>
        <v>100</v>
      </c>
      <c r="T13" s="700" t="s">
        <v>14</v>
      </c>
      <c r="U13" s="701">
        <f t="shared" si="1"/>
        <v>100</v>
      </c>
      <c r="V13" s="700" t="s">
        <v>14</v>
      </c>
      <c r="W13" s="701">
        <f t="shared" si="2"/>
        <v>100</v>
      </c>
      <c r="X13" s="702"/>
      <c r="Y13" s="3620"/>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694"/>
      <c r="Q14" s="1341">
        <f t="shared" si="6"/>
        <v>111</v>
      </c>
      <c r="R14" s="700" t="s">
        <v>14</v>
      </c>
      <c r="S14" s="701">
        <f t="shared" si="0"/>
        <v>100</v>
      </c>
      <c r="T14" s="700" t="s">
        <v>14</v>
      </c>
      <c r="U14" s="701">
        <f t="shared" si="1"/>
        <v>100</v>
      </c>
      <c r="V14" s="700" t="s">
        <v>14</v>
      </c>
      <c r="W14" s="701">
        <f t="shared" si="2"/>
        <v>100</v>
      </c>
      <c r="X14" s="702"/>
      <c r="Y14" s="3620"/>
      <c r="Z14" s="52">
        <f t="shared" si="7"/>
        <v>111</v>
      </c>
      <c r="AA14" s="703">
        <f>D14/F14</f>
        <v>1</v>
      </c>
      <c r="AB14" s="703">
        <f>D14/H14</f>
        <v>1</v>
      </c>
      <c r="AC14" s="703">
        <f>D14/J14</f>
        <v>1</v>
      </c>
    </row>
    <row r="15" spans="1:30" ht="15">
      <c r="A15" s="391" t="s">
        <v>1690</v>
      </c>
      <c r="B15" s="61" t="s">
        <v>1257</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687" t="s">
        <v>1691</v>
      </c>
      <c r="Q15" s="1350" t="str">
        <f t="shared" si="6"/>
        <v>居住社区成熟度</v>
      </c>
      <c r="R15" s="704" t="s">
        <v>14</v>
      </c>
      <c r="S15" s="705">
        <f t="shared" si="0"/>
        <v>100</v>
      </c>
      <c r="T15" s="704" t="s">
        <v>14</v>
      </c>
      <c r="U15" s="705">
        <f t="shared" si="1"/>
        <v>100</v>
      </c>
      <c r="V15" s="704" t="s">
        <v>14</v>
      </c>
      <c r="W15" s="705">
        <f t="shared" si="2"/>
        <v>100</v>
      </c>
      <c r="X15" s="1353"/>
      <c r="Y15" s="3687"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20"/>
      <c r="M16" s="2714"/>
      <c r="N16" s="2714"/>
      <c r="O16" s="2772"/>
      <c r="P16" s="3688"/>
      <c r="Q16" s="1350"/>
      <c r="R16" s="704"/>
      <c r="S16" s="705"/>
      <c r="T16" s="704"/>
      <c r="U16" s="705"/>
      <c r="V16" s="704"/>
      <c r="W16" s="705"/>
      <c r="X16" s="1353"/>
      <c r="Y16" s="3688"/>
      <c r="Z16" s="1354"/>
      <c r="AA16" s="1351">
        <v>1</v>
      </c>
      <c r="AB16" s="1351">
        <v>1</v>
      </c>
      <c r="AC16" s="1351">
        <v>1</v>
      </c>
    </row>
    <row r="17" spans="1:29" ht="85.5">
      <c r="A17" s="379"/>
      <c r="B17" s="402" t="s">
        <v>1777</v>
      </c>
      <c r="C17" s="1953" t="str">
        <f>估价对象房地状况!C16</f>
        <v>估价对象周边以住宅配套商业为主，周边商业氛围成熟一般，人流量一般，商业繁华度一般</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688"/>
      <c r="Q17" s="1350" t="str">
        <f>B17</f>
        <v>商业繁华度</v>
      </c>
      <c r="R17" s="704" t="s">
        <v>14</v>
      </c>
      <c r="S17" s="705">
        <f>F17</f>
        <v>100</v>
      </c>
      <c r="T17" s="704" t="s">
        <v>14</v>
      </c>
      <c r="U17" s="705">
        <f>H17</f>
        <v>100</v>
      </c>
      <c r="V17" s="704" t="s">
        <v>14</v>
      </c>
      <c r="W17" s="705">
        <f>J17</f>
        <v>100</v>
      </c>
      <c r="X17" s="1353"/>
      <c r="Y17" s="3688"/>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20"/>
      <c r="M18" s="2714"/>
      <c r="N18" s="2714"/>
      <c r="O18" s="2772"/>
      <c r="P18" s="3688"/>
      <c r="Q18" s="1350"/>
      <c r="R18" s="704"/>
      <c r="S18" s="705"/>
      <c r="T18" s="704"/>
      <c r="U18" s="705"/>
      <c r="V18" s="704"/>
      <c r="W18" s="705"/>
      <c r="X18" s="1353"/>
      <c r="Y18" s="3688"/>
      <c r="Z18" s="1354"/>
      <c r="AA18" s="1351">
        <v>1</v>
      </c>
      <c r="AB18" s="1351">
        <v>1</v>
      </c>
      <c r="AC18" s="1351">
        <v>1</v>
      </c>
    </row>
    <row r="19" spans="1:29" ht="1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688"/>
      <c r="Q19" s="1350" t="str">
        <f>B19</f>
        <v>办公集聚程度</v>
      </c>
      <c r="R19" s="704" t="s">
        <v>14</v>
      </c>
      <c r="S19" s="705">
        <f>F19</f>
        <v>100</v>
      </c>
      <c r="T19" s="704" t="s">
        <v>14</v>
      </c>
      <c r="U19" s="705">
        <f>H19</f>
        <v>100</v>
      </c>
      <c r="V19" s="704" t="s">
        <v>14</v>
      </c>
      <c r="W19" s="705">
        <f>J19</f>
        <v>100</v>
      </c>
      <c r="X19" s="1353"/>
      <c r="Y19" s="3688"/>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20"/>
      <c r="M20" s="2714"/>
      <c r="N20" s="2714"/>
      <c r="O20" s="2772"/>
      <c r="P20" s="3688"/>
      <c r="Q20" s="1350"/>
      <c r="R20" s="704"/>
      <c r="S20" s="705"/>
      <c r="T20" s="704"/>
      <c r="U20" s="705"/>
      <c r="V20" s="704"/>
      <c r="W20" s="705"/>
      <c r="X20" s="1353"/>
      <c r="Y20" s="3688"/>
      <c r="Z20" s="1354"/>
      <c r="AA20" s="1351">
        <v>1</v>
      </c>
      <c r="AB20" s="1351">
        <v>1</v>
      </c>
      <c r="AC20" s="1351">
        <v>1</v>
      </c>
    </row>
    <row r="21" spans="1:29" ht="99.75">
      <c r="A21" s="379"/>
      <c r="B21" s="402" t="s">
        <v>1833</v>
      </c>
      <c r="C21" s="1898" t="str">
        <f>估价对象房地状况!C18</f>
        <v>估价对象周边道路状况、公共交通通达情况915、918、955等、停车便捷程度，综合评价交通便捷度一般</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688"/>
      <c r="Q21" s="1350" t="str">
        <f>B21</f>
        <v>交通便捷度</v>
      </c>
      <c r="R21" s="704" t="s">
        <v>14</v>
      </c>
      <c r="S21" s="705">
        <f>F21</f>
        <v>100</v>
      </c>
      <c r="T21" s="704" t="s">
        <v>14</v>
      </c>
      <c r="U21" s="705">
        <f>H21</f>
        <v>100</v>
      </c>
      <c r="V21" s="704" t="s">
        <v>14</v>
      </c>
      <c r="W21" s="705">
        <f>J21</f>
        <v>100</v>
      </c>
      <c r="X21" s="1353"/>
      <c r="Y21" s="3688"/>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20"/>
      <c r="M22" s="2714"/>
      <c r="N22" s="2714"/>
      <c r="O22" s="2772"/>
      <c r="P22" s="3688"/>
      <c r="Q22" s="1350"/>
      <c r="R22" s="704"/>
      <c r="S22" s="705"/>
      <c r="T22" s="704"/>
      <c r="U22" s="705"/>
      <c r="V22" s="704"/>
      <c r="W22" s="705"/>
      <c r="X22" s="1353"/>
      <c r="Y22" s="3688"/>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688"/>
      <c r="Q23" s="1350" t="str">
        <f t="shared" ref="Q23:Q37" si="8">B23</f>
        <v>区域土地利用方向</v>
      </c>
      <c r="R23" s="704" t="s">
        <v>14</v>
      </c>
      <c r="S23" s="705">
        <f>F23</f>
        <v>100</v>
      </c>
      <c r="T23" s="704" t="s">
        <v>14</v>
      </c>
      <c r="U23" s="705">
        <f>H23</f>
        <v>100</v>
      </c>
      <c r="V23" s="704" t="s">
        <v>14</v>
      </c>
      <c r="W23" s="705">
        <f>J23</f>
        <v>100</v>
      </c>
      <c r="X23" s="1353"/>
      <c r="Y23" s="3688"/>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20"/>
      <c r="M24" s="2714"/>
      <c r="N24" s="2714"/>
      <c r="O24" s="2772"/>
      <c r="P24" s="3688"/>
      <c r="Q24" s="1350"/>
      <c r="R24" s="704"/>
      <c r="S24" s="705"/>
      <c r="T24" s="704"/>
      <c r="U24" s="705"/>
      <c r="V24" s="704"/>
      <c r="W24" s="705"/>
      <c r="X24" s="1353"/>
      <c r="Y24" s="3688"/>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688"/>
      <c r="Q25" s="1350" t="str">
        <f t="shared" si="8"/>
        <v>自然及人文环境状况</v>
      </c>
      <c r="R25" s="704" t="s">
        <v>14</v>
      </c>
      <c r="S25" s="705">
        <f>F25</f>
        <v>100</v>
      </c>
      <c r="T25" s="704" t="s">
        <v>14</v>
      </c>
      <c r="U25" s="705">
        <f>H25</f>
        <v>100</v>
      </c>
      <c r="V25" s="704" t="s">
        <v>14</v>
      </c>
      <c r="W25" s="705">
        <f>J25</f>
        <v>100</v>
      </c>
      <c r="X25" s="1353"/>
      <c r="Y25" s="3688"/>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20"/>
      <c r="M26" s="2714"/>
      <c r="N26" s="2714"/>
      <c r="O26" s="2772"/>
      <c r="P26" s="3688"/>
      <c r="Q26" s="1350"/>
      <c r="R26" s="704"/>
      <c r="S26" s="705"/>
      <c r="T26" s="704"/>
      <c r="U26" s="705"/>
      <c r="V26" s="704"/>
      <c r="W26" s="705"/>
      <c r="X26" s="1353"/>
      <c r="Y26" s="3688"/>
      <c r="Z26" s="1354"/>
      <c r="AA26" s="1351">
        <v>1</v>
      </c>
      <c r="AB26" s="1351">
        <v>1</v>
      </c>
      <c r="AC26" s="1351">
        <v>1</v>
      </c>
    </row>
    <row r="27" spans="1:29" s="108" customFormat="1" ht="42.75">
      <c r="A27" s="596"/>
      <c r="B27" s="1129" t="s">
        <v>1778</v>
      </c>
      <c r="C27" s="1898" t="str">
        <f>估价对象房地状况!C21</f>
        <v>估价对象所在区域公共配套设施齐备情况一般</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688"/>
      <c r="Q27" s="1341" t="str">
        <f t="shared" si="8"/>
        <v>公共配套设施</v>
      </c>
      <c r="R27" s="700" t="s">
        <v>14</v>
      </c>
      <c r="S27" s="701">
        <f>F27</f>
        <v>100</v>
      </c>
      <c r="T27" s="700" t="s">
        <v>14</v>
      </c>
      <c r="U27" s="701">
        <f>H27</f>
        <v>100</v>
      </c>
      <c r="V27" s="700" t="s">
        <v>14</v>
      </c>
      <c r="W27" s="701">
        <f>J27</f>
        <v>100</v>
      </c>
      <c r="X27" s="702"/>
      <c r="Y27" s="3688"/>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5"/>
      <c r="M28" s="2716"/>
      <c r="N28" s="2716"/>
      <c r="O28" s="2770"/>
      <c r="P28" s="3688"/>
      <c r="Q28" s="1341"/>
      <c r="R28" s="700"/>
      <c r="S28" s="701"/>
      <c r="T28" s="700"/>
      <c r="U28" s="701"/>
      <c r="V28" s="700"/>
      <c r="W28" s="701"/>
      <c r="X28" s="702"/>
      <c r="Y28" s="3688"/>
      <c r="Z28" s="52"/>
      <c r="AA28" s="1351">
        <v>1</v>
      </c>
      <c r="AB28" s="1351">
        <v>1</v>
      </c>
      <c r="AC28" s="1351">
        <v>1</v>
      </c>
    </row>
    <row r="29" spans="1:29" s="108" customFormat="1" ht="15">
      <c r="A29" s="596"/>
      <c r="B29" s="1129" t="s">
        <v>1779</v>
      </c>
      <c r="C29" s="1898"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688"/>
      <c r="Q29" s="1341" t="str">
        <f t="shared" ref="Q29" si="9">B29</f>
        <v>基础设施水平</v>
      </c>
      <c r="R29" s="700" t="s">
        <v>14</v>
      </c>
      <c r="S29" s="701">
        <f>F29</f>
        <v>100</v>
      </c>
      <c r="T29" s="700" t="s">
        <v>14</v>
      </c>
      <c r="U29" s="701">
        <f>H29</f>
        <v>100</v>
      </c>
      <c r="V29" s="700" t="s">
        <v>14</v>
      </c>
      <c r="W29" s="701">
        <f>J29</f>
        <v>100</v>
      </c>
      <c r="X29" s="702"/>
      <c r="Y29" s="3688"/>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5"/>
      <c r="M30" s="2716"/>
      <c r="N30" s="2716"/>
      <c r="O30" s="2770"/>
      <c r="P30" s="3688"/>
      <c r="Q30" s="1341"/>
      <c r="R30" s="700"/>
      <c r="S30" s="701"/>
      <c r="T30" s="700"/>
      <c r="U30" s="701"/>
      <c r="V30" s="700"/>
      <c r="W30" s="701"/>
      <c r="X30" s="702"/>
      <c r="Y30" s="3688"/>
      <c r="Z30" s="52"/>
      <c r="AA30" s="1351">
        <v>1</v>
      </c>
      <c r="AB30" s="1351">
        <v>1</v>
      </c>
      <c r="AC30" s="1351">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688"/>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688"/>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688"/>
      <c r="Q32" s="1350" t="str">
        <f t="shared" si="8"/>
        <v>毗邻道路的类型与等级</v>
      </c>
      <c r="R32" s="704" t="s">
        <v>14</v>
      </c>
      <c r="S32" s="705">
        <f t="shared" si="10"/>
        <v>100</v>
      </c>
      <c r="T32" s="704" t="s">
        <v>14</v>
      </c>
      <c r="U32" s="705">
        <f t="shared" si="11"/>
        <v>100</v>
      </c>
      <c r="V32" s="704" t="s">
        <v>14</v>
      </c>
      <c r="W32" s="705">
        <f t="shared" si="12"/>
        <v>100</v>
      </c>
      <c r="X32" s="1353"/>
      <c r="Y32" s="3688"/>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88"/>
      <c r="Q33" s="1350"/>
      <c r="R33" s="704"/>
      <c r="S33" s="705"/>
      <c r="T33" s="704"/>
      <c r="U33" s="705"/>
      <c r="V33" s="704"/>
      <c r="W33" s="705"/>
      <c r="X33" s="1353"/>
      <c r="Y33" s="3688"/>
      <c r="Z33" s="1354"/>
      <c r="AA33" s="1351">
        <v>1</v>
      </c>
      <c r="AB33" s="1351">
        <v>1</v>
      </c>
      <c r="AC33" s="1351">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688"/>
      <c r="Q34" s="1350" t="str">
        <f t="shared" si="8"/>
        <v>土地级别</v>
      </c>
      <c r="R34" s="704" t="s">
        <v>14</v>
      </c>
      <c r="S34" s="705">
        <f t="shared" si="10"/>
        <v>100</v>
      </c>
      <c r="T34" s="704" t="s">
        <v>14</v>
      </c>
      <c r="U34" s="705">
        <f t="shared" si="11"/>
        <v>100</v>
      </c>
      <c r="V34" s="704" t="s">
        <v>14</v>
      </c>
      <c r="W34" s="705">
        <f t="shared" si="12"/>
        <v>100</v>
      </c>
      <c r="X34" s="1353"/>
      <c r="Y34" s="3688"/>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688"/>
      <c r="Q35" s="1350">
        <f t="shared" si="8"/>
        <v>111</v>
      </c>
      <c r="R35" s="704" t="s">
        <v>14</v>
      </c>
      <c r="S35" s="705">
        <f t="shared" si="10"/>
        <v>100</v>
      </c>
      <c r="T35" s="704" t="s">
        <v>14</v>
      </c>
      <c r="U35" s="705">
        <f t="shared" si="11"/>
        <v>100</v>
      </c>
      <c r="V35" s="704" t="s">
        <v>14</v>
      </c>
      <c r="W35" s="705">
        <f t="shared" si="12"/>
        <v>100</v>
      </c>
      <c r="X35" s="1353"/>
      <c r="Y35" s="3688"/>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36" t="s">
        <v>1696</v>
      </c>
      <c r="Q36" s="1350">
        <f t="shared" si="8"/>
        <v>111</v>
      </c>
      <c r="R36" s="704" t="s">
        <v>14</v>
      </c>
      <c r="S36" s="705">
        <f t="shared" si="10"/>
        <v>100</v>
      </c>
      <c r="T36" s="704" t="s">
        <v>14</v>
      </c>
      <c r="U36" s="705">
        <f t="shared" si="11"/>
        <v>100</v>
      </c>
      <c r="V36" s="704" t="s">
        <v>14</v>
      </c>
      <c r="W36" s="705">
        <f t="shared" si="12"/>
        <v>100</v>
      </c>
      <c r="X36" s="1353"/>
      <c r="Y36" s="3692" t="s">
        <v>1696</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692"/>
      <c r="Q37" s="1350">
        <f t="shared" si="8"/>
        <v>111</v>
      </c>
      <c r="R37" s="707" t="s">
        <v>14</v>
      </c>
      <c r="S37" s="708">
        <f t="shared" si="10"/>
        <v>100</v>
      </c>
      <c r="T37" s="707" t="s">
        <v>14</v>
      </c>
      <c r="U37" s="708">
        <f t="shared" si="11"/>
        <v>100</v>
      </c>
      <c r="V37" s="707" t="s">
        <v>14</v>
      </c>
      <c r="W37" s="708">
        <f t="shared" si="12"/>
        <v>100</v>
      </c>
      <c r="X37" s="709"/>
      <c r="Y37" s="3692"/>
      <c r="Z37" s="710">
        <f t="shared" si="13"/>
        <v>111</v>
      </c>
      <c r="AA37" s="1351">
        <f t="shared" si="3"/>
        <v>1</v>
      </c>
      <c r="AB37" s="1351">
        <f t="shared" si="4"/>
        <v>1</v>
      </c>
      <c r="AC37" s="1351">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692"/>
      <c r="Q38" s="1350" t="str">
        <f>B38</f>
        <v>宗地面积</v>
      </c>
      <c r="R38" s="704" t="s">
        <v>14</v>
      </c>
      <c r="S38" s="705" t="e">
        <f t="shared" si="10"/>
        <v>#N/A</v>
      </c>
      <c r="T38" s="704" t="s">
        <v>14</v>
      </c>
      <c r="U38" s="705" t="e">
        <f t="shared" si="11"/>
        <v>#N/A</v>
      </c>
      <c r="V38" s="704" t="s">
        <v>14</v>
      </c>
      <c r="W38" s="705" t="e">
        <f t="shared" si="12"/>
        <v>#N/A</v>
      </c>
      <c r="X38" s="1353"/>
      <c r="Y38" s="3692"/>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92"/>
      <c r="Q39" s="1350" t="str">
        <f t="shared" ref="Q39:Q45" si="14">B39</f>
        <v>宗地形状</v>
      </c>
      <c r="R39" s="704" t="s">
        <v>14</v>
      </c>
      <c r="S39" s="705">
        <f t="shared" si="10"/>
        <v>100</v>
      </c>
      <c r="T39" s="704" t="s">
        <v>14</v>
      </c>
      <c r="U39" s="705">
        <f t="shared" si="11"/>
        <v>100</v>
      </c>
      <c r="V39" s="704" t="s">
        <v>14</v>
      </c>
      <c r="W39" s="705">
        <f t="shared" si="12"/>
        <v>100</v>
      </c>
      <c r="X39" s="1353"/>
      <c r="Y39" s="3692"/>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92"/>
      <c r="Q40" s="1350" t="str">
        <f t="shared" si="14"/>
        <v>临街宽度及深度</v>
      </c>
      <c r="R40" s="704" t="s">
        <v>14</v>
      </c>
      <c r="S40" s="705">
        <f t="shared" si="10"/>
        <v>100</v>
      </c>
      <c r="T40" s="704" t="s">
        <v>14</v>
      </c>
      <c r="U40" s="705">
        <f t="shared" si="11"/>
        <v>100</v>
      </c>
      <c r="V40" s="704" t="s">
        <v>14</v>
      </c>
      <c r="W40" s="705">
        <f t="shared" si="12"/>
        <v>100</v>
      </c>
      <c r="X40" s="1353"/>
      <c r="Y40" s="3692"/>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92"/>
      <c r="Q41" s="1350" t="str">
        <f t="shared" si="14"/>
        <v>宗地开发程度</v>
      </c>
      <c r="R41" s="700" t="s">
        <v>14</v>
      </c>
      <c r="S41" s="701">
        <f t="shared" si="10"/>
        <v>100</v>
      </c>
      <c r="T41" s="700" t="s">
        <v>14</v>
      </c>
      <c r="U41" s="701">
        <f t="shared" si="11"/>
        <v>100</v>
      </c>
      <c r="V41" s="700" t="s">
        <v>14</v>
      </c>
      <c r="W41" s="701">
        <f t="shared" si="12"/>
        <v>100</v>
      </c>
      <c r="X41" s="702"/>
      <c r="Y41" s="3692"/>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92" t="s">
        <v>1696</v>
      </c>
      <c r="Q42" s="1350" t="str">
        <f t="shared" si="14"/>
        <v>工程地质条件</v>
      </c>
      <c r="R42" s="704" t="s">
        <v>14</v>
      </c>
      <c r="S42" s="705">
        <f t="shared" si="10"/>
        <v>100</v>
      </c>
      <c r="T42" s="704" t="s">
        <v>14</v>
      </c>
      <c r="U42" s="705">
        <f t="shared" si="11"/>
        <v>100</v>
      </c>
      <c r="V42" s="704" t="s">
        <v>14</v>
      </c>
      <c r="W42" s="705">
        <f t="shared" si="12"/>
        <v>100</v>
      </c>
      <c r="X42" s="1353"/>
      <c r="Y42" s="3692" t="s">
        <v>1696</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692"/>
      <c r="Q43" s="1350">
        <f t="shared" si="14"/>
        <v>111</v>
      </c>
      <c r="R43" s="704" t="s">
        <v>14</v>
      </c>
      <c r="S43" s="705">
        <f t="shared" si="10"/>
        <v>100</v>
      </c>
      <c r="T43" s="704" t="s">
        <v>14</v>
      </c>
      <c r="U43" s="705">
        <f t="shared" si="11"/>
        <v>100</v>
      </c>
      <c r="V43" s="704" t="s">
        <v>14</v>
      </c>
      <c r="W43" s="705">
        <f t="shared" si="12"/>
        <v>100</v>
      </c>
      <c r="X43" s="1353"/>
      <c r="Y43" s="3692"/>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692"/>
      <c r="Q44" s="1350">
        <f t="shared" si="14"/>
        <v>111</v>
      </c>
      <c r="R44" s="704" t="s">
        <v>14</v>
      </c>
      <c r="S44" s="705">
        <f t="shared" si="10"/>
        <v>100</v>
      </c>
      <c r="T44" s="704" t="s">
        <v>14</v>
      </c>
      <c r="U44" s="705">
        <f t="shared" si="11"/>
        <v>100</v>
      </c>
      <c r="V44" s="704" t="s">
        <v>14</v>
      </c>
      <c r="W44" s="705">
        <f t="shared" si="12"/>
        <v>100</v>
      </c>
      <c r="X44" s="1353"/>
      <c r="Y44" s="3692"/>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692"/>
      <c r="Q45" s="1350">
        <f t="shared" si="14"/>
        <v>111</v>
      </c>
      <c r="R45" s="707" t="s">
        <v>14</v>
      </c>
      <c r="S45" s="708">
        <f t="shared" si="10"/>
        <v>100</v>
      </c>
      <c r="T45" s="707" t="s">
        <v>14</v>
      </c>
      <c r="U45" s="708">
        <f t="shared" si="11"/>
        <v>100</v>
      </c>
      <c r="V45" s="707" t="s">
        <v>14</v>
      </c>
      <c r="W45" s="708">
        <f t="shared" si="12"/>
        <v>100</v>
      </c>
      <c r="X45" s="709"/>
      <c r="Y45" s="3692"/>
      <c r="Z45" s="710">
        <f t="shared" si="13"/>
        <v>111</v>
      </c>
      <c r="AA45" s="1351">
        <f t="shared" si="3"/>
        <v>1</v>
      </c>
      <c r="AB45" s="1351">
        <f t="shared" si="4"/>
        <v>1</v>
      </c>
      <c r="AC45" s="1351">
        <f t="shared" si="5"/>
        <v>1</v>
      </c>
    </row>
    <row r="46" spans="1:29" ht="15">
      <c r="A46" s="430" t="s">
        <v>1844</v>
      </c>
      <c r="B46" s="1980" t="s">
        <v>1879</v>
      </c>
      <c r="C46" s="629" t="s">
        <v>0</v>
      </c>
      <c r="D46" s="432"/>
      <c r="E46" s="433"/>
      <c r="F46" s="434"/>
      <c r="G46" s="435"/>
      <c r="H46" s="436"/>
      <c r="I46" s="433"/>
      <c r="J46" s="436"/>
      <c r="K46" s="713"/>
      <c r="L46" s="2722"/>
      <c r="M46" s="2723"/>
      <c r="N46" s="2714"/>
      <c r="O46" s="2723"/>
      <c r="P46" s="3694" t="str">
        <f>A46</f>
        <v>成交单价</v>
      </c>
      <c r="Q46" s="3694"/>
      <c r="R46" s="3655">
        <f>E46</f>
        <v>0</v>
      </c>
      <c r="S46" s="3655"/>
      <c r="T46" s="3655">
        <f>G46</f>
        <v>0</v>
      </c>
      <c r="U46" s="3655"/>
      <c r="V46" s="3655">
        <f>I46</f>
        <v>0</v>
      </c>
      <c r="W46" s="3655"/>
      <c r="X46" s="689"/>
      <c r="Y46" s="711"/>
      <c r="Z46" s="689"/>
      <c r="AA46" s="689"/>
      <c r="AB46" s="689"/>
      <c r="AC46" s="689"/>
    </row>
    <row r="47" spans="1:29" ht="15.75" thickBot="1">
      <c r="A47" s="437" t="s">
        <v>1793</v>
      </c>
      <c r="B47" s="630"/>
      <c r="C47" s="440" t="e">
        <f>R48</f>
        <v>#DIV/0!</v>
      </c>
      <c r="D47" s="2315" t="s">
        <v>2138</v>
      </c>
      <c r="E47" s="440" t="e">
        <f>R47</f>
        <v>#DIV/0!</v>
      </c>
      <c r="F47" s="2316"/>
      <c r="G47" s="439" t="e">
        <f>T47</f>
        <v>#DIV/0!</v>
      </c>
      <c r="H47" s="2316"/>
      <c r="I47" s="440" t="e">
        <f>V47</f>
        <v>#DIV/0!</v>
      </c>
      <c r="J47" s="2316"/>
      <c r="K47" s="2318">
        <f>F47+H47+J47</f>
        <v>0</v>
      </c>
      <c r="L47" s="2722"/>
      <c r="M47" s="2723"/>
      <c r="N47" s="2723"/>
      <c r="O47" s="2723"/>
      <c r="P47" s="3694" t="str">
        <f>A47</f>
        <v>比较价值（元/平方米）</v>
      </c>
      <c r="Q47" s="3694"/>
      <c r="R47" s="3738" t="e">
        <f>ROUND(PRODUCT(R46,AA7:AA45),0)</f>
        <v>#DIV/0!</v>
      </c>
      <c r="S47" s="3738"/>
      <c r="T47" s="3738" t="e">
        <f>ROUND(PRODUCT(T46,AB7:AB45),0)</f>
        <v>#DIV/0!</v>
      </c>
      <c r="U47" s="3738"/>
      <c r="V47" s="3738" t="e">
        <f>ROUND(PRODUCT(V46,AC7:AC45),0)</f>
        <v>#DIV/0!</v>
      </c>
      <c r="W47" s="3738"/>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96" t="str">
        <f>A48</f>
        <v>估价对象XX用房的比较价值（楼面单价，元/平方米）</v>
      </c>
      <c r="Q48" s="3697"/>
      <c r="R48" s="3739" t="e">
        <f>ROUND(IF(D47="简单平均",AVERAGE(R47:W47),R47*F47+T47*H47+V47*J47),0)</f>
        <v>#DIV/0!</v>
      </c>
      <c r="S48" s="3739"/>
      <c r="T48" s="3739"/>
      <c r="U48" s="3739"/>
      <c r="V48" s="3739"/>
      <c r="W48" s="3739"/>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1" t="s">
        <v>1883</v>
      </c>
      <c r="D55" s="1982" t="s">
        <v>1884</v>
      </c>
      <c r="E55" s="633" t="s">
        <v>1885</v>
      </c>
      <c r="F55" s="889" t="s">
        <v>1886</v>
      </c>
      <c r="G55" s="3672" t="s">
        <v>1887</v>
      </c>
      <c r="H55" s="3740"/>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453.74</v>
      </c>
      <c r="F56" s="885" t="e">
        <f t="shared" ref="F56:F64" si="15">ROUND(B56*E56/10000,0)</f>
        <v>#DIV/0!</v>
      </c>
      <c r="G56" s="3671"/>
      <c r="H56" s="3694"/>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v>
      </c>
      <c r="D57" s="944">
        <v>0.25</v>
      </c>
      <c r="E57" s="641"/>
      <c r="F57" s="885" t="e">
        <f t="shared" si="15"/>
        <v>#DIV/0!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v>
      </c>
      <c r="D58" s="944">
        <v>0.25</v>
      </c>
      <c r="E58" s="641"/>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v>
      </c>
      <c r="D59" s="944">
        <v>0.25</v>
      </c>
      <c r="E59" s="641"/>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4">
        <v>0.25</v>
      </c>
      <c r="E60" s="217">
        <f>'数据-汇总表'!E11</f>
        <v>0</v>
      </c>
      <c r="F60" s="885" t="e">
        <f t="shared" si="15"/>
        <v>#DIV/0!</v>
      </c>
      <c r="G60" s="1985"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v>
      </c>
      <c r="D63" s="944">
        <v>0.25</v>
      </c>
      <c r="E63" s="217">
        <f>'数据-汇总表'!E14</f>
        <v>0</v>
      </c>
      <c r="F63" s="885" t="e">
        <f t="shared" si="15"/>
        <v>#DIV/0!</v>
      </c>
      <c r="G63" s="1985"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4">
        <v>0.25</v>
      </c>
      <c r="E64" s="217">
        <f>'数据-汇总表'!E15</f>
        <v>0</v>
      </c>
      <c r="F64" s="885" t="e">
        <f t="shared" si="15"/>
        <v>#DIV/0!</v>
      </c>
      <c r="G64" s="1986"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453.74</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2024-7-1</v>
      </c>
      <c r="D67" s="691">
        <f>EDATE(C67,-3)</f>
        <v>45383</v>
      </c>
      <c r="E67" s="691">
        <f>EDATE(D67,-3)</f>
        <v>45292</v>
      </c>
      <c r="F67" s="691">
        <f t="shared" ref="F67:O67" si="18">EDATE(E67,-3)</f>
        <v>45200</v>
      </c>
      <c r="G67" s="691">
        <f t="shared" si="18"/>
        <v>45108</v>
      </c>
      <c r="H67" s="691">
        <f t="shared" si="18"/>
        <v>45017</v>
      </c>
      <c r="I67" s="691">
        <f t="shared" si="18"/>
        <v>44927</v>
      </c>
      <c r="J67" s="691">
        <f t="shared" si="18"/>
        <v>44835</v>
      </c>
      <c r="K67" s="691">
        <f t="shared" si="18"/>
        <v>44743</v>
      </c>
      <c r="L67" s="691">
        <f t="shared" si="18"/>
        <v>44652</v>
      </c>
      <c r="M67" s="691">
        <f t="shared" si="18"/>
        <v>44562</v>
      </c>
      <c r="N67" s="691">
        <f t="shared" si="18"/>
        <v>44470</v>
      </c>
      <c r="O67" s="691">
        <f t="shared" si="18"/>
        <v>44378</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72" t="s">
        <v>1770</v>
      </c>
      <c r="D4" s="3673"/>
      <c r="E4" s="3674" t="s">
        <v>1771</v>
      </c>
      <c r="F4" s="3675"/>
      <c r="G4" s="3672" t="s">
        <v>1772</v>
      </c>
      <c r="H4" s="3673"/>
      <c r="I4" s="3672" t="s">
        <v>1773</v>
      </c>
      <c r="J4" s="3673"/>
      <c r="K4" s="559" t="s">
        <v>1774</v>
      </c>
      <c r="L4" s="2713"/>
      <c r="M4" s="2714"/>
      <c r="N4" s="2714"/>
      <c r="O4" s="2714"/>
      <c r="P4" s="3676" t="s">
        <v>1775</v>
      </c>
      <c r="Q4" s="3677"/>
      <c r="R4" s="3658" t="s">
        <v>1771</v>
      </c>
      <c r="S4" s="3659"/>
      <c r="T4" s="3658" t="s">
        <v>1772</v>
      </c>
      <c r="U4" s="3659"/>
      <c r="V4" s="3655" t="s">
        <v>1773</v>
      </c>
      <c r="W4" s="3655"/>
      <c r="X4" s="1353"/>
      <c r="Y4" s="3658" t="s">
        <v>1775</v>
      </c>
      <c r="Z4" s="3659"/>
      <c r="AA4" s="3652" t="s">
        <v>1771</v>
      </c>
      <c r="AB4" s="3653" t="s">
        <v>1772</v>
      </c>
      <c r="AC4" s="3652" t="s">
        <v>1773</v>
      </c>
    </row>
    <row r="5" spans="1:29" ht="15">
      <c r="A5" s="358"/>
      <c r="B5" s="359"/>
      <c r="C5" s="3664" t="s">
        <v>1673</v>
      </c>
      <c r="D5" s="3665"/>
      <c r="E5" s="3720" t="s">
        <v>1674</v>
      </c>
      <c r="F5" s="3663"/>
      <c r="G5" s="3664" t="s">
        <v>1675</v>
      </c>
      <c r="H5" s="3665"/>
      <c r="I5" s="3664" t="s">
        <v>1676</v>
      </c>
      <c r="J5" s="3665"/>
      <c r="K5" s="559"/>
      <c r="L5" s="2713"/>
      <c r="M5" s="2714"/>
      <c r="N5" s="2714"/>
      <c r="O5" s="2714"/>
      <c r="P5" s="3678"/>
      <c r="Q5" s="3679"/>
      <c r="R5" s="3660"/>
      <c r="S5" s="3661"/>
      <c r="T5" s="3660"/>
      <c r="U5" s="3661"/>
      <c r="V5" s="3655"/>
      <c r="W5" s="3655"/>
      <c r="X5" s="1353"/>
      <c r="Y5" s="3660"/>
      <c r="Z5" s="3661"/>
      <c r="AA5" s="3653"/>
      <c r="AB5" s="3653"/>
      <c r="AC5" s="3653"/>
    </row>
    <row r="6" spans="1:29" ht="15.75" thickBot="1">
      <c r="A6" s="360"/>
      <c r="B6" s="361"/>
      <c r="C6" s="3741" t="s">
        <v>1919</v>
      </c>
      <c r="D6" s="3742"/>
      <c r="E6" s="3743" t="s">
        <v>1919</v>
      </c>
      <c r="F6" s="3744"/>
      <c r="G6" s="3741" t="s">
        <v>1919</v>
      </c>
      <c r="H6" s="3742"/>
      <c r="I6" s="3741" t="s">
        <v>1919</v>
      </c>
      <c r="J6" s="3742"/>
      <c r="K6" s="559" t="s">
        <v>1678</v>
      </c>
      <c r="L6" s="2713"/>
      <c r="M6" s="2714"/>
      <c r="N6" s="2714"/>
      <c r="O6" s="2714"/>
      <c r="P6" s="3680"/>
      <c r="Q6" s="3681"/>
      <c r="R6" s="3660"/>
      <c r="S6" s="3661"/>
      <c r="T6" s="3682"/>
      <c r="U6" s="3683"/>
      <c r="V6" s="3655"/>
      <c r="W6" s="3655"/>
      <c r="X6" s="1353"/>
      <c r="Y6" s="3682"/>
      <c r="Z6" s="3683"/>
      <c r="AA6" s="3654"/>
      <c r="AB6" s="3654"/>
      <c r="AC6" s="3654"/>
    </row>
    <row r="7" spans="1:29" s="108" customFormat="1" ht="15.75" thickBot="1">
      <c r="A7" s="362" t="s">
        <v>1679</v>
      </c>
      <c r="B7" s="363"/>
      <c r="C7" s="364">
        <f>'数据-取费表'!B2</f>
        <v>45504</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56" t="s">
        <v>1680</v>
      </c>
      <c r="Q7" s="3684"/>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56" t="s">
        <v>1683</v>
      </c>
      <c r="Q8" s="3657"/>
      <c r="R8" s="700" t="s">
        <v>14</v>
      </c>
      <c r="S8" s="701">
        <f t="shared" si="0"/>
        <v>0</v>
      </c>
      <c r="T8" s="700" t="s">
        <v>14</v>
      </c>
      <c r="U8" s="701">
        <f t="shared" si="1"/>
        <v>0</v>
      </c>
      <c r="V8" s="700" t="s">
        <v>14</v>
      </c>
      <c r="W8" s="701">
        <f t="shared" si="2"/>
        <v>0</v>
      </c>
      <c r="X8" s="702"/>
      <c r="Y8" s="3656" t="s">
        <v>1683</v>
      </c>
      <c r="Z8" s="3657"/>
      <c r="AA8" s="703" t="e">
        <f t="shared" ref="AA8:AA40" si="3">D8/F8</f>
        <v>#DIV/0!</v>
      </c>
      <c r="AB8" s="703" t="e">
        <f t="shared" ref="AB8:AB40" si="4">D8/H8</f>
        <v>#DIV/0!</v>
      </c>
      <c r="AC8" s="703"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4" t="s">
        <v>1686</v>
      </c>
      <c r="Q9" s="1341" t="str">
        <f t="shared" ref="Q9:Q15" si="6">B9</f>
        <v>用途</v>
      </c>
      <c r="R9" s="700" t="s">
        <v>14</v>
      </c>
      <c r="S9" s="701">
        <f t="shared" si="0"/>
        <v>100</v>
      </c>
      <c r="T9" s="700" t="s">
        <v>14</v>
      </c>
      <c r="U9" s="701">
        <f t="shared" si="1"/>
        <v>100</v>
      </c>
      <c r="V9" s="700" t="s">
        <v>14</v>
      </c>
      <c r="W9" s="701">
        <f t="shared" si="2"/>
        <v>100</v>
      </c>
      <c r="X9" s="702"/>
      <c r="Y9" s="3620"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142</v>
      </c>
      <c r="G10" s="383"/>
      <c r="H10" s="127">
        <f>ROUND(100/'数据-取费表'!G16,0)</f>
        <v>142</v>
      </c>
      <c r="I10" s="383"/>
      <c r="J10" s="127">
        <f>ROUND(100/'数据-取费表'!G16,0)</f>
        <v>142</v>
      </c>
      <c r="K10" s="619"/>
      <c r="L10" s="2717"/>
      <c r="M10" s="2718"/>
      <c r="N10" s="2718"/>
      <c r="O10" s="2771"/>
      <c r="P10" s="3694"/>
      <c r="Q10" s="1341" t="str">
        <f t="shared" si="6"/>
        <v>土地使用年限（年）</v>
      </c>
      <c r="R10" s="700" t="s">
        <v>14</v>
      </c>
      <c r="S10" s="701">
        <f t="shared" si="0"/>
        <v>142</v>
      </c>
      <c r="T10" s="700" t="s">
        <v>14</v>
      </c>
      <c r="U10" s="701">
        <f t="shared" si="1"/>
        <v>142</v>
      </c>
      <c r="V10" s="700" t="s">
        <v>14</v>
      </c>
      <c r="W10" s="701">
        <f t="shared" si="2"/>
        <v>142</v>
      </c>
      <c r="X10" s="702"/>
      <c r="Y10" s="3620"/>
      <c r="Z10" s="52" t="str">
        <f t="shared" si="7"/>
        <v>土地使用年限（年）</v>
      </c>
      <c r="AA10" s="703">
        <f t="shared" si="3"/>
        <v>0.70422535211267601</v>
      </c>
      <c r="AB10" s="703">
        <f t="shared" si="4"/>
        <v>0.70422535211267601</v>
      </c>
      <c r="AC10" s="703">
        <f t="shared" si="5"/>
        <v>0.70422535211267601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694"/>
      <c r="Q11" s="1341" t="str">
        <f t="shared" si="6"/>
        <v>容积率</v>
      </c>
      <c r="R11" s="700" t="s">
        <v>14</v>
      </c>
      <c r="S11" s="701" t="e">
        <f t="shared" si="0"/>
        <v>#N/A</v>
      </c>
      <c r="T11" s="700" t="s">
        <v>14</v>
      </c>
      <c r="U11" s="701" t="e">
        <f t="shared" si="1"/>
        <v>#N/A</v>
      </c>
      <c r="V11" s="700" t="s">
        <v>14</v>
      </c>
      <c r="W11" s="701" t="e">
        <f t="shared" si="2"/>
        <v>#N/A</v>
      </c>
      <c r="X11" s="702"/>
      <c r="Y11" s="3620"/>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694"/>
      <c r="Q12" s="1341">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694"/>
      <c r="Q13" s="1341">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694"/>
      <c r="Q14" s="1341">
        <f t="shared" si="6"/>
        <v>111</v>
      </c>
      <c r="R14" s="700" t="s">
        <v>14</v>
      </c>
      <c r="S14" s="701">
        <f t="shared" si="0"/>
        <v>100</v>
      </c>
      <c r="T14" s="700" t="s">
        <v>14</v>
      </c>
      <c r="U14" s="701">
        <f t="shared" si="1"/>
        <v>100</v>
      </c>
      <c r="V14" s="700" t="s">
        <v>14</v>
      </c>
      <c r="W14" s="701">
        <f t="shared" si="2"/>
        <v>100</v>
      </c>
      <c r="X14" s="702"/>
      <c r="Y14" s="3620"/>
      <c r="Z14" s="52">
        <f t="shared" si="7"/>
        <v>111</v>
      </c>
      <c r="AA14" s="703">
        <f t="shared" si="3"/>
        <v>1</v>
      </c>
      <c r="AB14" s="703">
        <f t="shared" si="4"/>
        <v>1</v>
      </c>
      <c r="AC14" s="703">
        <f t="shared" si="5"/>
        <v>1</v>
      </c>
    </row>
    <row r="15" spans="1:29" ht="57">
      <c r="A15" s="391" t="s">
        <v>1690</v>
      </c>
      <c r="B15" s="576"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687" t="s">
        <v>1691</v>
      </c>
      <c r="Q15" s="1350" t="str">
        <f t="shared" si="6"/>
        <v>产业集聚程度</v>
      </c>
      <c r="R15" s="704" t="s">
        <v>14</v>
      </c>
      <c r="S15" s="705">
        <f t="shared" si="0"/>
        <v>100</v>
      </c>
      <c r="T15" s="704" t="s">
        <v>14</v>
      </c>
      <c r="U15" s="705">
        <f t="shared" si="1"/>
        <v>100</v>
      </c>
      <c r="V15" s="704" t="s">
        <v>14</v>
      </c>
      <c r="W15" s="705">
        <f t="shared" si="2"/>
        <v>100</v>
      </c>
      <c r="X15" s="1353"/>
      <c r="Y15" s="3687" t="s">
        <v>1691</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20"/>
      <c r="M16" s="2714"/>
      <c r="N16" s="2714"/>
      <c r="O16" s="2772"/>
      <c r="P16" s="3688"/>
      <c r="Q16" s="1350"/>
      <c r="R16" s="704"/>
      <c r="S16" s="705"/>
      <c r="T16" s="704"/>
      <c r="U16" s="705"/>
      <c r="V16" s="704"/>
      <c r="W16" s="705"/>
      <c r="X16" s="1353"/>
      <c r="Y16" s="3688"/>
      <c r="Z16" s="1354"/>
      <c r="AA16" s="1351">
        <v>1</v>
      </c>
      <c r="AB16" s="1351">
        <v>1</v>
      </c>
      <c r="AC16" s="1351">
        <v>1</v>
      </c>
    </row>
    <row r="17" spans="1:29" ht="85.5">
      <c r="A17" s="379"/>
      <c r="B17" s="578"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688"/>
      <c r="Q17" s="1350" t="str">
        <f>B17</f>
        <v>交通便捷度</v>
      </c>
      <c r="R17" s="704" t="s">
        <v>14</v>
      </c>
      <c r="S17" s="705">
        <f>F17</f>
        <v>100</v>
      </c>
      <c r="T17" s="704" t="s">
        <v>14</v>
      </c>
      <c r="U17" s="705">
        <f>H17</f>
        <v>100</v>
      </c>
      <c r="V17" s="704" t="s">
        <v>14</v>
      </c>
      <c r="W17" s="705">
        <f>J17</f>
        <v>100</v>
      </c>
      <c r="X17" s="1353"/>
      <c r="Y17" s="3688"/>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20"/>
      <c r="M18" s="2714"/>
      <c r="N18" s="2714"/>
      <c r="O18" s="2772"/>
      <c r="P18" s="3688"/>
      <c r="Q18" s="1350"/>
      <c r="R18" s="704"/>
      <c r="S18" s="705"/>
      <c r="T18" s="704"/>
      <c r="U18" s="705"/>
      <c r="V18" s="704"/>
      <c r="W18" s="705"/>
      <c r="X18" s="1353"/>
      <c r="Y18" s="3688"/>
      <c r="Z18" s="1354"/>
      <c r="AA18" s="1351">
        <v>1</v>
      </c>
      <c r="AB18" s="1351">
        <v>1</v>
      </c>
      <c r="AC18" s="1351">
        <v>1</v>
      </c>
    </row>
    <row r="19" spans="1:29" ht="15">
      <c r="A19" s="379"/>
      <c r="B19" s="578"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688"/>
      <c r="Q19" s="1350" t="str">
        <f t="shared" ref="Q19:Q33" si="8">B19</f>
        <v>区域土地利用方向</v>
      </c>
      <c r="R19" s="704" t="s">
        <v>14</v>
      </c>
      <c r="S19" s="705">
        <f>F19</f>
        <v>100</v>
      </c>
      <c r="T19" s="704" t="s">
        <v>14</v>
      </c>
      <c r="U19" s="705">
        <f>H19</f>
        <v>100</v>
      </c>
      <c r="V19" s="704" t="s">
        <v>14</v>
      </c>
      <c r="W19" s="705">
        <f>J19</f>
        <v>100</v>
      </c>
      <c r="X19" s="1353"/>
      <c r="Y19" s="3688"/>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20"/>
      <c r="M20" s="2714"/>
      <c r="N20" s="2714"/>
      <c r="O20" s="2772"/>
      <c r="P20" s="3688"/>
      <c r="Q20" s="1350"/>
      <c r="R20" s="704"/>
      <c r="S20" s="705"/>
      <c r="T20" s="704"/>
      <c r="U20" s="705"/>
      <c r="V20" s="704"/>
      <c r="W20" s="705"/>
      <c r="X20" s="1353"/>
      <c r="Y20" s="3688"/>
      <c r="Z20" s="1354"/>
      <c r="AA20" s="1351"/>
      <c r="AB20" s="1351"/>
      <c r="AC20" s="1351"/>
    </row>
    <row r="21" spans="1:29" ht="71.25">
      <c r="A21" s="358"/>
      <c r="B21" s="578"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688"/>
      <c r="Q21" s="1350" t="str">
        <f t="shared" si="8"/>
        <v>环境状况</v>
      </c>
      <c r="R21" s="704" t="s">
        <v>14</v>
      </c>
      <c r="S21" s="705">
        <f>F21</f>
        <v>100</v>
      </c>
      <c r="T21" s="704" t="s">
        <v>14</v>
      </c>
      <c r="U21" s="705">
        <f>H21</f>
        <v>100</v>
      </c>
      <c r="V21" s="704" t="s">
        <v>14</v>
      </c>
      <c r="W21" s="705">
        <f>J21</f>
        <v>100</v>
      </c>
      <c r="X21" s="1353"/>
      <c r="Y21" s="3688"/>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20"/>
      <c r="M22" s="2714"/>
      <c r="N22" s="2714"/>
      <c r="O22" s="2772"/>
      <c r="P22" s="3688"/>
      <c r="Q22" s="1350"/>
      <c r="R22" s="704"/>
      <c r="S22" s="705"/>
      <c r="T22" s="704"/>
      <c r="U22" s="705"/>
      <c r="V22" s="704"/>
      <c r="W22" s="705"/>
      <c r="X22" s="1353"/>
      <c r="Y22" s="3688"/>
      <c r="Z22" s="1354"/>
      <c r="AA22" s="1351">
        <v>1</v>
      </c>
      <c r="AB22" s="1351">
        <v>1</v>
      </c>
      <c r="AC22" s="1351">
        <v>1</v>
      </c>
    </row>
    <row r="23" spans="1:29" s="108" customFormat="1" ht="42.75">
      <c r="A23" s="596"/>
      <c r="B23" s="580"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688"/>
      <c r="Q23" s="1341" t="str">
        <f t="shared" si="8"/>
        <v>公共配套设施</v>
      </c>
      <c r="R23" s="700" t="s">
        <v>14</v>
      </c>
      <c r="S23" s="701">
        <f>F23</f>
        <v>100</v>
      </c>
      <c r="T23" s="700" t="s">
        <v>14</v>
      </c>
      <c r="U23" s="701">
        <f>H23</f>
        <v>100</v>
      </c>
      <c r="V23" s="700" t="s">
        <v>14</v>
      </c>
      <c r="W23" s="701">
        <f>J23</f>
        <v>100</v>
      </c>
      <c r="X23" s="702"/>
      <c r="Y23" s="3688"/>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5"/>
      <c r="M24" s="2716"/>
      <c r="N24" s="2716"/>
      <c r="O24" s="2770"/>
      <c r="P24" s="3688"/>
      <c r="Q24" s="1341"/>
      <c r="R24" s="700"/>
      <c r="S24" s="701"/>
      <c r="T24" s="700"/>
      <c r="U24" s="701"/>
      <c r="V24" s="700"/>
      <c r="W24" s="701"/>
      <c r="X24" s="702"/>
      <c r="Y24" s="3688"/>
      <c r="Z24" s="52"/>
      <c r="AA24" s="703">
        <v>1</v>
      </c>
      <c r="AB24" s="703">
        <v>1</v>
      </c>
      <c r="AC24" s="703">
        <v>1</v>
      </c>
    </row>
    <row r="25" spans="1:29" s="108" customFormat="1" ht="28.5">
      <c r="A25" s="596"/>
      <c r="B25" s="580"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688"/>
      <c r="Q25" s="1341" t="str">
        <f t="shared" ref="Q25" si="9">B25</f>
        <v>基础设施水平</v>
      </c>
      <c r="R25" s="700" t="s">
        <v>14</v>
      </c>
      <c r="S25" s="701">
        <f>F25</f>
        <v>100</v>
      </c>
      <c r="T25" s="700" t="s">
        <v>14</v>
      </c>
      <c r="U25" s="701">
        <f>H25</f>
        <v>100</v>
      </c>
      <c r="V25" s="700" t="s">
        <v>14</v>
      </c>
      <c r="W25" s="701">
        <f>J25</f>
        <v>100</v>
      </c>
      <c r="X25" s="702"/>
      <c r="Y25" s="3688"/>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5"/>
      <c r="M26" s="2716"/>
      <c r="N26" s="2716"/>
      <c r="O26" s="2770"/>
      <c r="P26" s="3688"/>
      <c r="Q26" s="1341"/>
      <c r="R26" s="700"/>
      <c r="S26" s="701"/>
      <c r="T26" s="700"/>
      <c r="U26" s="701"/>
      <c r="V26" s="700"/>
      <c r="W26" s="701"/>
      <c r="X26" s="702"/>
      <c r="Y26" s="3688"/>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688"/>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688"/>
      <c r="Z27" s="1354" t="str">
        <f t="shared" ref="Z27:Z40" si="13">Q27</f>
        <v>临街状况</v>
      </c>
      <c r="AA27" s="1351">
        <f t="shared" si="3"/>
        <v>1</v>
      </c>
      <c r="AB27" s="1351">
        <f t="shared" si="4"/>
        <v>1</v>
      </c>
      <c r="AC27" s="1351">
        <f t="shared" si="5"/>
        <v>1</v>
      </c>
    </row>
    <row r="28" spans="1:29" ht="27">
      <c r="A28" s="379"/>
      <c r="B28" s="580"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688"/>
      <c r="Q28" s="1350" t="str">
        <f t="shared" si="8"/>
        <v>毗邻道路的类型与等级</v>
      </c>
      <c r="R28" s="704" t="s">
        <v>14</v>
      </c>
      <c r="S28" s="705">
        <f t="shared" si="10"/>
        <v>100</v>
      </c>
      <c r="T28" s="704" t="s">
        <v>14</v>
      </c>
      <c r="U28" s="705">
        <f t="shared" si="11"/>
        <v>100</v>
      </c>
      <c r="V28" s="704" t="s">
        <v>14</v>
      </c>
      <c r="W28" s="705">
        <f t="shared" si="12"/>
        <v>100</v>
      </c>
      <c r="X28" s="1353"/>
      <c r="Y28" s="3688"/>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20"/>
      <c r="M29" s="2714"/>
      <c r="N29" s="2714"/>
      <c r="O29" s="2772"/>
      <c r="P29" s="3688"/>
      <c r="Q29" s="1350"/>
      <c r="R29" s="704"/>
      <c r="S29" s="705"/>
      <c r="T29" s="704"/>
      <c r="U29" s="705"/>
      <c r="V29" s="704"/>
      <c r="W29" s="705"/>
      <c r="X29" s="1353"/>
      <c r="Y29" s="3688"/>
      <c r="Z29" s="1354"/>
      <c r="AA29" s="1351">
        <v>1</v>
      </c>
      <c r="AB29" s="1351">
        <v>1</v>
      </c>
      <c r="AC29" s="1351">
        <v>1</v>
      </c>
    </row>
    <row r="30" spans="1:29" ht="15">
      <c r="A30" s="379"/>
      <c r="B30" s="601" t="s">
        <v>1873</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688"/>
      <c r="Q30" s="1350" t="str">
        <f t="shared" si="8"/>
        <v>土地级别</v>
      </c>
      <c r="R30" s="704" t="s">
        <v>14</v>
      </c>
      <c r="S30" s="705">
        <f t="shared" si="10"/>
        <v>100</v>
      </c>
      <c r="T30" s="704" t="s">
        <v>14</v>
      </c>
      <c r="U30" s="705">
        <f t="shared" si="11"/>
        <v>100</v>
      </c>
      <c r="V30" s="704" t="s">
        <v>14</v>
      </c>
      <c r="W30" s="705">
        <f t="shared" si="12"/>
        <v>100</v>
      </c>
      <c r="X30" s="1353"/>
      <c r="Y30" s="3688"/>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8"/>
      <c r="Q31" s="1350">
        <f t="shared" si="8"/>
        <v>111</v>
      </c>
      <c r="R31" s="704" t="s">
        <v>14</v>
      </c>
      <c r="S31" s="705">
        <f t="shared" si="10"/>
        <v>100</v>
      </c>
      <c r="T31" s="704" t="s">
        <v>14</v>
      </c>
      <c r="U31" s="705">
        <f t="shared" si="11"/>
        <v>100</v>
      </c>
      <c r="V31" s="704" t="s">
        <v>14</v>
      </c>
      <c r="W31" s="705">
        <f t="shared" si="12"/>
        <v>100</v>
      </c>
      <c r="X31" s="1353"/>
      <c r="Y31" s="3688"/>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36" t="s">
        <v>1696</v>
      </c>
      <c r="Q32" s="1350">
        <f t="shared" si="8"/>
        <v>111</v>
      </c>
      <c r="R32" s="704" t="s">
        <v>14</v>
      </c>
      <c r="S32" s="705">
        <f t="shared" si="10"/>
        <v>100</v>
      </c>
      <c r="T32" s="704" t="s">
        <v>14</v>
      </c>
      <c r="U32" s="705">
        <f t="shared" si="11"/>
        <v>100</v>
      </c>
      <c r="V32" s="704" t="s">
        <v>14</v>
      </c>
      <c r="W32" s="705">
        <f t="shared" si="12"/>
        <v>100</v>
      </c>
      <c r="X32" s="1353"/>
      <c r="Y32" s="3692" t="s">
        <v>1696</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692"/>
      <c r="Q33" s="1350">
        <f t="shared" si="8"/>
        <v>111</v>
      </c>
      <c r="R33" s="707" t="s">
        <v>14</v>
      </c>
      <c r="S33" s="708">
        <f t="shared" si="10"/>
        <v>100</v>
      </c>
      <c r="T33" s="707" t="s">
        <v>14</v>
      </c>
      <c r="U33" s="708">
        <f t="shared" si="11"/>
        <v>100</v>
      </c>
      <c r="V33" s="707" t="s">
        <v>14</v>
      </c>
      <c r="W33" s="708">
        <f t="shared" si="12"/>
        <v>100</v>
      </c>
      <c r="X33" s="709"/>
      <c r="Y33" s="3692"/>
      <c r="Z33" s="710">
        <f t="shared" si="13"/>
        <v>111</v>
      </c>
      <c r="AA33" s="1351">
        <f t="shared" si="3"/>
        <v>1</v>
      </c>
      <c r="AB33" s="1351">
        <f t="shared" si="4"/>
        <v>1</v>
      </c>
      <c r="AC33" s="1351">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692"/>
      <c r="Q34" s="1350" t="str">
        <f>B34</f>
        <v>宗地面积</v>
      </c>
      <c r="R34" s="704" t="s">
        <v>14</v>
      </c>
      <c r="S34" s="705" t="e">
        <f t="shared" si="10"/>
        <v>#N/A</v>
      </c>
      <c r="T34" s="704" t="s">
        <v>14</v>
      </c>
      <c r="U34" s="705" t="e">
        <f t="shared" si="11"/>
        <v>#N/A</v>
      </c>
      <c r="V34" s="704" t="s">
        <v>14</v>
      </c>
      <c r="W34" s="705" t="e">
        <f t="shared" si="12"/>
        <v>#N/A</v>
      </c>
      <c r="X34" s="1353"/>
      <c r="Y34" s="3692"/>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92"/>
      <c r="Q35" s="1350" t="str">
        <f t="shared" ref="Q35:Q40" si="14">B35</f>
        <v>宗地形状</v>
      </c>
      <c r="R35" s="704" t="s">
        <v>14</v>
      </c>
      <c r="S35" s="705">
        <f t="shared" si="10"/>
        <v>100</v>
      </c>
      <c r="T35" s="704" t="s">
        <v>14</v>
      </c>
      <c r="U35" s="705">
        <f t="shared" si="11"/>
        <v>100</v>
      </c>
      <c r="V35" s="704" t="s">
        <v>14</v>
      </c>
      <c r="W35" s="705">
        <f t="shared" si="12"/>
        <v>100</v>
      </c>
      <c r="X35" s="1353"/>
      <c r="Y35" s="3692"/>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92"/>
      <c r="Q36" s="1350" t="str">
        <f t="shared" si="14"/>
        <v>宗地开发程度</v>
      </c>
      <c r="R36" s="700" t="s">
        <v>14</v>
      </c>
      <c r="S36" s="701">
        <f t="shared" si="10"/>
        <v>100</v>
      </c>
      <c r="T36" s="700" t="s">
        <v>14</v>
      </c>
      <c r="U36" s="701">
        <f t="shared" si="11"/>
        <v>100</v>
      </c>
      <c r="V36" s="700" t="s">
        <v>14</v>
      </c>
      <c r="W36" s="701">
        <f t="shared" si="12"/>
        <v>100</v>
      </c>
      <c r="X36" s="702"/>
      <c r="Y36" s="3692"/>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92" t="s">
        <v>1696</v>
      </c>
      <c r="Q37" s="1350" t="str">
        <f t="shared" si="14"/>
        <v>工程地质条件</v>
      </c>
      <c r="R37" s="704" t="s">
        <v>14</v>
      </c>
      <c r="S37" s="705">
        <f t="shared" si="10"/>
        <v>100</v>
      </c>
      <c r="T37" s="704" t="s">
        <v>14</v>
      </c>
      <c r="U37" s="705">
        <f t="shared" si="11"/>
        <v>100</v>
      </c>
      <c r="V37" s="704" t="s">
        <v>14</v>
      </c>
      <c r="W37" s="705">
        <f t="shared" si="12"/>
        <v>100</v>
      </c>
      <c r="X37" s="1353"/>
      <c r="Y37" s="3692" t="s">
        <v>1696</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692"/>
      <c r="Q38" s="1350">
        <f t="shared" si="14"/>
        <v>111</v>
      </c>
      <c r="R38" s="704" t="s">
        <v>14</v>
      </c>
      <c r="S38" s="705">
        <f t="shared" si="10"/>
        <v>100</v>
      </c>
      <c r="T38" s="704" t="s">
        <v>14</v>
      </c>
      <c r="U38" s="705">
        <f t="shared" si="11"/>
        <v>100</v>
      </c>
      <c r="V38" s="704" t="s">
        <v>14</v>
      </c>
      <c r="W38" s="705">
        <f t="shared" si="12"/>
        <v>100</v>
      </c>
      <c r="X38" s="1353"/>
      <c r="Y38" s="3692"/>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692"/>
      <c r="Q39" s="1350">
        <f t="shared" si="14"/>
        <v>111</v>
      </c>
      <c r="R39" s="704" t="s">
        <v>14</v>
      </c>
      <c r="S39" s="705">
        <f t="shared" si="10"/>
        <v>100</v>
      </c>
      <c r="T39" s="704" t="s">
        <v>14</v>
      </c>
      <c r="U39" s="705">
        <f t="shared" si="11"/>
        <v>100</v>
      </c>
      <c r="V39" s="704" t="s">
        <v>14</v>
      </c>
      <c r="W39" s="705">
        <f t="shared" si="12"/>
        <v>100</v>
      </c>
      <c r="X39" s="1353"/>
      <c r="Y39" s="3692"/>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692"/>
      <c r="Q40" s="1350">
        <f t="shared" si="14"/>
        <v>111</v>
      </c>
      <c r="R40" s="707" t="s">
        <v>14</v>
      </c>
      <c r="S40" s="708">
        <f t="shared" si="10"/>
        <v>100</v>
      </c>
      <c r="T40" s="707" t="s">
        <v>14</v>
      </c>
      <c r="U40" s="708">
        <f t="shared" si="11"/>
        <v>100</v>
      </c>
      <c r="V40" s="707" t="s">
        <v>14</v>
      </c>
      <c r="W40" s="708">
        <f t="shared" si="12"/>
        <v>100</v>
      </c>
      <c r="X40" s="709"/>
      <c r="Y40" s="3692"/>
      <c r="Z40" s="710">
        <f t="shared" si="13"/>
        <v>111</v>
      </c>
      <c r="AA40" s="1351">
        <f t="shared" si="3"/>
        <v>1</v>
      </c>
      <c r="AB40" s="1351">
        <f t="shared" si="4"/>
        <v>1</v>
      </c>
      <c r="AC40" s="1351">
        <f t="shared" si="5"/>
        <v>1</v>
      </c>
    </row>
    <row r="41" spans="1:31" ht="15">
      <c r="A41" s="430" t="s">
        <v>1844</v>
      </c>
      <c r="B41" s="1980" t="s">
        <v>1922</v>
      </c>
      <c r="C41" s="629" t="s">
        <v>0</v>
      </c>
      <c r="D41" s="432"/>
      <c r="E41" s="433"/>
      <c r="F41" s="434"/>
      <c r="G41" s="435"/>
      <c r="H41" s="436"/>
      <c r="I41" s="433"/>
      <c r="J41" s="436"/>
      <c r="K41" s="713"/>
      <c r="L41" s="2722"/>
      <c r="M41" s="2714"/>
      <c r="N41" s="2714"/>
      <c r="O41" s="2723"/>
      <c r="P41" s="3694" t="str">
        <f>A41</f>
        <v>成交单价</v>
      </c>
      <c r="Q41" s="3694"/>
      <c r="R41" s="3655">
        <f>E41</f>
        <v>0</v>
      </c>
      <c r="S41" s="3655"/>
      <c r="T41" s="3655">
        <f>G41</f>
        <v>0</v>
      </c>
      <c r="U41" s="3655"/>
      <c r="V41" s="3655">
        <f>I41</f>
        <v>0</v>
      </c>
      <c r="W41" s="3655"/>
      <c r="X41" s="689"/>
      <c r="Y41" s="711"/>
      <c r="Z41" s="689"/>
      <c r="AA41" s="689"/>
      <c r="AB41" s="689"/>
      <c r="AC41" s="689"/>
    </row>
    <row r="42" spans="1:31" ht="15.75" thickBot="1">
      <c r="A42" s="437" t="s">
        <v>1793</v>
      </c>
      <c r="B42" s="630"/>
      <c r="C42" s="440" t="e">
        <f>R43</f>
        <v>#DIV/0!</v>
      </c>
      <c r="D42" s="2315" t="s">
        <v>2138</v>
      </c>
      <c r="E42" s="440" t="e">
        <f>R42</f>
        <v>#DIV/0!</v>
      </c>
      <c r="F42" s="2316"/>
      <c r="G42" s="439" t="e">
        <f>T42</f>
        <v>#DIV/0!</v>
      </c>
      <c r="H42" s="2316"/>
      <c r="I42" s="440" t="e">
        <f>V42</f>
        <v>#DIV/0!</v>
      </c>
      <c r="J42" s="2316"/>
      <c r="K42" s="2318">
        <f>F42+H42+J42</f>
        <v>0</v>
      </c>
      <c r="L42" s="2722"/>
      <c r="M42" s="2714"/>
      <c r="N42" s="2714"/>
      <c r="O42" s="2723"/>
      <c r="P42" s="3694" t="str">
        <f>A42</f>
        <v>比较价值（元/平方米）</v>
      </c>
      <c r="Q42" s="3694"/>
      <c r="R42" s="3738" t="e">
        <f>ROUND(PRODUCT(R41,AA7:AA40),0)</f>
        <v>#DIV/0!</v>
      </c>
      <c r="S42" s="3738"/>
      <c r="T42" s="3738" t="e">
        <f>ROUND(PRODUCT(T41,AB7:AB40),0)</f>
        <v>#DIV/0!</v>
      </c>
      <c r="U42" s="3738"/>
      <c r="V42" s="3738" t="e">
        <f>ROUND(PRODUCT(V41,AC7:AC40),0)</f>
        <v>#DIV/0!</v>
      </c>
      <c r="W42" s="3738"/>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696" t="str">
        <f>A43</f>
        <v>估价对象XX用房的比较价值（楼面单价，元/平方米）</v>
      </c>
      <c r="Q43" s="3697"/>
      <c r="R43" s="3739" t="e">
        <f>ROUND(IF(D42="简单平均",AVERAGE(R42:W42),R42*F42+T42*H42+V42*J42),0)</f>
        <v>#DIV/0!</v>
      </c>
      <c r="S43" s="3739"/>
      <c r="T43" s="3739"/>
      <c r="U43" s="3739"/>
      <c r="V43" s="3739"/>
      <c r="W43" s="3739"/>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1" t="s">
        <v>1883</v>
      </c>
      <c r="D50" s="1982" t="s">
        <v>1884</v>
      </c>
      <c r="E50" s="633" t="s">
        <v>1885</v>
      </c>
      <c r="F50" s="634" t="s">
        <v>1886</v>
      </c>
      <c r="G50" s="3672" t="s">
        <v>1887</v>
      </c>
      <c r="H50" s="3740"/>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3">
        <v>1</v>
      </c>
      <c r="E51" s="637">
        <f>'数据-汇总表'!E8+'数据-汇总表'!E9</f>
        <v>453.74</v>
      </c>
      <c r="F51" s="638" t="e">
        <f t="shared" ref="F51:F60" si="15">ROUND(B51*E51/10000,0)</f>
        <v>#DIV/0!</v>
      </c>
      <c r="G51" s="3671"/>
      <c r="H51" s="3694"/>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v>
      </c>
      <c r="D52" s="944">
        <v>0.25</v>
      </c>
      <c r="E52" s="641"/>
      <c r="F52" s="638" t="e">
        <f t="shared" si="15"/>
        <v>#DIV/0!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v>
      </c>
      <c r="D53" s="944">
        <v>0.25</v>
      </c>
      <c r="E53" s="641"/>
      <c r="F53" s="638" t="e">
        <f t="shared" si="15"/>
        <v>#DIV/0!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v>
      </c>
      <c r="D54" s="944">
        <v>0.25</v>
      </c>
      <c r="E54" s="641"/>
      <c r="F54" s="638" t="e">
        <f t="shared" si="15"/>
        <v>#DIV/0!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v>
      </c>
      <c r="D56" s="944">
        <v>0.25</v>
      </c>
      <c r="E56" s="217">
        <f>'数据-汇总表'!E11</f>
        <v>0</v>
      </c>
      <c r="F56" s="638" t="e">
        <f t="shared" si="15"/>
        <v>#DIV/0!</v>
      </c>
      <c r="G56" s="1985"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v>
      </c>
      <c r="D59" s="944">
        <v>0.25</v>
      </c>
      <c r="E59" s="217">
        <f>'数据-汇总表'!E14</f>
        <v>0</v>
      </c>
      <c r="F59" s="638" t="e">
        <f t="shared" si="15"/>
        <v>#DIV/0!</v>
      </c>
      <c r="G59" s="1985"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v>
      </c>
      <c r="D60" s="944">
        <v>0.25</v>
      </c>
      <c r="E60" s="217">
        <f>'数据-汇总表'!E15</f>
        <v>0</v>
      </c>
      <c r="F60" s="638" t="e">
        <f t="shared" si="15"/>
        <v>#DIV/0!</v>
      </c>
      <c r="G60" s="1986"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2024-7-1</v>
      </c>
      <c r="D63" s="691">
        <f>EDATE(C63,-3)</f>
        <v>45383</v>
      </c>
      <c r="E63" s="691">
        <f>EDATE(D63,-3)</f>
        <v>45292</v>
      </c>
      <c r="F63" s="691">
        <f t="shared" ref="F63:O63" si="18">EDATE(E63,-3)</f>
        <v>45200</v>
      </c>
      <c r="G63" s="691">
        <f t="shared" si="18"/>
        <v>45108</v>
      </c>
      <c r="H63" s="691">
        <f t="shared" si="18"/>
        <v>45017</v>
      </c>
      <c r="I63" s="691">
        <f t="shared" si="18"/>
        <v>44927</v>
      </c>
      <c r="J63" s="691">
        <f t="shared" si="18"/>
        <v>44835</v>
      </c>
      <c r="K63" s="691">
        <f t="shared" si="18"/>
        <v>44743</v>
      </c>
      <c r="L63" s="691">
        <f t="shared" si="18"/>
        <v>44652</v>
      </c>
      <c r="M63" s="691">
        <f t="shared" si="18"/>
        <v>44562</v>
      </c>
      <c r="N63" s="691">
        <f t="shared" si="18"/>
        <v>44470</v>
      </c>
      <c r="O63" s="691">
        <f t="shared" si="18"/>
        <v>44378</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48" t="s">
        <v>2084</v>
      </c>
      <c r="D1" s="3749"/>
      <c r="E1" s="3749"/>
      <c r="F1" s="3749"/>
      <c r="G1" s="3749"/>
      <c r="H1" s="3749"/>
      <c r="I1" s="3749"/>
      <c r="J1" s="3749"/>
      <c r="K1" s="3749"/>
      <c r="L1" s="3749"/>
      <c r="M1" s="3749"/>
      <c r="N1" s="3749"/>
      <c r="O1" s="3749"/>
      <c r="P1" s="3749"/>
      <c r="Q1" s="3749"/>
      <c r="R1" s="3749"/>
      <c r="S1" s="3750"/>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2087</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2088</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2089</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2093</v>
      </c>
      <c r="B17" s="2147"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2095</v>
      </c>
      <c r="E19" s="1338"/>
      <c r="F19" s="1338"/>
      <c r="G19" s="1338"/>
      <c r="H19" s="1058"/>
      <c r="I19" s="159"/>
      <c r="J19" s="159"/>
      <c r="K19" s="159"/>
      <c r="L19" s="159"/>
      <c r="M19" s="159"/>
      <c r="N19" s="159"/>
      <c r="O19" s="159"/>
      <c r="P19" s="159"/>
      <c r="Q19" s="159"/>
      <c r="R19" s="717"/>
      <c r="S19" s="129"/>
    </row>
    <row r="20" spans="1:45" ht="16.5" thickBot="1">
      <c r="A20" s="661" t="s">
        <v>2096</v>
      </c>
      <c r="B20" s="294" t="e">
        <f ca="1">IF(D20="——",S22,S22-F20)</f>
        <v>#REF!</v>
      </c>
      <c r="C20" s="159"/>
      <c r="D20" s="2149"/>
      <c r="E20" s="1339"/>
      <c r="F20" s="982" t="e">
        <f ca="1">SUMIF(INDIRECT("'"&amp;H20&amp;"'"&amp;"!A:A"),"承租人权益价值",INDIRECT("'"&amp;H20&amp;"'"&amp;"!c:c"))</f>
        <v>#REF!</v>
      </c>
      <c r="G20" s="982" t="s">
        <v>2097</v>
      </c>
      <c r="H20" s="2150"/>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45" t="s">
        <v>27</v>
      </c>
      <c r="D22" s="3746"/>
      <c r="E22" s="3746"/>
      <c r="F22" s="3746"/>
      <c r="G22" s="3746"/>
      <c r="H22" s="3746"/>
      <c r="I22" s="3746"/>
      <c r="J22" s="3746"/>
      <c r="K22" s="3746"/>
      <c r="L22" s="3746"/>
      <c r="M22" s="3746"/>
      <c r="N22" s="3746"/>
      <c r="O22" s="3746"/>
      <c r="P22" s="3746"/>
      <c r="Q22" s="3747"/>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2">
        <f>SUMPRODUCT((区片价!B5:B9=I2)*(区片价!C3:G3=E2)*(区片价!C5:G9))</f>
        <v>0</v>
      </c>
      <c r="N1" s="865">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3">
        <f>SUMPRODUCT((区片价!B10:B29=I2)*(区片价!C3:G3=E2)*(区片价!C10:G29))</f>
        <v>0</v>
      </c>
      <c r="N2" s="865">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1">
        <f>IF(F3="宗地容积率",'数据-汇总表'!I4,IF(F3="估价对象容积率",'数据-汇总表'!I6,'数据-汇总表'!I7))</f>
        <v>0</v>
      </c>
      <c r="H3" s="170" t="s">
        <v>1943</v>
      </c>
      <c r="I3" s="774"/>
      <c r="J3" s="2000" t="s">
        <v>1944</v>
      </c>
      <c r="K3" s="1117"/>
      <c r="L3" s="2001" t="s">
        <v>1945</v>
      </c>
      <c r="M3" s="863">
        <f>SUMPRODUCT((区片价!B30:B54=I2)*(区片价!C3:G3=E2)*(区片价!C30:G54))</f>
        <v>0</v>
      </c>
      <c r="N3" s="865">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8"/>
      <c r="B4" s="3759"/>
      <c r="C4" s="3759"/>
      <c r="D4" s="3760"/>
      <c r="E4" s="3760"/>
      <c r="F4" s="3760"/>
      <c r="G4" s="3760"/>
      <c r="H4" s="3760"/>
      <c r="I4" s="3760"/>
      <c r="J4" s="3761"/>
      <c r="K4" s="1117"/>
      <c r="L4" s="2001" t="s">
        <v>1946</v>
      </c>
      <c r="M4" s="863">
        <f>SUMPRODUCT((区片价!B55:B86=I2)*(区片价!C3:G3=E2)*(区片价!C55:G86))</f>
        <v>0</v>
      </c>
      <c r="N4" s="865">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2" t="e">
        <f>ROUND(IF(E2="商业",C6*C7*C17+C20,(IF(E2="住宅",C6*C13*C17+C20,IF(E2="办公",C6*C12*C17+C20,C6+C20)))),0)</f>
        <v>#DIV/0!</v>
      </c>
      <c r="D5" s="1337" t="e">
        <f>ROUND(C6*C17+C20,0)</f>
        <v>#DIV/0!</v>
      </c>
      <c r="E5" s="1337"/>
      <c r="F5" s="2005"/>
      <c r="G5" s="2006"/>
      <c r="H5" s="2006"/>
      <c r="I5" s="2006"/>
      <c r="J5" s="2007"/>
      <c r="K5" s="2008"/>
      <c r="L5" s="2001" t="s">
        <v>1948</v>
      </c>
      <c r="M5" s="863">
        <f>SUMPRODUCT((区片价!B87:B126=I2)*(区片价!C3:G3=E2)*(区片价!C87:G126))</f>
        <v>0</v>
      </c>
      <c r="N5" s="865">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3">
        <f>SUMIF(L1:L12,G2,M1:M12)</f>
        <v>0</v>
      </c>
      <c r="D6" s="2015"/>
      <c r="E6" s="2016"/>
      <c r="F6" s="2016"/>
      <c r="G6" s="2017"/>
      <c r="H6" s="2017"/>
      <c r="I6" s="2017"/>
      <c r="J6" s="2018"/>
      <c r="K6" s="1382"/>
      <c r="L6" s="2001" t="s">
        <v>1951</v>
      </c>
      <c r="M6" s="863">
        <f>SUMPRODUCT((区片价!B127:B189=I2)*(区片价!C3:G3=E2)*(区片价!C127:G189))</f>
        <v>0</v>
      </c>
      <c r="N6" s="865">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3238</v>
      </c>
      <c r="B7" s="2019" t="s">
        <v>1952</v>
      </c>
      <c r="C7" s="754" t="e">
        <f>IF(C8="不临65条商业街",1,ROUND(1+(1.6*E8+1.2*E9+0.8*E10+0.4*E11)*C9,4))</f>
        <v>#DIV/0!</v>
      </c>
      <c r="D7" s="2020" t="s">
        <v>1953</v>
      </c>
      <c r="E7" s="775"/>
      <c r="F7" s="2021"/>
      <c r="G7" s="2022"/>
      <c r="H7" s="2022"/>
      <c r="I7" s="2022"/>
      <c r="J7" s="2023"/>
      <c r="K7" s="1382"/>
      <c r="L7" s="2001" t="s">
        <v>1954</v>
      </c>
      <c r="M7" s="863">
        <f>SUMPRODUCT((区片价!B190:B233=I2)*(区片价!C3:G3=E2)*(区片价!C190:G233))</f>
        <v>0</v>
      </c>
      <c r="N7" s="865">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5" t="s">
        <v>112</v>
      </c>
      <c r="E8" s="756" t="e">
        <f>ROUND(C11/E7,4)</f>
        <v>#DIV/0!</v>
      </c>
      <c r="F8" s="2025" t="s">
        <v>1958</v>
      </c>
      <c r="G8" s="2026"/>
      <c r="H8" s="2026"/>
      <c r="I8" s="2026"/>
      <c r="J8" s="2027"/>
      <c r="K8" s="1117"/>
      <c r="L8" s="2001" t="s">
        <v>1959</v>
      </c>
      <c r="M8" s="863">
        <f>SUMPRODUCT((区片价!B234:B276=I2)*(区片价!C3:G3=E2)*(区片价!C234:G276))</f>
        <v>0</v>
      </c>
      <c r="N8" s="865">
        <f>SUMPRODUCT((因素修正幅度!B234:B276=I2)*(因素修正幅度!C3:G3=E2)*(因素修正幅度!C234:G276))</f>
        <v>0</v>
      </c>
      <c r="O8" s="1117"/>
      <c r="P8" s="1117"/>
      <c r="Q8" s="1117"/>
      <c r="R8" s="1210">
        <v>7</v>
      </c>
      <c r="S8" s="1211"/>
      <c r="T8" s="3359" t="e">
        <f t="shared" si="0"/>
        <v>#DIV/0!</v>
      </c>
      <c r="U8" s="1211"/>
      <c r="V8" s="3359" t="e">
        <f t="shared" si="1"/>
        <v>#DIV/0!</v>
      </c>
      <c r="W8" s="3755" t="s">
        <v>1960</v>
      </c>
      <c r="X8" s="3756"/>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7">
        <f>SUMIF(修正!C71:C138,C8,修正!E71:E138)</f>
        <v>0</v>
      </c>
      <c r="D9" s="171" t="s">
        <v>113</v>
      </c>
      <c r="E9" s="171" t="e">
        <f>ROUND(C11/E7,4)</f>
        <v>#DIV/0!</v>
      </c>
      <c r="F9" s="2025" t="s">
        <v>1974</v>
      </c>
      <c r="G9" s="2026"/>
      <c r="H9" s="2026"/>
      <c r="I9" s="2026"/>
      <c r="J9" s="2027"/>
      <c r="K9" s="1117"/>
      <c r="L9" s="2001" t="s">
        <v>1975</v>
      </c>
      <c r="M9" s="863">
        <f>SUMPRODUCT((区片价!B277:B326=I2)*(区片价!C3:G3=E2)*(区片价!C277:G326))</f>
        <v>0</v>
      </c>
      <c r="N9" s="865">
        <f>SUMPRODUCT((因素修正幅度!B277:B326=I2)*(因素修正幅度!C3:G3=E2)*(因素修正幅度!C277:G326))</f>
        <v>0</v>
      </c>
      <c r="O9" s="1117"/>
      <c r="P9" s="1117"/>
      <c r="Q9" s="1117"/>
      <c r="R9" s="1210">
        <v>8</v>
      </c>
      <c r="S9" s="1211"/>
      <c r="T9" s="3359" t="e">
        <f t="shared" si="0"/>
        <v>#DIV/0!</v>
      </c>
      <c r="U9" s="1211"/>
      <c r="V9" s="3359" t="e">
        <f t="shared" si="1"/>
        <v>#DIV/0!</v>
      </c>
      <c r="W9" s="3757"/>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3">
        <f>SUMPRODUCT((区片价!B327:B357=I2)*(区片价!C3:G3=E2)*(区片价!C327:G357))</f>
        <v>0</v>
      </c>
      <c r="N10" s="865">
        <f>SUMPRODUCT((因素修正幅度!B327:B357=I2)*(因素修正幅度!C3:G3=E2)*(因素修正幅度!C327:G357))</f>
        <v>0</v>
      </c>
      <c r="O10" s="1117"/>
      <c r="P10" s="1117"/>
      <c r="Q10" s="1117"/>
      <c r="R10" s="1210">
        <v>9</v>
      </c>
      <c r="S10" s="1211"/>
      <c r="T10" s="3359" t="e">
        <f t="shared" si="0"/>
        <v>#DIV/0!</v>
      </c>
      <c r="U10" s="1211"/>
      <c r="V10" s="3359" t="e">
        <f t="shared" si="1"/>
        <v>#DIV/0!</v>
      </c>
      <c r="W10" s="375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8">
        <f>C10/4</f>
        <v>0</v>
      </c>
      <c r="D11" s="758" t="s">
        <v>115</v>
      </c>
      <c r="E11" s="758" t="e">
        <f>ROUND(C11/E7,4)</f>
        <v>#DIV/0!</v>
      </c>
      <c r="F11" s="2029" t="s">
        <v>1980</v>
      </c>
      <c r="G11" s="2030"/>
      <c r="H11" s="2030"/>
      <c r="I11" s="2030"/>
      <c r="J11" s="2031"/>
      <c r="K11" s="1117"/>
      <c r="L11" s="2001" t="s">
        <v>1981</v>
      </c>
      <c r="M11" s="863">
        <f>SUMPRODUCT((区片价!B358:B377=I2)*(区片价!C3:G3=E2)*(区片价!C358:G377))</f>
        <v>0</v>
      </c>
      <c r="N11" s="865">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7"/>
      <c r="L12" s="2037" t="s">
        <v>1984</v>
      </c>
      <c r="M12" s="864">
        <f>SUMPRODUCT((区片价!B378:B384=I2)*(区片价!C3:G3=E2)*(区片价!C378:G384))</f>
        <v>0</v>
      </c>
      <c r="N12" s="865">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3243</v>
      </c>
      <c r="B13" s="2032" t="s">
        <v>1982</v>
      </c>
      <c r="C13" s="754">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3244</v>
      </c>
      <c r="G14" s="3310" t="s">
        <v>3244</v>
      </c>
      <c r="H14" s="3310" t="s">
        <v>3244</v>
      </c>
      <c r="I14" s="3310" t="s">
        <v>3244</v>
      </c>
      <c r="J14" s="3310" t="s">
        <v>3244</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3245</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t="e">
        <f>ROUND(G18/I18,2)</f>
        <v>#DIV/0!</v>
      </c>
      <c r="F17" s="3320" t="s">
        <v>3251</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3249</v>
      </c>
      <c r="E18" s="3327"/>
      <c r="F18" s="3322" t="s">
        <v>3252</v>
      </c>
      <c r="G18" s="3326">
        <f>ROUND(1-(1/(POWER(1+G24,E18))),4)</f>
        <v>0</v>
      </c>
      <c r="H18" s="3322" t="s">
        <v>3254</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3250</v>
      </c>
      <c r="E19" s="3336"/>
      <c r="F19" s="3337" t="s">
        <v>3253</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62" t="s">
        <v>3255</v>
      </c>
      <c r="B20" s="167" t="s">
        <v>1994</v>
      </c>
      <c r="C20" s="3323" t="e">
        <f>ROUND(IF(F21="与级别开发程度一致",0,(G21-E21)/C21),0)</f>
        <v>#DIV/0!</v>
      </c>
      <c r="D20" s="3339" t="s">
        <v>1998</v>
      </c>
      <c r="E20" s="3340"/>
      <c r="F20" s="3768" t="s">
        <v>1995</v>
      </c>
      <c r="G20" s="3769"/>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63"/>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60">
        <v>44197</v>
      </c>
      <c r="F23" s="2052" t="s">
        <v>2003</v>
      </c>
      <c r="G23" s="761">
        <f>'数据-取费表'!B2</f>
        <v>45504</v>
      </c>
      <c r="H23" s="3341" t="s">
        <v>3257</v>
      </c>
      <c r="I23" s="3342" t="str">
        <f>IF(H23="季度增幅（自定义）",SUMIF(N25:N28,E2,O25:O28),"")</f>
        <v/>
      </c>
      <c r="J23" s="3444" t="s">
        <v>3256</v>
      </c>
      <c r="K23" s="1123"/>
      <c r="L23" s="2053" t="s">
        <v>2004</v>
      </c>
      <c r="M23" s="1326">
        <f>ROUND(SUMIF(地价!B2:G2,E2,地价!B16:G16),0)</f>
        <v>0</v>
      </c>
      <c r="N23" s="2054" t="s">
        <v>2005</v>
      </c>
      <c r="O23" s="762">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3" t="e">
        <f>ROUND(POWER(1+G24,J24-I24)*(POWER(1+G24,I24)-1)/(POWER(1+G24,J24)-1),4)</f>
        <v>#DIV/0!</v>
      </c>
      <c r="D24" s="2058" t="s">
        <v>2007</v>
      </c>
      <c r="E24" s="1333">
        <f>存贷款利率!E24/100</f>
        <v>4.3499999999999997E-2</v>
      </c>
      <c r="F24" s="2058" t="s">
        <v>1999</v>
      </c>
      <c r="G24" s="767">
        <f>SUMIF(M30:Q30,E2,M33:Q33)</f>
        <v>0</v>
      </c>
      <c r="H24" s="2058" t="s">
        <v>2008</v>
      </c>
      <c r="I24" s="768" t="e">
        <f>SUMIF('数据-取费表'!C6:C15,E2,'数据-取费表'!F6:F15)/COUNTIF('数据-取费表'!C6:C15,E2)</f>
        <v>#DIV/0!</v>
      </c>
      <c r="J24" s="769">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3336</v>
      </c>
      <c r="C25" s="770">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3258</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3259</v>
      </c>
      <c r="J26" s="771"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40">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9">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4"/>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5"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2" t="e">
        <f>ROUND(C33*D33/10000,0)</f>
        <v>#DIV/0!</v>
      </c>
      <c r="F33" s="3344" t="s">
        <v>3261</v>
      </c>
      <c r="G33" s="2097"/>
      <c r="H33" s="2097"/>
      <c r="I33" s="2097"/>
      <c r="J33" s="2098"/>
      <c r="K33" s="1117"/>
      <c r="L33" s="3347" t="s">
        <v>3264</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2" t="e">
        <f>ROUND(IF(B25="楼层修正",SUM(V2:V16)*M40,C34*D34/10000),0)</f>
        <v>#DIV/0!</v>
      </c>
      <c r="F34" s="2102" t="s">
        <v>2032</v>
      </c>
      <c r="G34" s="2103"/>
      <c r="H34" s="2103"/>
      <c r="I34" s="2103"/>
      <c r="J34" s="2104"/>
      <c r="K34" s="1117"/>
      <c r="L34" s="3347" t="s">
        <v>3265</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3266</v>
      </c>
      <c r="L36" s="3445">
        <f>'数据-取费表'!B40</f>
        <v>3.3500000000000002E-2</v>
      </c>
      <c r="M36" s="3356">
        <f>ROUND($L$36*(1+M31),3)</f>
        <v>4.2000000000000003E-2</v>
      </c>
      <c r="N36" s="3356">
        <f>ROUND($L$36*(1+N31),3)</f>
        <v>0.04</v>
      </c>
      <c r="O36" s="3356">
        <f>ROUND($L$36*(1+O31),3)</f>
        <v>3.9E-2</v>
      </c>
      <c r="P36" s="3356">
        <f>ROUND($L$36*(1+P31),3)</f>
        <v>3.6999999999999998E-2</v>
      </c>
      <c r="Q36" s="3356">
        <f>ROUND($L$36*(1+Q31),3)</f>
        <v>3.9E-2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6"/>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3267</v>
      </c>
      <c r="L37" s="3355">
        <f>L36+K38</f>
        <v>3.85E-2</v>
      </c>
      <c r="M37" s="3356">
        <f>ROUND($L$37*(1+M31),3)</f>
        <v>4.8000000000000001E-2</v>
      </c>
      <c r="N37" s="3356">
        <f t="shared" ref="N37:Q37" si="3">ROUND($L$37*(1+N31),3)</f>
        <v>4.5999999999999999E-2</v>
      </c>
      <c r="O37" s="3356">
        <f t="shared" si="3"/>
        <v>4.3999999999999997E-2</v>
      </c>
      <c r="P37" s="3356">
        <f t="shared" si="3"/>
        <v>4.2000000000000003E-2</v>
      </c>
      <c r="Q37" s="3356">
        <f t="shared" si="3"/>
        <v>4.3999999999999997E-2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7"/>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7"/>
      <c r="B39" s="2039" t="s">
        <v>3260</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40"/>
      <c r="E48" s="741"/>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2"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51">
      <c r="A50" s="2128" t="s">
        <v>2052</v>
      </c>
      <c r="B50" s="2131" t="str">
        <f>估价对象房地状况!C4</f>
        <v>估价对象周边以住宅配套商业为主，周边商业氛围成熟一般，人流量一般，商业繁华度一般</v>
      </c>
      <c r="C50" s="2042"/>
      <c r="D50" s="1064">
        <f t="shared" ref="D50:D58" si="7">SUMIF($J$49:$N$49,C50,J50:N50)</f>
        <v>0</v>
      </c>
      <c r="E50" s="743">
        <f>ROUND(SUM(D50:D58),4)</f>
        <v>0</v>
      </c>
      <c r="F50" s="1812"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8"/>
      <c r="AB50" s="1118"/>
      <c r="AC50" s="1118"/>
      <c r="AD50" s="1118"/>
      <c r="AE50" s="1118"/>
      <c r="AF50" s="1118"/>
      <c r="AG50" s="1118"/>
      <c r="AH50" s="1118"/>
      <c r="AI50" s="1118"/>
      <c r="AJ50" s="1118"/>
      <c r="AK50" s="1118"/>
    </row>
    <row r="51" spans="1:37" s="1117" customFormat="1" ht="51">
      <c r="A51" s="2128" t="s">
        <v>2053</v>
      </c>
      <c r="B51" s="2132" t="str">
        <f>估价对象房地状况!C18</f>
        <v>估价对象周边道路状况、公共交通通达情况915、918、955等、停车便捷程度，综合评价交通便捷度一般</v>
      </c>
      <c r="C51" s="2042"/>
      <c r="D51" s="1064">
        <f t="shared" si="7"/>
        <v>0</v>
      </c>
      <c r="E51" s="744"/>
      <c r="F51" s="1812"/>
      <c r="G51" s="1062"/>
      <c r="H51" s="1065" t="str">
        <f t="shared" si="8"/>
        <v>——</v>
      </c>
      <c r="I51" s="3365">
        <v>0.22</v>
      </c>
      <c r="J51" s="1063">
        <f t="shared" si="9"/>
        <v>0</v>
      </c>
      <c r="K51" s="1063">
        <f t="shared" si="10"/>
        <v>0</v>
      </c>
      <c r="L51" s="1063">
        <v>0</v>
      </c>
      <c r="M51" s="1063">
        <f t="shared" si="11"/>
        <v>0</v>
      </c>
      <c r="N51" s="1063">
        <f t="shared" si="11"/>
        <v>0</v>
      </c>
      <c r="AA51" s="1118"/>
      <c r="AB51" s="1118"/>
      <c r="AC51" s="1118"/>
      <c r="AD51" s="1118"/>
      <c r="AE51" s="1118"/>
      <c r="AF51" s="1118"/>
      <c r="AG51" s="1118"/>
      <c r="AH51" s="1118"/>
      <c r="AI51" s="1118"/>
      <c r="AJ51" s="1118"/>
      <c r="AK51" s="1118"/>
    </row>
    <row r="52" spans="1:37" s="1117" customFormat="1" ht="36">
      <c r="A52" s="3367" t="s">
        <v>3270</v>
      </c>
      <c r="B52" s="2132">
        <f>估价对象房地状况!C19</f>
        <v>0</v>
      </c>
      <c r="C52" s="2042"/>
      <c r="D52" s="1064">
        <f t="shared" si="7"/>
        <v>0</v>
      </c>
      <c r="E52" s="744"/>
      <c r="F52" s="1812"/>
      <c r="G52" s="1062"/>
      <c r="H52" s="1065" t="str">
        <f t="shared" si="8"/>
        <v>——</v>
      </c>
      <c r="I52" s="3365">
        <v>0.12</v>
      </c>
      <c r="J52" s="1063">
        <f t="shared" si="9"/>
        <v>0</v>
      </c>
      <c r="K52" s="1063">
        <f t="shared" si="10"/>
        <v>0</v>
      </c>
      <c r="L52" s="1063">
        <v>0</v>
      </c>
      <c r="M52" s="1063">
        <f t="shared" si="11"/>
        <v>0</v>
      </c>
      <c r="N52" s="1063">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4">
        <f t="shared" si="7"/>
        <v>0</v>
      </c>
      <c r="E53" s="744"/>
      <c r="F53" s="1812"/>
      <c r="G53" s="1062"/>
      <c r="H53" s="1065" t="str">
        <f t="shared" si="8"/>
        <v>——</v>
      </c>
      <c r="I53" s="3365">
        <v>0.05</v>
      </c>
      <c r="J53" s="1063">
        <f t="shared" si="9"/>
        <v>0</v>
      </c>
      <c r="K53" s="1063">
        <f t="shared" si="10"/>
        <v>0</v>
      </c>
      <c r="L53" s="1063">
        <v>0</v>
      </c>
      <c r="M53" s="1063">
        <f t="shared" si="11"/>
        <v>0</v>
      </c>
      <c r="N53" s="1063">
        <f t="shared" si="11"/>
        <v>0</v>
      </c>
      <c r="AA53" s="1118"/>
      <c r="AB53" s="1118"/>
      <c r="AC53" s="1118"/>
      <c r="AD53" s="1118"/>
      <c r="AE53" s="1118"/>
      <c r="AF53" s="1118"/>
      <c r="AG53" s="1118"/>
      <c r="AH53" s="1118"/>
      <c r="AI53" s="1118"/>
      <c r="AJ53" s="1118"/>
      <c r="AK53" s="1118"/>
    </row>
    <row r="54" spans="1:37" s="1117" customFormat="1" ht="24">
      <c r="A54" s="2128" t="s">
        <v>2056</v>
      </c>
      <c r="B54" s="2132" t="str">
        <f>估价对象房地状况!C24</f>
        <v>次干道-南焦路</v>
      </c>
      <c r="C54" s="2042"/>
      <c r="D54" s="1064">
        <f t="shared" si="7"/>
        <v>0</v>
      </c>
      <c r="E54" s="744"/>
      <c r="F54" s="1812"/>
      <c r="G54" s="1062"/>
      <c r="H54" s="1065" t="str">
        <f t="shared" si="8"/>
        <v>——</v>
      </c>
      <c r="I54" s="3365">
        <v>0.08</v>
      </c>
      <c r="J54" s="1063">
        <f t="shared" si="9"/>
        <v>0</v>
      </c>
      <c r="K54" s="1063">
        <f t="shared" si="10"/>
        <v>0</v>
      </c>
      <c r="L54" s="1063">
        <v>0</v>
      </c>
      <c r="M54" s="1063">
        <f t="shared" si="11"/>
        <v>0</v>
      </c>
      <c r="N54" s="1063">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4">
        <f t="shared" si="7"/>
        <v>0</v>
      </c>
      <c r="E55" s="744"/>
      <c r="F55" s="1812"/>
      <c r="G55" s="1062"/>
      <c r="H55" s="1065" t="str">
        <f t="shared" si="8"/>
        <v>——</v>
      </c>
      <c r="I55" s="3365">
        <v>0.05</v>
      </c>
      <c r="J55" s="1063">
        <f t="shared" si="9"/>
        <v>0</v>
      </c>
      <c r="K55" s="1063">
        <f t="shared" si="10"/>
        <v>0</v>
      </c>
      <c r="L55" s="1063">
        <v>0</v>
      </c>
      <c r="M55" s="1063">
        <f t="shared" si="11"/>
        <v>0</v>
      </c>
      <c r="N55" s="1063">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估价对象所在区域公共配套设施齐备情况一般</v>
      </c>
      <c r="C56" s="2042"/>
      <c r="D56" s="1064">
        <f t="shared" si="7"/>
        <v>0</v>
      </c>
      <c r="E56" s="744"/>
      <c r="F56" s="1812"/>
      <c r="G56" s="1062"/>
      <c r="H56" s="1065" t="str">
        <f t="shared" si="8"/>
        <v>——</v>
      </c>
      <c r="I56" s="3365">
        <v>0.05</v>
      </c>
      <c r="J56" s="1063">
        <f t="shared" si="9"/>
        <v>0</v>
      </c>
      <c r="K56" s="1063">
        <f t="shared" si="10"/>
        <v>0</v>
      </c>
      <c r="L56" s="1063">
        <v>0</v>
      </c>
      <c r="M56" s="1063">
        <f t="shared" si="11"/>
        <v>0</v>
      </c>
      <c r="N56" s="1063">
        <f t="shared" si="11"/>
        <v>0</v>
      </c>
      <c r="AA56" s="1118"/>
      <c r="AB56" s="1118"/>
      <c r="AC56" s="1118"/>
      <c r="AD56" s="1118"/>
      <c r="AE56" s="1118"/>
      <c r="AF56" s="1118"/>
      <c r="AG56" s="1118"/>
      <c r="AH56" s="1118"/>
      <c r="AI56" s="1118"/>
      <c r="AJ56" s="1118"/>
      <c r="AK56" s="1118"/>
    </row>
    <row r="57" spans="1:37" s="1117" customFormat="1" ht="24">
      <c r="A57" s="2135" t="s">
        <v>2060</v>
      </c>
      <c r="B57" s="2132" t="str">
        <f>估价对象房地状况!C22</f>
        <v>七通</v>
      </c>
      <c r="C57" s="2042"/>
      <c r="D57" s="1064">
        <f t="shared" si="7"/>
        <v>0</v>
      </c>
      <c r="E57" s="744"/>
      <c r="F57" s="1812"/>
      <c r="G57" s="1062"/>
      <c r="H57" s="1065" t="str">
        <f t="shared" si="8"/>
        <v>——</v>
      </c>
      <c r="I57" s="3365">
        <v>0.08</v>
      </c>
      <c r="J57" s="1063">
        <f t="shared" si="9"/>
        <v>0</v>
      </c>
      <c r="K57" s="1063">
        <f t="shared" si="10"/>
        <v>0</v>
      </c>
      <c r="L57" s="1063">
        <v>0</v>
      </c>
      <c r="M57" s="1063">
        <f t="shared" si="11"/>
        <v>0</v>
      </c>
      <c r="N57" s="1063">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4">
        <f t="shared" si="7"/>
        <v>0</v>
      </c>
      <c r="E58" s="745"/>
      <c r="F58" s="1812"/>
      <c r="G58" s="1062"/>
      <c r="H58" s="1065" t="str">
        <f t="shared" si="8"/>
        <v>——</v>
      </c>
      <c r="I58" s="3366">
        <v>0.05</v>
      </c>
      <c r="J58" s="1063">
        <f t="shared" si="9"/>
        <v>0</v>
      </c>
      <c r="K58" s="1063">
        <f t="shared" si="10"/>
        <v>0</v>
      </c>
      <c r="L58" s="1063">
        <v>0</v>
      </c>
      <c r="M58" s="1063">
        <f t="shared" si="11"/>
        <v>0</v>
      </c>
      <c r="N58" s="1063">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40"/>
      <c r="D59" s="740"/>
      <c r="E59" s="741"/>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2"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8" t="s">
        <v>2064</v>
      </c>
      <c r="B61" s="2131">
        <f>估价对象房地状况!C17</f>
        <v>0</v>
      </c>
      <c r="C61" s="2042"/>
      <c r="D61" s="1064">
        <f t="shared" ref="D61:D69" si="12">SUMIF($J$60:$N$60,C61,J61:N61)</f>
        <v>0</v>
      </c>
      <c r="E61" s="743">
        <f>ROUND(SUM(D61:D69),4)</f>
        <v>0</v>
      </c>
      <c r="F61" s="1812"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8"/>
      <c r="AB61" s="1118"/>
      <c r="AC61" s="1118"/>
      <c r="AD61" s="1118"/>
      <c r="AE61" s="1118"/>
      <c r="AF61" s="1118"/>
      <c r="AG61" s="1118"/>
      <c r="AH61" s="1118"/>
      <c r="AI61" s="1118"/>
      <c r="AJ61" s="1118"/>
      <c r="AK61" s="1118"/>
    </row>
    <row r="62" spans="1:37" s="1117" customFormat="1" ht="51">
      <c r="A62" s="2128" t="s">
        <v>2053</v>
      </c>
      <c r="B62" s="2132" t="str">
        <f>估价对象房地状况!C18</f>
        <v>估价对象周边道路状况、公共交通通达情况915、918、955等、停车便捷程度，综合评价交通便捷度一般</v>
      </c>
      <c r="C62" s="2042"/>
      <c r="D62" s="1064">
        <f t="shared" si="12"/>
        <v>0</v>
      </c>
      <c r="E62" s="744"/>
      <c r="F62" s="1812"/>
      <c r="G62" s="1062"/>
      <c r="H62" s="1065" t="str">
        <f t="shared" si="13"/>
        <v>——</v>
      </c>
      <c r="I62" s="3365">
        <v>0.26</v>
      </c>
      <c r="J62" s="1063">
        <f t="shared" si="14"/>
        <v>0</v>
      </c>
      <c r="K62" s="1063">
        <f t="shared" si="15"/>
        <v>0</v>
      </c>
      <c r="L62" s="1063">
        <v>0</v>
      </c>
      <c r="M62" s="1063">
        <f t="shared" si="16"/>
        <v>0</v>
      </c>
      <c r="N62" s="1063">
        <f t="shared" si="16"/>
        <v>0</v>
      </c>
      <c r="AA62" s="1118"/>
      <c r="AB62" s="1118"/>
      <c r="AC62" s="1118"/>
      <c r="AD62" s="1118"/>
      <c r="AE62" s="1118"/>
      <c r="AF62" s="1118"/>
      <c r="AG62" s="1118"/>
      <c r="AH62" s="1118"/>
      <c r="AI62" s="1118"/>
      <c r="AJ62" s="1118"/>
      <c r="AK62" s="1118"/>
    </row>
    <row r="63" spans="1:37" s="1117" customFormat="1" ht="36">
      <c r="A63" s="3367" t="s">
        <v>3270</v>
      </c>
      <c r="B63" s="2132">
        <f>估价对象房地状况!C19</f>
        <v>0</v>
      </c>
      <c r="C63" s="2042"/>
      <c r="D63" s="1064">
        <f t="shared" si="12"/>
        <v>0</v>
      </c>
      <c r="E63" s="744"/>
      <c r="F63" s="1812"/>
      <c r="G63" s="1062"/>
      <c r="H63" s="1065" t="str">
        <f t="shared" si="13"/>
        <v>——</v>
      </c>
      <c r="I63" s="3365">
        <v>0.11</v>
      </c>
      <c r="J63" s="1063">
        <f t="shared" si="14"/>
        <v>0</v>
      </c>
      <c r="K63" s="1063">
        <f t="shared" si="15"/>
        <v>0</v>
      </c>
      <c r="L63" s="1063">
        <v>0</v>
      </c>
      <c r="M63" s="1063">
        <f t="shared" si="16"/>
        <v>0</v>
      </c>
      <c r="N63" s="1063">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4">
        <f t="shared" si="12"/>
        <v>0</v>
      </c>
      <c r="E64" s="744"/>
      <c r="F64" s="1812"/>
      <c r="G64" s="1062"/>
      <c r="H64" s="1065" t="str">
        <f t="shared" si="13"/>
        <v>——</v>
      </c>
      <c r="I64" s="3365">
        <v>0.05</v>
      </c>
      <c r="J64" s="1063">
        <f t="shared" si="14"/>
        <v>0</v>
      </c>
      <c r="K64" s="1063">
        <f t="shared" si="15"/>
        <v>0</v>
      </c>
      <c r="L64" s="1063">
        <v>0</v>
      </c>
      <c r="M64" s="1063">
        <f t="shared" si="16"/>
        <v>0</v>
      </c>
      <c r="N64" s="1063">
        <f t="shared" si="16"/>
        <v>0</v>
      </c>
      <c r="AA64" s="1118"/>
      <c r="AB64" s="1118"/>
      <c r="AC64" s="1118"/>
      <c r="AD64" s="1118"/>
      <c r="AE64" s="1118"/>
      <c r="AF64" s="1118"/>
      <c r="AG64" s="1118"/>
      <c r="AH64" s="1118"/>
      <c r="AI64" s="1118"/>
      <c r="AJ64" s="1118"/>
      <c r="AK64" s="1118"/>
    </row>
    <row r="65" spans="1:37" s="1117" customFormat="1" ht="24">
      <c r="A65" s="2128" t="s">
        <v>2056</v>
      </c>
      <c r="B65" s="2132" t="str">
        <f>估价对象房地状况!C24</f>
        <v>次干道-南焦路</v>
      </c>
      <c r="C65" s="2042"/>
      <c r="D65" s="1064">
        <f t="shared" si="12"/>
        <v>0</v>
      </c>
      <c r="E65" s="744"/>
      <c r="F65" s="1812"/>
      <c r="G65" s="1062"/>
      <c r="H65" s="1065" t="str">
        <f t="shared" si="13"/>
        <v>——</v>
      </c>
      <c r="I65" s="3365">
        <v>0.05</v>
      </c>
      <c r="J65" s="1063">
        <f t="shared" si="14"/>
        <v>0</v>
      </c>
      <c r="K65" s="1063">
        <f t="shared" si="15"/>
        <v>0</v>
      </c>
      <c r="L65" s="1063">
        <v>0</v>
      </c>
      <c r="M65" s="1063">
        <f t="shared" si="16"/>
        <v>0</v>
      </c>
      <c r="N65" s="1063">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4">
        <f t="shared" si="12"/>
        <v>0</v>
      </c>
      <c r="E66" s="744"/>
      <c r="F66" s="1812"/>
      <c r="G66" s="1062"/>
      <c r="H66" s="1065" t="str">
        <f t="shared" si="13"/>
        <v>——</v>
      </c>
      <c r="I66" s="3365">
        <v>0.06</v>
      </c>
      <c r="J66" s="1063">
        <f t="shared" si="14"/>
        <v>0</v>
      </c>
      <c r="K66" s="1063">
        <f t="shared" si="15"/>
        <v>0</v>
      </c>
      <c r="L66" s="1063">
        <v>0</v>
      </c>
      <c r="M66" s="1063">
        <f t="shared" si="16"/>
        <v>0</v>
      </c>
      <c r="N66" s="1063">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估价对象所在区域公共配套设施齐备情况一般</v>
      </c>
      <c r="C67" s="2042"/>
      <c r="D67" s="1064">
        <f t="shared" si="12"/>
        <v>0</v>
      </c>
      <c r="E67" s="744"/>
      <c r="F67" s="1812"/>
      <c r="G67" s="1062"/>
      <c r="H67" s="1065" t="str">
        <f t="shared" si="13"/>
        <v>——</v>
      </c>
      <c r="I67" s="3365">
        <v>0.06</v>
      </c>
      <c r="J67" s="1063">
        <f t="shared" si="14"/>
        <v>0</v>
      </c>
      <c r="K67" s="1063">
        <f t="shared" si="15"/>
        <v>0</v>
      </c>
      <c r="L67" s="1063">
        <v>0</v>
      </c>
      <c r="M67" s="1063">
        <f t="shared" si="16"/>
        <v>0</v>
      </c>
      <c r="N67" s="1063">
        <f t="shared" si="16"/>
        <v>0</v>
      </c>
      <c r="AA67" s="1118"/>
      <c r="AB67" s="1118"/>
      <c r="AC67" s="1118"/>
      <c r="AD67" s="1118"/>
      <c r="AE67" s="1118"/>
      <c r="AF67" s="1118"/>
      <c r="AG67" s="1118"/>
      <c r="AH67" s="1118"/>
      <c r="AI67" s="1118"/>
      <c r="AJ67" s="1118"/>
      <c r="AK67" s="1118"/>
    </row>
    <row r="68" spans="1:37" s="1117" customFormat="1" ht="24">
      <c r="A68" s="2128" t="s">
        <v>2060</v>
      </c>
      <c r="B68" s="1324" t="str">
        <f>估价对象房地状况!C22</f>
        <v>七通</v>
      </c>
      <c r="C68" s="2042"/>
      <c r="D68" s="1064">
        <f t="shared" si="12"/>
        <v>0</v>
      </c>
      <c r="E68" s="744"/>
      <c r="F68" s="1812"/>
      <c r="G68" s="1062"/>
      <c r="H68" s="1065" t="str">
        <f t="shared" si="13"/>
        <v>——</v>
      </c>
      <c r="I68" s="3365">
        <v>0.09</v>
      </c>
      <c r="J68" s="1063">
        <f t="shared" si="14"/>
        <v>0</v>
      </c>
      <c r="K68" s="1063">
        <f t="shared" si="15"/>
        <v>0</v>
      </c>
      <c r="L68" s="1063">
        <v>0</v>
      </c>
      <c r="M68" s="1063">
        <f t="shared" si="16"/>
        <v>0</v>
      </c>
      <c r="N68" s="1063">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4">
        <f t="shared" si="12"/>
        <v>0</v>
      </c>
      <c r="E69" s="745"/>
      <c r="F69" s="1812"/>
      <c r="G69" s="1062"/>
      <c r="H69" s="1065" t="str">
        <f t="shared" si="13"/>
        <v>——</v>
      </c>
      <c r="I69" s="3366">
        <v>7.0000000000000007E-2</v>
      </c>
      <c r="J69" s="1063">
        <f t="shared" si="14"/>
        <v>0</v>
      </c>
      <c r="K69" s="1063">
        <f t="shared" si="15"/>
        <v>0</v>
      </c>
      <c r="L69" s="1063">
        <v>0</v>
      </c>
      <c r="M69" s="1063">
        <f t="shared" si="16"/>
        <v>0</v>
      </c>
      <c r="N69" s="1063">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40"/>
      <c r="D70" s="740"/>
      <c r="E70" s="741"/>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2"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8" t="s">
        <v>2066</v>
      </c>
      <c r="B72" s="2131">
        <f>估价对象房地状况!C15</f>
        <v>0</v>
      </c>
      <c r="C72" s="2042"/>
      <c r="D72" s="1064">
        <f t="shared" ref="D72:D80" si="17">SUMIF($J$71:$N$71,C72,J72:N72)</f>
        <v>0</v>
      </c>
      <c r="E72" s="743">
        <f>ROUND(SUM(D72:D80),4)</f>
        <v>0</v>
      </c>
      <c r="F72" s="1812"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8"/>
      <c r="AB72" s="1118"/>
      <c r="AC72" s="1118"/>
      <c r="AD72" s="1118"/>
      <c r="AE72" s="1118"/>
      <c r="AF72" s="1118"/>
      <c r="AG72" s="1118"/>
      <c r="AH72" s="1118"/>
      <c r="AI72" s="1118"/>
      <c r="AJ72" s="1118"/>
      <c r="AK72" s="1118"/>
    </row>
    <row r="73" spans="1:37" s="1117" customFormat="1" ht="51">
      <c r="A73" s="2128" t="s">
        <v>2053</v>
      </c>
      <c r="B73" s="2132" t="str">
        <f>估价对象房地状况!C18</f>
        <v>估价对象周边道路状况、公共交通通达情况915、918、955等、停车便捷程度，综合评价交通便捷度一般</v>
      </c>
      <c r="C73" s="2042"/>
      <c r="D73" s="1064">
        <f t="shared" si="17"/>
        <v>0</v>
      </c>
      <c r="E73" s="746"/>
      <c r="F73" s="1812"/>
      <c r="G73" s="1062"/>
      <c r="H73" s="1065" t="str">
        <f t="shared" si="18"/>
        <v>——</v>
      </c>
      <c r="I73" s="3365">
        <v>0.26</v>
      </c>
      <c r="J73" s="1063">
        <f t="shared" si="19"/>
        <v>0</v>
      </c>
      <c r="K73" s="1063">
        <f t="shared" si="20"/>
        <v>0</v>
      </c>
      <c r="L73" s="1063">
        <v>0</v>
      </c>
      <c r="M73" s="1063">
        <f t="shared" si="21"/>
        <v>0</v>
      </c>
      <c r="N73" s="1063">
        <f t="shared" si="21"/>
        <v>0</v>
      </c>
      <c r="AA73" s="1118"/>
      <c r="AB73" s="1118"/>
      <c r="AC73" s="1118"/>
      <c r="AD73" s="1118"/>
      <c r="AE73" s="1118"/>
      <c r="AF73" s="1118"/>
      <c r="AG73" s="1118"/>
      <c r="AH73" s="1118"/>
      <c r="AI73" s="1118"/>
      <c r="AJ73" s="1118"/>
      <c r="AK73" s="1118"/>
    </row>
    <row r="74" spans="1:37" s="1995" customFormat="1" ht="36">
      <c r="A74" s="3367" t="s">
        <v>3270</v>
      </c>
      <c r="B74" s="2132">
        <f>估价对象房地状况!C19</f>
        <v>0</v>
      </c>
      <c r="C74" s="2042"/>
      <c r="D74" s="1064">
        <f t="shared" si="17"/>
        <v>0</v>
      </c>
      <c r="E74" s="746"/>
      <c r="F74" s="1812"/>
      <c r="G74" s="1062"/>
      <c r="H74" s="1065" t="str">
        <f t="shared" si="18"/>
        <v>——</v>
      </c>
      <c r="I74" s="3365">
        <v>0.1</v>
      </c>
      <c r="J74" s="1063">
        <f t="shared" si="19"/>
        <v>0</v>
      </c>
      <c r="K74" s="1063">
        <f t="shared" si="20"/>
        <v>0</v>
      </c>
      <c r="L74" s="1063">
        <v>0</v>
      </c>
      <c r="M74" s="1063">
        <f t="shared" si="21"/>
        <v>0</v>
      </c>
      <c r="N74" s="1063">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t="str">
        <f>估价对象房地状况!C24</f>
        <v>次干道-南焦路</v>
      </c>
      <c r="C75" s="2042"/>
      <c r="D75" s="1064">
        <f t="shared" si="17"/>
        <v>0</v>
      </c>
      <c r="E75" s="746"/>
      <c r="F75" s="1812"/>
      <c r="G75" s="1062"/>
      <c r="H75" s="1065" t="str">
        <f t="shared" si="18"/>
        <v>——</v>
      </c>
      <c r="I75" s="3365">
        <v>0.05</v>
      </c>
      <c r="J75" s="1063">
        <f t="shared" si="19"/>
        <v>0</v>
      </c>
      <c r="K75" s="1063">
        <f t="shared" si="20"/>
        <v>0</v>
      </c>
      <c r="L75" s="1063">
        <v>0</v>
      </c>
      <c r="M75" s="1063">
        <f t="shared" si="21"/>
        <v>0</v>
      </c>
      <c r="N75" s="1063">
        <f t="shared" si="21"/>
        <v>0</v>
      </c>
      <c r="O75" s="1117"/>
      <c r="P75" s="1117"/>
      <c r="Q75" s="1995"/>
      <c r="Z75" s="1996"/>
      <c r="AA75" s="2051"/>
      <c r="AG75" s="1119"/>
      <c r="AK75" s="2051"/>
    </row>
    <row r="76" spans="1:37" ht="25.5">
      <c r="A76" s="2128" t="s">
        <v>2059</v>
      </c>
      <c r="B76" s="1324" t="str">
        <f>估价对象房地状况!C21</f>
        <v>估价对象所在区域公共配套设施齐备情况一般</v>
      </c>
      <c r="C76" s="2042"/>
      <c r="D76" s="1064">
        <f t="shared" si="17"/>
        <v>0</v>
      </c>
      <c r="E76" s="746"/>
      <c r="F76" s="1812"/>
      <c r="G76" s="1062"/>
      <c r="H76" s="1065" t="str">
        <f t="shared" si="18"/>
        <v>——</v>
      </c>
      <c r="I76" s="3365">
        <v>0.08</v>
      </c>
      <c r="J76" s="1063">
        <f t="shared" si="19"/>
        <v>0</v>
      </c>
      <c r="K76" s="1063">
        <f t="shared" si="20"/>
        <v>0</v>
      </c>
      <c r="L76" s="1063">
        <v>0</v>
      </c>
      <c r="M76" s="1063">
        <f t="shared" si="21"/>
        <v>0</v>
      </c>
      <c r="N76" s="1063">
        <f t="shared" si="21"/>
        <v>0</v>
      </c>
      <c r="O76" s="1117"/>
      <c r="P76" s="1117"/>
      <c r="Z76" s="1996"/>
      <c r="AA76" s="2051"/>
      <c r="AG76" s="1119"/>
      <c r="AK76" s="2051"/>
    </row>
    <row r="77" spans="1:37" ht="24">
      <c r="A77" s="2128" t="s">
        <v>2060</v>
      </c>
      <c r="B77" s="1324" t="str">
        <f>估价对象房地状况!C22</f>
        <v>七通</v>
      </c>
      <c r="C77" s="2042"/>
      <c r="D77" s="1064">
        <f t="shared" si="17"/>
        <v>0</v>
      </c>
      <c r="E77" s="746"/>
      <c r="F77" s="1812"/>
      <c r="G77" s="1062"/>
      <c r="H77" s="1065" t="str">
        <f t="shared" si="18"/>
        <v>——</v>
      </c>
      <c r="I77" s="3365">
        <v>0.09</v>
      </c>
      <c r="J77" s="1063">
        <f t="shared" si="19"/>
        <v>0</v>
      </c>
      <c r="K77" s="1063">
        <f t="shared" si="20"/>
        <v>0</v>
      </c>
      <c r="L77" s="1063">
        <v>0</v>
      </c>
      <c r="M77" s="1063">
        <f t="shared" si="21"/>
        <v>0</v>
      </c>
      <c r="N77" s="1063">
        <f t="shared" si="21"/>
        <v>0</v>
      </c>
      <c r="O77" s="1117"/>
      <c r="P77" s="1117"/>
      <c r="Z77" s="1996"/>
      <c r="AA77" s="2051"/>
      <c r="AG77" s="1119"/>
      <c r="AK77" s="2051"/>
    </row>
    <row r="78" spans="1:37" ht="24">
      <c r="A78" s="2128" t="s">
        <v>2057</v>
      </c>
      <c r="B78" s="2134" t="s">
        <v>2058</v>
      </c>
      <c r="C78" s="2042"/>
      <c r="D78" s="1064">
        <f t="shared" si="17"/>
        <v>0</v>
      </c>
      <c r="E78" s="746"/>
      <c r="F78" s="1812"/>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4">
        <f t="shared" si="17"/>
        <v>0</v>
      </c>
      <c r="E79" s="746"/>
      <c r="F79" s="1812"/>
      <c r="G79" s="1062"/>
      <c r="H79" s="1065" t="str">
        <f t="shared" si="18"/>
        <v>——</v>
      </c>
      <c r="I79" s="3365">
        <v>0.12</v>
      </c>
      <c r="J79" s="1063">
        <f t="shared" si="19"/>
        <v>0</v>
      </c>
      <c r="K79" s="1063">
        <f t="shared" si="20"/>
        <v>0</v>
      </c>
      <c r="L79" s="1063">
        <v>0</v>
      </c>
      <c r="M79" s="1063">
        <f t="shared" si="21"/>
        <v>0</v>
      </c>
      <c r="N79" s="1063">
        <f t="shared" si="21"/>
        <v>0</v>
      </c>
      <c r="Z79" s="1996"/>
      <c r="AA79" s="2051"/>
      <c r="AG79" s="1119"/>
      <c r="AK79" s="2051"/>
    </row>
    <row r="80" spans="1:37" ht="24.75" thickBot="1">
      <c r="A80" s="2136" t="s">
        <v>2068</v>
      </c>
      <c r="B80" s="2140"/>
      <c r="C80" s="2042"/>
      <c r="D80" s="1064">
        <f t="shared" si="17"/>
        <v>0</v>
      </c>
      <c r="E80" s="747"/>
      <c r="F80" s="1812"/>
      <c r="G80" s="1062"/>
      <c r="H80" s="1065" t="str">
        <f t="shared" si="18"/>
        <v>——</v>
      </c>
      <c r="I80" s="3366">
        <v>0.05</v>
      </c>
      <c r="J80" s="1063">
        <f t="shared" si="19"/>
        <v>0</v>
      </c>
      <c r="K80" s="1063">
        <f t="shared" si="20"/>
        <v>0</v>
      </c>
      <c r="L80" s="1063">
        <v>0</v>
      </c>
      <c r="M80" s="1063">
        <f t="shared" si="21"/>
        <v>0</v>
      </c>
      <c r="N80" s="1063">
        <f t="shared" si="21"/>
        <v>0</v>
      </c>
      <c r="Z80" s="1996"/>
      <c r="AA80" s="2051"/>
      <c r="AG80" s="1119"/>
      <c r="AK80" s="2051"/>
    </row>
    <row r="81" spans="1:37" ht="15">
      <c r="A81" s="2124" t="s">
        <v>2069</v>
      </c>
      <c r="B81" s="2125">
        <f>1+E83</f>
        <v>1</v>
      </c>
      <c r="C81" s="740"/>
      <c r="D81" s="740"/>
      <c r="E81" s="741"/>
      <c r="F81" s="2127"/>
      <c r="G81" s="3"/>
      <c r="H81" s="3"/>
      <c r="I81" s="3"/>
      <c r="J81" s="4"/>
      <c r="K81" s="4"/>
      <c r="L81" s="4"/>
      <c r="M81" s="4"/>
      <c r="N81" s="4"/>
      <c r="Z81" s="1996"/>
      <c r="AA81" s="2051"/>
      <c r="AG81" s="1119"/>
      <c r="AK81" s="2051"/>
    </row>
    <row r="82" spans="1:37" ht="24.75">
      <c r="A82" s="2128" t="s">
        <v>2044</v>
      </c>
      <c r="B82" s="1349"/>
      <c r="C82" s="1349" t="s">
        <v>2046</v>
      </c>
      <c r="D82" s="1349" t="s">
        <v>2047</v>
      </c>
      <c r="E82" s="742"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5">
        <v>0.3</v>
      </c>
      <c r="J84" s="1063">
        <f t="shared" si="24"/>
        <v>0</v>
      </c>
      <c r="K84" s="1063">
        <f t="shared" si="25"/>
        <v>0</v>
      </c>
      <c r="L84" s="1063">
        <v>0</v>
      </c>
      <c r="M84" s="1063">
        <f t="shared" si="26"/>
        <v>0</v>
      </c>
      <c r="N84" s="1063">
        <f t="shared" si="26"/>
        <v>0</v>
      </c>
      <c r="Z84" s="1996"/>
      <c r="AA84" s="2051"/>
      <c r="AG84" s="1119"/>
      <c r="AK84" s="2051"/>
    </row>
    <row r="85" spans="1:37" ht="36">
      <c r="A85" s="3367" t="s">
        <v>3271</v>
      </c>
      <c r="B85" s="2132">
        <f>估价对象房地状况!G17</f>
        <v>0</v>
      </c>
      <c r="C85" s="2042"/>
      <c r="D85" s="1064">
        <f t="shared" si="22"/>
        <v>0</v>
      </c>
      <c r="E85" s="746"/>
      <c r="F85" s="1812"/>
      <c r="G85" s="1062"/>
      <c r="H85" s="1065" t="str">
        <f t="shared" si="23"/>
        <v>——</v>
      </c>
      <c r="I85" s="3365">
        <v>0.1</v>
      </c>
      <c r="J85" s="1063">
        <f t="shared" si="24"/>
        <v>0</v>
      </c>
      <c r="K85" s="1063">
        <f t="shared" si="25"/>
        <v>0</v>
      </c>
      <c r="L85" s="1063">
        <v>0</v>
      </c>
      <c r="M85" s="1063">
        <f t="shared" si="26"/>
        <v>0</v>
      </c>
      <c r="N85" s="1063">
        <f t="shared" si="26"/>
        <v>0</v>
      </c>
      <c r="Z85" s="1996"/>
      <c r="AA85" s="2051"/>
      <c r="AG85" s="1119"/>
      <c r="AK85" s="2051"/>
    </row>
    <row r="86" spans="1:37" ht="14.25">
      <c r="A86" s="2128" t="s">
        <v>2067</v>
      </c>
      <c r="B86" s="2132">
        <f>估价对象房地状况!G22</f>
        <v>0</v>
      </c>
      <c r="C86" s="2042"/>
      <c r="D86" s="1064">
        <f t="shared" si="22"/>
        <v>0</v>
      </c>
      <c r="E86" s="746"/>
      <c r="F86" s="1812"/>
      <c r="G86" s="1062"/>
      <c r="H86" s="1065" t="str">
        <f t="shared" si="23"/>
        <v>——</v>
      </c>
      <c r="I86" s="3365">
        <v>0.05</v>
      </c>
      <c r="J86" s="1063">
        <f t="shared" si="24"/>
        <v>0</v>
      </c>
      <c r="K86" s="1063">
        <f t="shared" si="25"/>
        <v>0</v>
      </c>
      <c r="L86" s="1063">
        <v>0</v>
      </c>
      <c r="M86" s="1063">
        <f t="shared" si="26"/>
        <v>0</v>
      </c>
      <c r="N86" s="1063">
        <f t="shared" si="26"/>
        <v>0</v>
      </c>
      <c r="Z86" s="1996"/>
      <c r="AA86" s="2051"/>
      <c r="AG86" s="1119"/>
      <c r="AK86" s="2051"/>
    </row>
    <row r="87" spans="1:37" ht="25.5">
      <c r="A87" s="2128" t="s">
        <v>2059</v>
      </c>
      <c r="B87" s="1324" t="str">
        <f>估价对象房地状况!G19</f>
        <v>估价对象所在区域公共配套设施齐备情况</v>
      </c>
      <c r="C87" s="2042"/>
      <c r="D87" s="1064">
        <f t="shared" si="22"/>
        <v>0</v>
      </c>
      <c r="E87" s="746"/>
      <c r="F87" s="1812"/>
      <c r="G87" s="1062"/>
      <c r="H87" s="1065" t="str">
        <f t="shared" si="23"/>
        <v>——</v>
      </c>
      <c r="I87" s="3365">
        <v>0.06</v>
      </c>
      <c r="J87" s="1063">
        <f t="shared" si="24"/>
        <v>0</v>
      </c>
      <c r="K87" s="1063">
        <f t="shared" si="25"/>
        <v>0</v>
      </c>
      <c r="L87" s="1063">
        <v>0</v>
      </c>
      <c r="M87" s="1063">
        <f t="shared" si="26"/>
        <v>0</v>
      </c>
      <c r="N87" s="1063">
        <f t="shared" si="26"/>
        <v>0</v>
      </c>
    </row>
    <row r="88" spans="1:37" ht="25.5">
      <c r="A88" s="2128" t="s">
        <v>2060</v>
      </c>
      <c r="B88" s="1324" t="str">
        <f>估价对象房地状况!G20</f>
        <v>估价对象所在区域基础设施水平</v>
      </c>
      <c r="C88" s="2042"/>
      <c r="D88" s="1064">
        <f t="shared" si="22"/>
        <v>0</v>
      </c>
      <c r="E88" s="746"/>
      <c r="F88" s="1812"/>
      <c r="G88" s="1062"/>
      <c r="H88" s="1065" t="str">
        <f t="shared" si="23"/>
        <v>——</v>
      </c>
      <c r="I88" s="3365">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6"/>
      <c r="F89" s="1812"/>
      <c r="G89" s="1062"/>
      <c r="H89" s="1065" t="str">
        <f t="shared" si="23"/>
        <v>——</v>
      </c>
      <c r="I89" s="3365">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7"/>
      <c r="F90" s="1812"/>
      <c r="G90" s="1062"/>
      <c r="H90" s="1065" t="str">
        <f t="shared" si="23"/>
        <v>——</v>
      </c>
      <c r="I90" s="3366">
        <v>0.05</v>
      </c>
      <c r="J90" s="1063">
        <f t="shared" si="24"/>
        <v>0</v>
      </c>
      <c r="K90" s="1063">
        <f t="shared" si="25"/>
        <v>0</v>
      </c>
      <c r="L90" s="1063">
        <v>0</v>
      </c>
      <c r="M90" s="1063">
        <f t="shared" si="26"/>
        <v>0</v>
      </c>
      <c r="N90" s="1063">
        <f t="shared" si="26"/>
        <v>0</v>
      </c>
    </row>
    <row r="91" spans="1:37" ht="15">
      <c r="A91" s="3375" t="s">
        <v>2613</v>
      </c>
      <c r="B91" s="3376">
        <f>1+E93</f>
        <v>1</v>
      </c>
      <c r="C91" s="3369"/>
      <c r="D91" s="3370"/>
      <c r="E91" s="1812"/>
      <c r="F91" s="1812"/>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1">
      <c r="A94" s="3377" t="s">
        <v>3274</v>
      </c>
      <c r="B94" s="3368" t="str">
        <f>估价对象房地状况!C18</f>
        <v>估价对象周边道路状况、公共交通通达情况915、918、955等、停车便捷程度，综合评价交通便捷度一般</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3270</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3275</v>
      </c>
      <c r="B96" s="3383" t="s">
        <v>3286</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3276</v>
      </c>
      <c r="B97" s="3368" t="str">
        <f>估价对象房地状况!C24</f>
        <v>次干道-南焦路</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3277</v>
      </c>
      <c r="B98" s="3384" t="s">
        <v>3287</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3278</v>
      </c>
      <c r="B99" s="3368" t="str">
        <f>估价对象房地状况!C21</f>
        <v>估价对象所在区域公共配套设施齐备情况一般</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4">
      <c r="A100" s="3377" t="s">
        <v>3279</v>
      </c>
      <c r="B100" s="3368" t="str">
        <f>估价对象房地状况!C22</f>
        <v>七通</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3280</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4" t="s">
        <v>3295</v>
      </c>
      <c r="B103" s="3764"/>
      <c r="C103" s="3764"/>
      <c r="D103" s="3764"/>
      <c r="E103" s="3764"/>
      <c r="F103" s="3764"/>
      <c r="G103" s="3764"/>
      <c r="H103" s="3764"/>
      <c r="I103" s="3764"/>
      <c r="J103" s="3764"/>
      <c r="K103" s="3388"/>
      <c r="L103" s="3388"/>
      <c r="M103" s="3388"/>
      <c r="N103" s="3388"/>
    </row>
    <row r="104" spans="1:14">
      <c r="A104" s="3765" t="s">
        <v>3296</v>
      </c>
      <c r="B104" s="3765" t="s">
        <v>3297</v>
      </c>
      <c r="C104" s="3389" t="s">
        <v>3298</v>
      </c>
      <c r="D104" s="3390"/>
      <c r="E104" s="3390"/>
      <c r="F104" s="3390"/>
      <c r="G104" s="3390"/>
      <c r="H104" s="3390"/>
      <c r="I104" s="3390"/>
      <c r="J104" s="3391"/>
      <c r="K104" s="3392"/>
      <c r="L104" s="3392"/>
      <c r="M104" s="3392"/>
      <c r="N104" s="3392"/>
    </row>
    <row r="105" spans="1:14">
      <c r="A105" s="3765"/>
      <c r="B105" s="3765"/>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751"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2"/>
      <c r="B111" s="3393" t="s">
        <v>3269</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3"/>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4" t="s">
        <v>3312</v>
      </c>
      <c r="B113" s="3754"/>
      <c r="C113" s="3754"/>
      <c r="D113" s="3754"/>
      <c r="E113" s="3754"/>
      <c r="F113" s="3754"/>
      <c r="G113" s="3754"/>
      <c r="H113" s="3754"/>
      <c r="I113" s="3754"/>
      <c r="J113" s="375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0</v>
      </c>
      <c r="C116" s="3398" t="s">
        <v>3314</v>
      </c>
      <c r="D116" s="3399">
        <f>SUMPRODUCT((A118:A122=F116)*(B117:M117=H116)*B118:M122)</f>
        <v>0</v>
      </c>
      <c r="E116" s="1998" t="s">
        <v>3315</v>
      </c>
      <c r="F116" s="3400">
        <f>E2</f>
        <v>0</v>
      </c>
      <c r="G116" s="1998" t="s">
        <v>3316</v>
      </c>
      <c r="H116" s="3400">
        <f>G2</f>
        <v>0</v>
      </c>
      <c r="I116" s="1998"/>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3330</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3331</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3332</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2613</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77" t="s">
        <v>2608</v>
      </c>
      <c r="B20" s="3770" t="s">
        <v>2629</v>
      </c>
      <c r="C20" s="3101" t="s">
        <v>2440</v>
      </c>
      <c r="D20" s="3102"/>
      <c r="E20" s="3103">
        <v>1</v>
      </c>
      <c r="F20" s="3104" t="s">
        <v>2441</v>
      </c>
      <c r="G20" s="3104"/>
    </row>
    <row r="21" spans="1:13" ht="19.5" customHeight="1">
      <c r="A21" s="3778"/>
      <c r="B21" s="3771"/>
      <c r="C21" s="3105" t="s">
        <v>2442</v>
      </c>
      <c r="D21" s="3106"/>
      <c r="E21" s="3107">
        <v>1</v>
      </c>
      <c r="F21" s="3104" t="s">
        <v>2443</v>
      </c>
      <c r="G21" s="3104"/>
    </row>
    <row r="22" spans="1:13" ht="19.5" customHeight="1">
      <c r="A22" s="3778"/>
      <c r="B22" s="3771"/>
      <c r="C22" s="3105" t="s">
        <v>2444</v>
      </c>
      <c r="D22" s="3106"/>
      <c r="E22" s="3107">
        <v>0.9</v>
      </c>
      <c r="F22" s="3104" t="s">
        <v>2445</v>
      </c>
      <c r="G22" s="3104"/>
    </row>
    <row r="23" spans="1:13" ht="19.5" customHeight="1">
      <c r="A23" s="3778"/>
      <c r="B23" s="3771"/>
      <c r="C23" s="3105" t="s">
        <v>2446</v>
      </c>
      <c r="D23" s="3106"/>
      <c r="E23" s="3107">
        <v>0.9</v>
      </c>
      <c r="F23" s="3104" t="s">
        <v>2447</v>
      </c>
      <c r="G23" s="3104"/>
    </row>
    <row r="24" spans="1:13" ht="19.5" customHeight="1">
      <c r="A24" s="3778"/>
      <c r="B24" s="3771"/>
      <c r="C24" s="3105" t="s">
        <v>2448</v>
      </c>
      <c r="D24" s="3106"/>
      <c r="E24" s="3107">
        <v>0.8</v>
      </c>
      <c r="F24" s="3104" t="s">
        <v>2449</v>
      </c>
      <c r="G24" s="3104"/>
    </row>
    <row r="25" spans="1:13" ht="19.5" customHeight="1" thickBot="1">
      <c r="A25" s="3779"/>
      <c r="B25" s="3772"/>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73" t="s">
        <v>2632</v>
      </c>
      <c r="B27" s="3770" t="s">
        <v>2613</v>
      </c>
      <c r="C27" s="3101" t="s">
        <v>2453</v>
      </c>
      <c r="D27" s="3102"/>
      <c r="E27" s="3103">
        <v>1</v>
      </c>
      <c r="F27" s="3104" t="s">
        <v>2454</v>
      </c>
      <c r="G27" s="3104"/>
    </row>
    <row r="28" spans="1:13" ht="19.5" customHeight="1">
      <c r="A28" s="3774"/>
      <c r="B28" s="3771"/>
      <c r="C28" s="3105" t="s">
        <v>2455</v>
      </c>
      <c r="D28" s="3106"/>
      <c r="E28" s="3107">
        <v>1</v>
      </c>
      <c r="F28" s="3104" t="s">
        <v>2456</v>
      </c>
      <c r="G28" s="3104"/>
    </row>
    <row r="29" spans="1:13" ht="19.5" customHeight="1">
      <c r="A29" s="3774"/>
      <c r="B29" s="3771"/>
      <c r="C29" s="3105" t="s">
        <v>2457</v>
      </c>
      <c r="D29" s="3106"/>
      <c r="E29" s="3107">
        <v>0.8</v>
      </c>
      <c r="F29" s="3104" t="s">
        <v>2458</v>
      </c>
      <c r="G29" s="3104"/>
    </row>
    <row r="30" spans="1:13" ht="19.5" customHeight="1">
      <c r="A30" s="3774"/>
      <c r="B30" s="3771"/>
      <c r="C30" s="3105" t="s">
        <v>2459</v>
      </c>
      <c r="D30" s="3106"/>
      <c r="E30" s="3107">
        <v>0.8</v>
      </c>
      <c r="F30" s="3104" t="s">
        <v>2460</v>
      </c>
      <c r="G30" s="3104"/>
    </row>
    <row r="31" spans="1:13" ht="19.5" customHeight="1">
      <c r="A31" s="3774"/>
      <c r="B31" s="3771"/>
      <c r="C31" s="3105" t="s">
        <v>2461</v>
      </c>
      <c r="D31" s="3106"/>
      <c r="E31" s="3107">
        <v>0.8</v>
      </c>
      <c r="F31" s="3104" t="s">
        <v>2462</v>
      </c>
      <c r="G31" s="3104"/>
    </row>
    <row r="32" spans="1:13" ht="19.5" customHeight="1">
      <c r="A32" s="3774"/>
      <c r="B32" s="3771"/>
      <c r="C32" s="3105" t="s">
        <v>2463</v>
      </c>
      <c r="D32" s="3106"/>
      <c r="E32" s="3107">
        <v>0.7</v>
      </c>
      <c r="F32" s="3104" t="s">
        <v>2464</v>
      </c>
      <c r="G32" s="3104"/>
    </row>
    <row r="33" spans="1:7" ht="19.5" customHeight="1">
      <c r="A33" s="3774"/>
      <c r="B33" s="3771"/>
      <c r="C33" s="3105" t="s">
        <v>2465</v>
      </c>
      <c r="D33" s="3106"/>
      <c r="E33" s="3107">
        <v>0.8</v>
      </c>
      <c r="F33" s="3104" t="s">
        <v>2466</v>
      </c>
      <c r="G33" s="3104"/>
    </row>
    <row r="34" spans="1:7" ht="19.5" customHeight="1">
      <c r="A34" s="3774"/>
      <c r="B34" s="3771"/>
      <c r="C34" s="3105" t="s">
        <v>2467</v>
      </c>
      <c r="D34" s="3106"/>
      <c r="E34" s="3107">
        <v>0.6</v>
      </c>
      <c r="F34" s="3104" t="s">
        <v>2468</v>
      </c>
      <c r="G34" s="3104"/>
    </row>
    <row r="35" spans="1:7" ht="19.5" customHeight="1">
      <c r="A35" s="3774"/>
      <c r="B35" s="3771"/>
      <c r="C35" s="3105" t="s">
        <v>2469</v>
      </c>
      <c r="D35" s="3106"/>
      <c r="E35" s="3107">
        <v>0.2</v>
      </c>
      <c r="F35" s="3104" t="s">
        <v>2470</v>
      </c>
      <c r="G35" s="3104"/>
    </row>
    <row r="36" spans="1:7" ht="19.5" customHeight="1">
      <c r="A36" s="3774"/>
      <c r="B36" s="3771"/>
      <c r="C36" s="3105" t="s">
        <v>2471</v>
      </c>
      <c r="D36" s="3106"/>
      <c r="E36" s="3107">
        <v>0.2</v>
      </c>
      <c r="F36" s="3104" t="s">
        <v>2472</v>
      </c>
      <c r="G36" s="3104"/>
    </row>
    <row r="37" spans="1:7" ht="19.5" customHeight="1">
      <c r="A37" s="3774"/>
      <c r="B37" s="3776" t="s">
        <v>2633</v>
      </c>
      <c r="C37" s="3105" t="s">
        <v>2473</v>
      </c>
      <c r="D37" s="3106"/>
      <c r="E37" s="3107">
        <v>0.6</v>
      </c>
      <c r="F37" s="3104" t="s">
        <v>2474</v>
      </c>
      <c r="G37" s="3104"/>
    </row>
    <row r="38" spans="1:7" ht="19.5" customHeight="1">
      <c r="A38" s="3774"/>
      <c r="B38" s="3771"/>
      <c r="C38" s="3105" t="s">
        <v>2475</v>
      </c>
      <c r="D38" s="3106"/>
      <c r="E38" s="3107">
        <v>0.6</v>
      </c>
      <c r="F38" s="3104" t="s">
        <v>2476</v>
      </c>
      <c r="G38" s="3104"/>
    </row>
    <row r="39" spans="1:7" ht="19.5" customHeight="1" thickBot="1">
      <c r="A39" s="3775"/>
      <c r="B39" s="3772"/>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77" t="s">
        <v>2611</v>
      </c>
      <c r="B41" s="3770" t="s">
        <v>2635</v>
      </c>
      <c r="C41" s="3101" t="s">
        <v>2480</v>
      </c>
      <c r="D41" s="3102"/>
      <c r="E41" s="3103">
        <v>1</v>
      </c>
      <c r="F41" s="3104" t="s">
        <v>2481</v>
      </c>
      <c r="G41" s="3104"/>
    </row>
    <row r="42" spans="1:7" ht="19.5" customHeight="1">
      <c r="A42" s="3778"/>
      <c r="B42" s="3771"/>
      <c r="C42" s="3105" t="s">
        <v>2482</v>
      </c>
      <c r="D42" s="3106"/>
      <c r="E42" s="3107">
        <v>1</v>
      </c>
      <c r="F42" s="3104" t="s">
        <v>2483</v>
      </c>
      <c r="G42" s="3104"/>
    </row>
    <row r="43" spans="1:7" ht="19.5" customHeight="1">
      <c r="A43" s="3778"/>
      <c r="B43" s="3780"/>
      <c r="C43" s="3105" t="s">
        <v>2484</v>
      </c>
      <c r="D43" s="3106"/>
      <c r="E43" s="3107">
        <v>1.5</v>
      </c>
      <c r="F43" s="3104" t="s">
        <v>2485</v>
      </c>
      <c r="G43" s="3104"/>
    </row>
    <row r="44" spans="1:7" ht="19.5" customHeight="1">
      <c r="A44" s="3778"/>
      <c r="B44" s="3116" t="s">
        <v>2636</v>
      </c>
      <c r="C44" s="3105" t="s">
        <v>2637</v>
      </c>
      <c r="D44" s="3106"/>
      <c r="E44" s="3107">
        <v>2</v>
      </c>
      <c r="F44" s="3104" t="s">
        <v>2486</v>
      </c>
      <c r="G44" s="3104"/>
    </row>
    <row r="45" spans="1:7" ht="19.5" customHeight="1">
      <c r="A45" s="3778"/>
      <c r="B45" s="3776" t="s">
        <v>2638</v>
      </c>
      <c r="C45" s="3105" t="s">
        <v>2487</v>
      </c>
      <c r="D45" s="3106"/>
      <c r="E45" s="3107">
        <v>1</v>
      </c>
      <c r="F45" s="3104" t="s">
        <v>2488</v>
      </c>
      <c r="G45" s="3104"/>
    </row>
    <row r="46" spans="1:7" ht="19.5" customHeight="1">
      <c r="A46" s="3778"/>
      <c r="B46" s="3771"/>
      <c r="C46" s="3105" t="s">
        <v>2489</v>
      </c>
      <c r="D46" s="3106"/>
      <c r="E46" s="3107">
        <v>1</v>
      </c>
      <c r="F46" s="3104" t="s">
        <v>2490</v>
      </c>
      <c r="G46" s="3104"/>
    </row>
    <row r="47" spans="1:7" ht="19.5" customHeight="1">
      <c r="A47" s="3778"/>
      <c r="B47" s="3771"/>
      <c r="C47" s="3105" t="s">
        <v>2491</v>
      </c>
      <c r="D47" s="3106"/>
      <c r="E47" s="3107">
        <v>1</v>
      </c>
      <c r="F47" s="3104" t="s">
        <v>2492</v>
      </c>
      <c r="G47" s="3104"/>
    </row>
    <row r="48" spans="1:7" ht="19.5" customHeight="1">
      <c r="A48" s="3778"/>
      <c r="B48" s="3771"/>
      <c r="C48" s="3105" t="s">
        <v>2493</v>
      </c>
      <c r="D48" s="3106"/>
      <c r="E48" s="3107">
        <v>1</v>
      </c>
      <c r="F48" s="3104" t="s">
        <v>2494</v>
      </c>
      <c r="G48" s="3104"/>
    </row>
    <row r="49" spans="1:7" ht="19.5" customHeight="1">
      <c r="A49" s="3778"/>
      <c r="B49" s="3771"/>
      <c r="C49" s="3105" t="s">
        <v>2495</v>
      </c>
      <c r="D49" s="3106"/>
      <c r="E49" s="3107">
        <v>1</v>
      </c>
      <c r="F49" s="3104" t="s">
        <v>2496</v>
      </c>
      <c r="G49" s="3104"/>
    </row>
    <row r="50" spans="1:7" ht="19.5" customHeight="1">
      <c r="A50" s="3778"/>
      <c r="B50" s="3771"/>
      <c r="C50" s="3105" t="s">
        <v>2497</v>
      </c>
      <c r="D50" s="3106"/>
      <c r="E50" s="3107">
        <v>1</v>
      </c>
      <c r="F50" s="3104" t="s">
        <v>2498</v>
      </c>
      <c r="G50" s="3104"/>
    </row>
    <row r="51" spans="1:7" ht="19.5" customHeight="1" thickBot="1">
      <c r="A51" s="3779"/>
      <c r="B51" s="3772"/>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76" t="s">
        <v>2652</v>
      </c>
      <c r="C73" s="3090" t="s">
        <v>2653</v>
      </c>
      <c r="D73" s="3090" t="s">
        <v>2654</v>
      </c>
      <c r="E73" s="3116">
        <v>0.2</v>
      </c>
      <c r="F73" s="3116">
        <v>25</v>
      </c>
    </row>
    <row r="74" spans="1:7" ht="24">
      <c r="A74" s="3116">
        <v>2</v>
      </c>
      <c r="B74" s="3771"/>
      <c r="C74" s="3090" t="s">
        <v>2655</v>
      </c>
      <c r="D74" s="3090" t="s">
        <v>2656</v>
      </c>
      <c r="E74" s="3116">
        <v>0.2</v>
      </c>
      <c r="F74" s="3116">
        <v>25</v>
      </c>
    </row>
    <row r="75" spans="1:7" ht="24">
      <c r="A75" s="3116">
        <v>3</v>
      </c>
      <c r="B75" s="3771"/>
      <c r="C75" s="3090" t="s">
        <v>2657</v>
      </c>
      <c r="D75" s="3090" t="s">
        <v>2658</v>
      </c>
      <c r="E75" s="3116">
        <v>0.2</v>
      </c>
      <c r="F75" s="3116">
        <v>25</v>
      </c>
    </row>
    <row r="76" spans="1:7" ht="13.5">
      <c r="A76" s="3116">
        <v>4</v>
      </c>
      <c r="B76" s="3771"/>
      <c r="C76" s="3090" t="s">
        <v>2659</v>
      </c>
      <c r="D76" s="3090" t="s">
        <v>2660</v>
      </c>
      <c r="E76" s="3116">
        <v>0.15</v>
      </c>
      <c r="F76" s="3116">
        <v>20</v>
      </c>
    </row>
    <row r="77" spans="1:7" ht="24">
      <c r="A77" s="3116">
        <v>5</v>
      </c>
      <c r="B77" s="3771"/>
      <c r="C77" s="3090" t="s">
        <v>2661</v>
      </c>
      <c r="D77" s="3090" t="s">
        <v>2662</v>
      </c>
      <c r="E77" s="3116">
        <v>0.15</v>
      </c>
      <c r="F77" s="3116">
        <v>20</v>
      </c>
    </row>
    <row r="78" spans="1:7" ht="24">
      <c r="A78" s="3116">
        <v>6</v>
      </c>
      <c r="B78" s="3771"/>
      <c r="C78" s="3090" t="s">
        <v>2663</v>
      </c>
      <c r="D78" s="3090" t="s">
        <v>2664</v>
      </c>
      <c r="E78" s="3116">
        <v>0.15</v>
      </c>
      <c r="F78" s="3116">
        <v>20</v>
      </c>
    </row>
    <row r="79" spans="1:7" ht="24">
      <c r="A79" s="3116">
        <v>7</v>
      </c>
      <c r="B79" s="3771"/>
      <c r="C79" s="3090" t="s">
        <v>2665</v>
      </c>
      <c r="D79" s="3090" t="s">
        <v>2666</v>
      </c>
      <c r="E79" s="3116">
        <v>0.15</v>
      </c>
      <c r="F79" s="3116">
        <v>20</v>
      </c>
    </row>
    <row r="80" spans="1:7" ht="24">
      <c r="A80" s="3116">
        <v>8</v>
      </c>
      <c r="B80" s="3771"/>
      <c r="C80" s="3090" t="s">
        <v>2667</v>
      </c>
      <c r="D80" s="3090" t="s">
        <v>2668</v>
      </c>
      <c r="E80" s="3116">
        <v>0.1</v>
      </c>
      <c r="F80" s="3116">
        <v>15</v>
      </c>
    </row>
    <row r="81" spans="1:6" ht="24">
      <c r="A81" s="3116">
        <v>9</v>
      </c>
      <c r="B81" s="3771"/>
      <c r="C81" s="3090" t="s">
        <v>2669</v>
      </c>
      <c r="D81" s="3090" t="s">
        <v>2670</v>
      </c>
      <c r="E81" s="3116">
        <v>0.1</v>
      </c>
      <c r="F81" s="3116">
        <v>15</v>
      </c>
    </row>
    <row r="82" spans="1:6" ht="24">
      <c r="A82" s="3116">
        <v>10</v>
      </c>
      <c r="B82" s="3771"/>
      <c r="C82" s="3090" t="s">
        <v>2671</v>
      </c>
      <c r="D82" s="3090" t="s">
        <v>2672</v>
      </c>
      <c r="E82" s="3116">
        <v>0.1</v>
      </c>
      <c r="F82" s="3116">
        <v>15</v>
      </c>
    </row>
    <row r="83" spans="1:6" ht="24">
      <c r="A83" s="3116">
        <v>11</v>
      </c>
      <c r="B83" s="3771"/>
      <c r="C83" s="3090" t="s">
        <v>2673</v>
      </c>
      <c r="D83" s="3090" t="s">
        <v>2674</v>
      </c>
      <c r="E83" s="3116">
        <v>0.1</v>
      </c>
      <c r="F83" s="3116">
        <v>15</v>
      </c>
    </row>
    <row r="84" spans="1:6" ht="24">
      <c r="A84" s="3116">
        <v>12</v>
      </c>
      <c r="B84" s="3771"/>
      <c r="C84" s="3090" t="s">
        <v>2675</v>
      </c>
      <c r="D84" s="3090" t="s">
        <v>2676</v>
      </c>
      <c r="E84" s="3116">
        <v>0.1</v>
      </c>
      <c r="F84" s="3116">
        <v>15</v>
      </c>
    </row>
    <row r="85" spans="1:6" ht="13.5">
      <c r="A85" s="3116">
        <v>13</v>
      </c>
      <c r="B85" s="3771"/>
      <c r="C85" s="3090" t="s">
        <v>2677</v>
      </c>
      <c r="D85" s="3090" t="s">
        <v>2678</v>
      </c>
      <c r="E85" s="3116">
        <v>0.1</v>
      </c>
      <c r="F85" s="3116">
        <v>15</v>
      </c>
    </row>
    <row r="86" spans="1:6" ht="13.5">
      <c r="A86" s="3116">
        <v>14</v>
      </c>
      <c r="B86" s="3771"/>
      <c r="C86" s="3090" t="s">
        <v>2679</v>
      </c>
      <c r="D86" s="3090" t="s">
        <v>2680</v>
      </c>
      <c r="E86" s="3116">
        <v>0.1</v>
      </c>
      <c r="F86" s="3116">
        <v>15</v>
      </c>
    </row>
    <row r="87" spans="1:6" ht="13.5">
      <c r="A87" s="3116">
        <v>15</v>
      </c>
      <c r="B87" s="3771"/>
      <c r="C87" s="3090" t="s">
        <v>2681</v>
      </c>
      <c r="D87" s="3090" t="s">
        <v>2682</v>
      </c>
      <c r="E87" s="3116">
        <v>0.1</v>
      </c>
      <c r="F87" s="3116">
        <v>15</v>
      </c>
    </row>
    <row r="88" spans="1:6" ht="24">
      <c r="A88" s="3116">
        <v>16</v>
      </c>
      <c r="B88" s="3771"/>
      <c r="C88" s="3090" t="s">
        <v>2683</v>
      </c>
      <c r="D88" s="3090" t="s">
        <v>2684</v>
      </c>
      <c r="E88" s="3116">
        <v>0.1</v>
      </c>
      <c r="F88" s="3116">
        <v>15</v>
      </c>
    </row>
    <row r="89" spans="1:6" ht="24">
      <c r="A89" s="3116">
        <v>17</v>
      </c>
      <c r="B89" s="3780"/>
      <c r="C89" s="3090" t="s">
        <v>2685</v>
      </c>
      <c r="D89" s="3090" t="s">
        <v>2686</v>
      </c>
      <c r="E89" s="3116">
        <v>0.1</v>
      </c>
      <c r="F89" s="3116">
        <v>15</v>
      </c>
    </row>
    <row r="90" spans="1:6" ht="13.5">
      <c r="A90" s="3116">
        <v>18</v>
      </c>
      <c r="B90" s="3776" t="s">
        <v>2687</v>
      </c>
      <c r="C90" s="3090" t="s">
        <v>2688</v>
      </c>
      <c r="D90" s="3090" t="s">
        <v>2689</v>
      </c>
      <c r="E90" s="3116">
        <v>0.2</v>
      </c>
      <c r="F90" s="3116">
        <v>25</v>
      </c>
    </row>
    <row r="91" spans="1:6" ht="24">
      <c r="A91" s="3116">
        <v>19</v>
      </c>
      <c r="B91" s="3771"/>
      <c r="C91" s="3090" t="s">
        <v>2690</v>
      </c>
      <c r="D91" s="3090" t="s">
        <v>2691</v>
      </c>
      <c r="E91" s="3116">
        <v>0.2</v>
      </c>
      <c r="F91" s="3116">
        <v>25</v>
      </c>
    </row>
    <row r="92" spans="1:6" ht="13.5">
      <c r="A92" s="3116">
        <v>20</v>
      </c>
      <c r="B92" s="3771"/>
      <c r="C92" s="3090" t="s">
        <v>2692</v>
      </c>
      <c r="D92" s="3090" t="s">
        <v>2693</v>
      </c>
      <c r="E92" s="3116">
        <v>0.15</v>
      </c>
      <c r="F92" s="3116">
        <v>20</v>
      </c>
    </row>
    <row r="93" spans="1:6" ht="13.5">
      <c r="A93" s="3116">
        <v>21</v>
      </c>
      <c r="B93" s="3771"/>
      <c r="C93" s="3090" t="s">
        <v>2694</v>
      </c>
      <c r="D93" s="3090" t="s">
        <v>2695</v>
      </c>
      <c r="E93" s="3116">
        <v>0.15</v>
      </c>
      <c r="F93" s="3116">
        <v>20</v>
      </c>
    </row>
    <row r="94" spans="1:6" ht="13.5">
      <c r="A94" s="3116">
        <v>22</v>
      </c>
      <c r="B94" s="3771"/>
      <c r="C94" s="3090" t="s">
        <v>2696</v>
      </c>
      <c r="D94" s="3090" t="s">
        <v>2697</v>
      </c>
      <c r="E94" s="3116">
        <v>0.15</v>
      </c>
      <c r="F94" s="3116">
        <v>20</v>
      </c>
    </row>
    <row r="95" spans="1:6" ht="36">
      <c r="A95" s="3116">
        <v>23</v>
      </c>
      <c r="B95" s="3771"/>
      <c r="C95" s="3090" t="s">
        <v>2698</v>
      </c>
      <c r="D95" s="3090" t="s">
        <v>2699</v>
      </c>
      <c r="E95" s="3116">
        <v>0.15</v>
      </c>
      <c r="F95" s="3116">
        <v>20</v>
      </c>
    </row>
    <row r="96" spans="1:6" ht="13.5">
      <c r="A96" s="3116">
        <v>24</v>
      </c>
      <c r="B96" s="3771"/>
      <c r="C96" s="3090" t="s">
        <v>2700</v>
      </c>
      <c r="D96" s="3090" t="s">
        <v>2701</v>
      </c>
      <c r="E96" s="3116">
        <v>0.1</v>
      </c>
      <c r="F96" s="3116">
        <v>15</v>
      </c>
    </row>
    <row r="97" spans="1:6" ht="13.5">
      <c r="A97" s="3116">
        <v>25</v>
      </c>
      <c r="B97" s="3771"/>
      <c r="C97" s="3090" t="s">
        <v>2702</v>
      </c>
      <c r="D97" s="3090" t="s">
        <v>2703</v>
      </c>
      <c r="E97" s="3116">
        <v>0.1</v>
      </c>
      <c r="F97" s="3116">
        <v>15</v>
      </c>
    </row>
    <row r="98" spans="1:6" ht="24">
      <c r="A98" s="3116">
        <v>26</v>
      </c>
      <c r="B98" s="3771"/>
      <c r="C98" s="3090" t="s">
        <v>2704</v>
      </c>
      <c r="D98" s="3090" t="s">
        <v>2705</v>
      </c>
      <c r="E98" s="3116">
        <v>0.1</v>
      </c>
      <c r="F98" s="3116">
        <v>15</v>
      </c>
    </row>
    <row r="99" spans="1:6" ht="24">
      <c r="A99" s="3116">
        <v>27</v>
      </c>
      <c r="B99" s="3771"/>
      <c r="C99" s="3090" t="s">
        <v>2706</v>
      </c>
      <c r="D99" s="3090" t="s">
        <v>2707</v>
      </c>
      <c r="E99" s="3116">
        <v>0.1</v>
      </c>
      <c r="F99" s="3116">
        <v>15</v>
      </c>
    </row>
    <row r="100" spans="1:6" ht="13.5">
      <c r="A100" s="3116">
        <v>28</v>
      </c>
      <c r="B100" s="3771"/>
      <c r="C100" s="3090" t="s">
        <v>2708</v>
      </c>
      <c r="D100" s="3090" t="s">
        <v>2709</v>
      </c>
      <c r="E100" s="3116">
        <v>0.1</v>
      </c>
      <c r="F100" s="3116">
        <v>15</v>
      </c>
    </row>
    <row r="101" spans="1:6" ht="13.5">
      <c r="A101" s="3116">
        <v>29</v>
      </c>
      <c r="B101" s="3771"/>
      <c r="C101" s="3090" t="s">
        <v>2710</v>
      </c>
      <c r="D101" s="3090" t="s">
        <v>2711</v>
      </c>
      <c r="E101" s="3116">
        <v>0.1</v>
      </c>
      <c r="F101" s="3116">
        <v>15</v>
      </c>
    </row>
    <row r="102" spans="1:6" ht="13.5">
      <c r="A102" s="3116">
        <v>30</v>
      </c>
      <c r="B102" s="3771"/>
      <c r="C102" s="3090" t="s">
        <v>2712</v>
      </c>
      <c r="D102" s="3090" t="s">
        <v>2713</v>
      </c>
      <c r="E102" s="3116">
        <v>0.1</v>
      </c>
      <c r="F102" s="3116">
        <v>15</v>
      </c>
    </row>
    <row r="103" spans="1:6" ht="24">
      <c r="A103" s="3116">
        <v>31</v>
      </c>
      <c r="B103" s="3771"/>
      <c r="C103" s="3090" t="s">
        <v>2714</v>
      </c>
      <c r="D103" s="3090" t="s">
        <v>2715</v>
      </c>
      <c r="E103" s="3116">
        <v>0.1</v>
      </c>
      <c r="F103" s="3116">
        <v>15</v>
      </c>
    </row>
    <row r="104" spans="1:6" ht="24">
      <c r="A104" s="3116">
        <v>32</v>
      </c>
      <c r="B104" s="3771"/>
      <c r="C104" s="3090" t="s">
        <v>2716</v>
      </c>
      <c r="D104" s="3090" t="s">
        <v>2717</v>
      </c>
      <c r="E104" s="3116">
        <v>0.1</v>
      </c>
      <c r="F104" s="3116">
        <v>15</v>
      </c>
    </row>
    <row r="105" spans="1:6" ht="24">
      <c r="A105" s="3116">
        <v>33</v>
      </c>
      <c r="B105" s="3771"/>
      <c r="C105" s="3090" t="s">
        <v>2718</v>
      </c>
      <c r="D105" s="3090" t="s">
        <v>2719</v>
      </c>
      <c r="E105" s="3116">
        <v>0.1</v>
      </c>
      <c r="F105" s="3116">
        <v>15</v>
      </c>
    </row>
    <row r="106" spans="1:6" ht="24">
      <c r="A106" s="3116">
        <v>34</v>
      </c>
      <c r="B106" s="3780"/>
      <c r="C106" s="3090" t="s">
        <v>2720</v>
      </c>
      <c r="D106" s="3090" t="s">
        <v>2721</v>
      </c>
      <c r="E106" s="3116">
        <v>0.1</v>
      </c>
      <c r="F106" s="3116">
        <v>15</v>
      </c>
    </row>
    <row r="107" spans="1:6" ht="24">
      <c r="A107" s="3116">
        <v>35</v>
      </c>
      <c r="B107" s="3776" t="s">
        <v>2722</v>
      </c>
      <c r="C107" s="3116" t="s">
        <v>2723</v>
      </c>
      <c r="D107" s="3090" t="s">
        <v>2724</v>
      </c>
      <c r="E107" s="3116">
        <v>0.15</v>
      </c>
      <c r="F107" s="3116">
        <v>20</v>
      </c>
    </row>
    <row r="108" spans="1:6" ht="13.5">
      <c r="A108" s="3116">
        <v>36</v>
      </c>
      <c r="B108" s="3771"/>
      <c r="C108" s="3116" t="s">
        <v>2725</v>
      </c>
      <c r="D108" s="3090" t="s">
        <v>2726</v>
      </c>
      <c r="E108" s="3116">
        <v>0.15</v>
      </c>
      <c r="F108" s="3116">
        <v>20</v>
      </c>
    </row>
    <row r="109" spans="1:6" ht="13.5">
      <c r="A109" s="3116">
        <v>37</v>
      </c>
      <c r="B109" s="3771"/>
      <c r="C109" s="3116" t="s">
        <v>2727</v>
      </c>
      <c r="D109" s="3090" t="s">
        <v>2728</v>
      </c>
      <c r="E109" s="3116">
        <v>0.15</v>
      </c>
      <c r="F109" s="3116">
        <v>20</v>
      </c>
    </row>
    <row r="110" spans="1:6" ht="13.5">
      <c r="A110" s="3116">
        <v>38</v>
      </c>
      <c r="B110" s="3771"/>
      <c r="C110" s="3116" t="s">
        <v>2729</v>
      </c>
      <c r="D110" s="3090" t="s">
        <v>2730</v>
      </c>
      <c r="E110" s="3116">
        <v>0.1</v>
      </c>
      <c r="F110" s="3116">
        <v>15</v>
      </c>
    </row>
    <row r="111" spans="1:6" ht="24">
      <c r="A111" s="3116">
        <v>39</v>
      </c>
      <c r="B111" s="3771"/>
      <c r="C111" s="3116" t="s">
        <v>2731</v>
      </c>
      <c r="D111" s="3090" t="s">
        <v>2732</v>
      </c>
      <c r="E111" s="3116">
        <v>0.1</v>
      </c>
      <c r="F111" s="3116">
        <v>15</v>
      </c>
    </row>
    <row r="112" spans="1:6" ht="24">
      <c r="A112" s="3116">
        <v>40</v>
      </c>
      <c r="B112" s="3780"/>
      <c r="C112" s="3116" t="s">
        <v>2733</v>
      </c>
      <c r="D112" s="3090" t="s">
        <v>2734</v>
      </c>
      <c r="E112" s="3116">
        <v>0.1</v>
      </c>
      <c r="F112" s="3116">
        <v>15</v>
      </c>
    </row>
    <row r="113" spans="1:6" ht="13.5">
      <c r="A113" s="3116">
        <v>41</v>
      </c>
      <c r="B113" s="3781" t="s">
        <v>2735</v>
      </c>
      <c r="C113" s="3116" t="s">
        <v>2736</v>
      </c>
      <c r="D113" s="3090" t="s">
        <v>2737</v>
      </c>
      <c r="E113" s="3116">
        <v>0.1</v>
      </c>
      <c r="F113" s="3116">
        <v>15</v>
      </c>
    </row>
    <row r="114" spans="1:6" ht="13.5">
      <c r="A114" s="3116">
        <v>42</v>
      </c>
      <c r="B114" s="3781"/>
      <c r="C114" s="3116" t="s">
        <v>2738</v>
      </c>
      <c r="D114" s="3090" t="s">
        <v>2739</v>
      </c>
      <c r="E114" s="3116">
        <v>0.1</v>
      </c>
      <c r="F114" s="3116">
        <v>15</v>
      </c>
    </row>
    <row r="115" spans="1:6" ht="24">
      <c r="A115" s="3116">
        <v>43</v>
      </c>
      <c r="B115" s="3781"/>
      <c r="C115" s="3116" t="s">
        <v>2740</v>
      </c>
      <c r="D115" s="3090" t="s">
        <v>2741</v>
      </c>
      <c r="E115" s="3116">
        <v>0.1</v>
      </c>
      <c r="F115" s="3116">
        <v>15</v>
      </c>
    </row>
    <row r="116" spans="1:6" ht="13.5">
      <c r="A116" s="3116">
        <v>44</v>
      </c>
      <c r="B116" s="3776" t="s">
        <v>2742</v>
      </c>
      <c r="C116" s="3116" t="s">
        <v>2743</v>
      </c>
      <c r="D116" s="3090" t="s">
        <v>2744</v>
      </c>
      <c r="E116" s="3116">
        <v>0.1</v>
      </c>
      <c r="F116" s="3116">
        <v>15</v>
      </c>
    </row>
    <row r="117" spans="1:6" ht="24">
      <c r="A117" s="3116">
        <v>45</v>
      </c>
      <c r="B117" s="3780"/>
      <c r="C117" s="3090" t="s">
        <v>2745</v>
      </c>
      <c r="D117" s="3090" t="s">
        <v>2746</v>
      </c>
      <c r="E117" s="3116">
        <v>0.1</v>
      </c>
      <c r="F117" s="3116">
        <v>15</v>
      </c>
    </row>
    <row r="118" spans="1:6" ht="24">
      <c r="A118" s="3116">
        <v>46</v>
      </c>
      <c r="B118" s="3776" t="s">
        <v>2747</v>
      </c>
      <c r="C118" s="3116" t="s">
        <v>2748</v>
      </c>
      <c r="D118" s="3090" t="s">
        <v>2749</v>
      </c>
      <c r="E118" s="3116">
        <v>0.1</v>
      </c>
      <c r="F118" s="3116">
        <v>15</v>
      </c>
    </row>
    <row r="119" spans="1:6" ht="24">
      <c r="A119" s="3116">
        <v>47</v>
      </c>
      <c r="B119" s="3780"/>
      <c r="C119" s="3116" t="s">
        <v>2750</v>
      </c>
      <c r="D119" s="3090" t="s">
        <v>2751</v>
      </c>
      <c r="E119" s="3116">
        <v>0.1</v>
      </c>
      <c r="F119" s="3116">
        <v>15</v>
      </c>
    </row>
    <row r="120" spans="1:6" ht="13.5">
      <c r="A120" s="3116">
        <v>48</v>
      </c>
      <c r="B120" s="3776" t="s">
        <v>2752</v>
      </c>
      <c r="C120" s="3116" t="s">
        <v>2753</v>
      </c>
      <c r="D120" s="3090" t="s">
        <v>2754</v>
      </c>
      <c r="E120" s="3116">
        <v>0.1</v>
      </c>
      <c r="F120" s="3116">
        <v>15</v>
      </c>
    </row>
    <row r="121" spans="1:6" ht="13.5">
      <c r="A121" s="3116">
        <v>49</v>
      </c>
      <c r="B121" s="3780"/>
      <c r="C121" s="3116" t="s">
        <v>2755</v>
      </c>
      <c r="D121" s="3090" t="s">
        <v>2756</v>
      </c>
      <c r="E121" s="3116">
        <v>0.1</v>
      </c>
      <c r="F121" s="3116">
        <v>15</v>
      </c>
    </row>
    <row r="122" spans="1:6" ht="24">
      <c r="A122" s="3116">
        <v>50</v>
      </c>
      <c r="B122" s="3781" t="s">
        <v>2757</v>
      </c>
      <c r="C122" s="3116" t="s">
        <v>2758</v>
      </c>
      <c r="D122" s="3090" t="s">
        <v>2759</v>
      </c>
      <c r="E122" s="3116">
        <v>0.1</v>
      </c>
      <c r="F122" s="3116">
        <v>15</v>
      </c>
    </row>
    <row r="123" spans="1:6" ht="24">
      <c r="A123" s="3116">
        <v>51</v>
      </c>
      <c r="B123" s="3781"/>
      <c r="C123" s="3116" t="s">
        <v>2760</v>
      </c>
      <c r="D123" s="3090" t="s">
        <v>2761</v>
      </c>
      <c r="E123" s="3116">
        <v>0.1</v>
      </c>
      <c r="F123" s="3116">
        <v>15</v>
      </c>
    </row>
    <row r="124" spans="1:6" ht="24">
      <c r="A124" s="3116">
        <v>52</v>
      </c>
      <c r="B124" s="3781" t="s">
        <v>2762</v>
      </c>
      <c r="C124" s="3116" t="s">
        <v>2763</v>
      </c>
      <c r="D124" s="3090" t="s">
        <v>2764</v>
      </c>
      <c r="E124" s="3116">
        <v>0.1</v>
      </c>
      <c r="F124" s="3116">
        <v>15</v>
      </c>
    </row>
    <row r="125" spans="1:6" ht="24">
      <c r="A125" s="3116">
        <v>53</v>
      </c>
      <c r="B125" s="3781"/>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81" t="s">
        <v>2770</v>
      </c>
      <c r="C127" s="3116" t="s">
        <v>2771</v>
      </c>
      <c r="D127" s="3090" t="s">
        <v>2772</v>
      </c>
      <c r="E127" s="3116">
        <v>0.1</v>
      </c>
      <c r="F127" s="3116">
        <v>15</v>
      </c>
    </row>
    <row r="128" spans="1:6" ht="13.5">
      <c r="A128" s="3116">
        <v>56</v>
      </c>
      <c r="B128" s="3781"/>
      <c r="C128" s="3116" t="s">
        <v>2773</v>
      </c>
      <c r="D128" s="3090" t="s">
        <v>2774</v>
      </c>
      <c r="E128" s="3116">
        <v>0.1</v>
      </c>
      <c r="F128" s="3116">
        <v>15</v>
      </c>
    </row>
    <row r="129" spans="1:6" ht="24">
      <c r="A129" s="3116">
        <v>57</v>
      </c>
      <c r="B129" s="3781"/>
      <c r="C129" s="3116" t="s">
        <v>2775</v>
      </c>
      <c r="D129" s="3090" t="s">
        <v>2776</v>
      </c>
      <c r="E129" s="3116">
        <v>0.1</v>
      </c>
      <c r="F129" s="3116">
        <v>15</v>
      </c>
    </row>
    <row r="130" spans="1:6" ht="24">
      <c r="A130" s="3116">
        <v>58</v>
      </c>
      <c r="B130" s="3781" t="s">
        <v>2777</v>
      </c>
      <c r="C130" s="3116" t="s">
        <v>2778</v>
      </c>
      <c r="D130" s="3090" t="s">
        <v>2779</v>
      </c>
      <c r="E130" s="3116">
        <v>0.1</v>
      </c>
      <c r="F130" s="3116">
        <v>15</v>
      </c>
    </row>
    <row r="131" spans="1:6" ht="13.5">
      <c r="A131" s="3116">
        <v>59</v>
      </c>
      <c r="B131" s="3781"/>
      <c r="C131" s="3116" t="s">
        <v>2780</v>
      </c>
      <c r="D131" s="3090" t="s">
        <v>2781</v>
      </c>
      <c r="E131" s="3116">
        <v>0.1</v>
      </c>
      <c r="F131" s="3116">
        <v>15</v>
      </c>
    </row>
    <row r="132" spans="1:6" ht="13.5">
      <c r="A132" s="3116">
        <v>60</v>
      </c>
      <c r="B132" s="3776" t="s">
        <v>2782</v>
      </c>
      <c r="C132" s="3116" t="s">
        <v>2783</v>
      </c>
      <c r="D132" s="3090" t="s">
        <v>2784</v>
      </c>
      <c r="E132" s="3116">
        <v>0.1</v>
      </c>
      <c r="F132" s="3116">
        <v>15</v>
      </c>
    </row>
    <row r="133" spans="1:6" ht="13.5">
      <c r="A133" s="3116">
        <v>61</v>
      </c>
      <c r="B133" s="3780"/>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81" t="s">
        <v>2790</v>
      </c>
      <c r="C135" s="3116" t="s">
        <v>2791</v>
      </c>
      <c r="D135" s="3090" t="s">
        <v>2792</v>
      </c>
      <c r="E135" s="3116">
        <v>0.1</v>
      </c>
      <c r="F135" s="3116">
        <v>15</v>
      </c>
    </row>
    <row r="136" spans="1:6" ht="13.5">
      <c r="A136" s="3116">
        <v>64</v>
      </c>
      <c r="B136" s="3781"/>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2799</v>
      </c>
      <c r="B1" s="3125"/>
      <c r="C1" s="3125"/>
      <c r="D1" s="3125"/>
      <c r="E1" s="3125"/>
      <c r="F1" s="3125"/>
      <c r="G1" s="3125"/>
      <c r="H1" s="3125"/>
      <c r="I1" s="3125"/>
      <c r="J1" s="3125"/>
      <c r="K1" s="3125"/>
      <c r="L1" s="3125"/>
      <c r="M1" s="3125"/>
      <c r="N1" s="748"/>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49">
        <f>SUMPRODUCT((A95:A184=ROUNDDOWN(基准地价修正!G3,1))*(B94:M94=基准地价修正!G2)*(B95:M184))</f>
        <v>0</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49">
        <f>SUMPRODUCT((A371:A460=ROUNDDOWN(基准地价修正!G3,1))*(B370:M370=基准地价修正!G2)*(B371:M460))</f>
        <v>0</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C52</f>
        <v>29113</v>
      </c>
      <c r="C2" s="2" t="s">
        <v>106</v>
      </c>
      <c r="D2" s="199"/>
      <c r="E2" s="199"/>
      <c r="F2" s="199"/>
      <c r="G2" s="199"/>
    </row>
    <row r="3" spans="1:7" s="200" customFormat="1" ht="18" customHeight="1" thickBot="1">
      <c r="A3" s="203" t="s">
        <v>58</v>
      </c>
      <c r="B3" s="204">
        <f>ROUND(B2*10000/'数据-汇总表'!E3,0)</f>
        <v>641623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9</v>
      </c>
      <c r="D10" s="844">
        <f>'数据-汇总表'!E6</f>
        <v>453.74</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9</v>
      </c>
      <c r="D19" s="848">
        <f>'数据-汇总表'!E3</f>
        <v>453.74</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ROUND(SUM(C23:C25),0)</f>
        <v>1419</v>
      </c>
      <c r="D22" s="235">
        <f>C26</f>
        <v>6.9999999999999999E-4</v>
      </c>
      <c r="E22" s="236" t="s">
        <v>99</v>
      </c>
      <c r="F22" s="237">
        <f>'数据-取费表'!B40</f>
        <v>3.3500000000000002E-2</v>
      </c>
      <c r="G22" s="1066" t="str">
        <f>IF('数据-取费表'!B22&lt;=1,"单利计息","复利计息")</f>
        <v>复利计息</v>
      </c>
    </row>
    <row r="23" spans="1:7" s="214" customFormat="1" ht="13.5" customHeight="1">
      <c r="A23" s="779" t="s">
        <v>349</v>
      </c>
      <c r="B23" s="215" t="s">
        <v>423</v>
      </c>
      <c r="C23" s="1103">
        <f>ROUND(IF('数据-取费表'!B22&lt;=1,C5*F22*'数据-取费表'!B23,C5*(POWER((1+F22),'数据-取费表'!B23)-1)),0)</f>
        <v>1404</v>
      </c>
      <c r="D23" s="238"/>
      <c r="E23" s="238"/>
      <c r="F23" s="239"/>
      <c r="G23" s="240" t="s">
        <v>81</v>
      </c>
    </row>
    <row r="24" spans="1:7" s="214" customFormat="1" ht="13.5" customHeight="1">
      <c r="A24" s="779" t="s">
        <v>347</v>
      </c>
      <c r="B24" s="215" t="s">
        <v>418</v>
      </c>
      <c r="C24" s="1103">
        <f>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3">
        <f>ROUND(IF('数据-取费表'!B22&lt;=1,C20*F22*'数据-取费表'!B23/2,C20*(POWER((1+F22),'数据-取费表'!B23/2)-1)),0)</f>
        <v>14</v>
      </c>
      <c r="D25" s="238"/>
      <c r="E25" s="241"/>
      <c r="F25" s="239"/>
      <c r="G25" s="242" t="s">
        <v>83</v>
      </c>
    </row>
    <row r="26" spans="1:7" s="214" customFormat="1">
      <c r="A26" s="779" t="s">
        <v>350</v>
      </c>
      <c r="B26" s="215" t="s">
        <v>422</v>
      </c>
      <c r="C26" s="238">
        <f>ROUND(IF('数据-取费表'!B22&lt;=1,F21*F22*'数据-取费表'!B23/2,F21*(POWER((1+F22),'数据-取费表'!B23/2)-1)),4)</f>
        <v>6.9999999999999999E-4</v>
      </c>
      <c r="D26" s="238"/>
      <c r="E26" s="241"/>
      <c r="F26" s="239"/>
      <c r="G26" s="243"/>
    </row>
    <row r="27" spans="1:7" s="214" customFormat="1" ht="24.75">
      <c r="A27" s="776" t="s">
        <v>342</v>
      </c>
      <c r="B27" s="244" t="s">
        <v>85</v>
      </c>
      <c r="C27" s="245">
        <f>C28</f>
        <v>4206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ROUND((C5+C19+C20+C22+C27)/(1-C21-D22-D27-C30/(1+'数据-取费表'!B42)),0)</f>
        <v>28882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181</v>
      </c>
      <c r="D34" s="217"/>
      <c r="E34" s="220"/>
      <c r="F34" s="257">
        <f>IF('数据-取费表'!B24=0,1,'数据-取费表'!N16)</f>
        <v>1</v>
      </c>
      <c r="G34" s="219" t="s">
        <v>89</v>
      </c>
    </row>
    <row r="35" spans="1:7" ht="13.5" customHeight="1">
      <c r="A35" s="779" t="s">
        <v>351</v>
      </c>
      <c r="B35" s="215" t="s">
        <v>33</v>
      </c>
      <c r="C35" s="220">
        <f>ROUND(C34*F35,0)</f>
        <v>5</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9</v>
      </c>
      <c r="D37" s="217">
        <f>'数据-汇总表'!E3</f>
        <v>453.74</v>
      </c>
      <c r="E37" s="249">
        <f>'数据-取费表'!B35</f>
        <v>200</v>
      </c>
      <c r="F37" s="259"/>
      <c r="G37" s="261" t="s">
        <v>92</v>
      </c>
    </row>
    <row r="38" spans="1:7" ht="13.5" customHeight="1">
      <c r="A38" s="779" t="s">
        <v>354</v>
      </c>
      <c r="B38" s="215" t="s">
        <v>36</v>
      </c>
      <c r="C38" s="220">
        <f>ROUND(C34*F38,0)</f>
        <v>4</v>
      </c>
      <c r="D38" s="220"/>
      <c r="E38" s="220"/>
      <c r="F38" s="259">
        <f>'数据-取费表'!B36</f>
        <v>0.02</v>
      </c>
      <c r="G38" s="219" t="s">
        <v>90</v>
      </c>
    </row>
    <row r="39" spans="1:7" s="214" customFormat="1" ht="13.5" customHeight="1">
      <c r="A39" s="776" t="s">
        <v>338</v>
      </c>
      <c r="B39" s="210" t="s">
        <v>77</v>
      </c>
      <c r="C39" s="232">
        <f>ROUND(C33*F20,0)</f>
        <v>4</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ROUND(SUM(C42:C43),0)</f>
        <v>7</v>
      </c>
      <c r="D41" s="235">
        <f>C44</f>
        <v>6.9999999999999999E-4</v>
      </c>
      <c r="E41" s="236" t="s">
        <v>102</v>
      </c>
      <c r="F41" s="237"/>
      <c r="G41" s="1066" t="str">
        <f>IF('数据-取费表'!B22&lt;=1,"单利计息","复利计息")</f>
        <v>复利计息</v>
      </c>
    </row>
    <row r="42" spans="1:7" ht="13.5" customHeight="1">
      <c r="A42" s="779" t="s">
        <v>349</v>
      </c>
      <c r="B42" s="215" t="s">
        <v>423</v>
      </c>
      <c r="C42" s="238">
        <f>ROUND(IF('数据-取费表'!B22&lt;=1,C33*F22*'数据-取费表'!B21/2,C33*(POWER((1+F22),'数据-取费表'!B21/2)-1)),0)</f>
        <v>7</v>
      </c>
      <c r="D42" s="238"/>
      <c r="E42" s="238"/>
      <c r="F42" s="239"/>
      <c r="G42" s="3644" t="s">
        <v>94</v>
      </c>
    </row>
    <row r="43" spans="1:7" ht="13.5" customHeight="1">
      <c r="A43" s="779" t="s">
        <v>347</v>
      </c>
      <c r="B43" s="215" t="s">
        <v>426</v>
      </c>
      <c r="C43" s="238">
        <f>ROUND(IF('数据-取费表'!B22&lt;=1,C39*F22*'数据-取费表'!B21/2,C39*(POWER((1+F22),'数据-取费表'!B21/2)-1)),0)</f>
        <v>0</v>
      </c>
      <c r="D43" s="238"/>
      <c r="E43" s="238"/>
      <c r="F43" s="239"/>
      <c r="G43" s="3645"/>
    </row>
    <row r="44" spans="1:7" ht="13.5" customHeight="1">
      <c r="A44" s="779" t="s">
        <v>348</v>
      </c>
      <c r="B44" s="215" t="s">
        <v>428</v>
      </c>
      <c r="C44" s="238">
        <f>ROUND(IF('数据-取费表'!B22&lt;=1,C40*F22*'数据-取费表'!B21/2,C40*(POWER((1+F22),'数据-取费表'!B21/2)-1)),4)</f>
        <v>6.9999999999999999E-4</v>
      </c>
      <c r="D44" s="238"/>
      <c r="E44" s="238"/>
      <c r="F44" s="239"/>
      <c r="G44" s="3646"/>
    </row>
    <row r="45" spans="1:7" s="214" customFormat="1" ht="13.5" customHeight="1">
      <c r="A45" s="776" t="s">
        <v>341</v>
      </c>
      <c r="B45" s="244" t="s">
        <v>85</v>
      </c>
      <c r="C45" s="245">
        <f>C46</f>
        <v>41</v>
      </c>
      <c r="D45" s="235">
        <f>C47</f>
        <v>4.0000000000000001E-3</v>
      </c>
      <c r="E45" s="236" t="s">
        <v>102</v>
      </c>
      <c r="F45" s="246"/>
      <c r="G45" s="247" t="s">
        <v>434</v>
      </c>
    </row>
    <row r="46" spans="1:7" s="214" customFormat="1" ht="13.5" customHeight="1">
      <c r="A46" s="779" t="s">
        <v>349</v>
      </c>
      <c r="B46" s="248" t="s">
        <v>427</v>
      </c>
      <c r="C46" s="249">
        <f>ROUND((C33+C39)*F27,0)</f>
        <v>41</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ROUND((C33+C39+C41+C45)/(1-C40-D41-D45-C48/(1+'数据-取费表'!B42)),0)</f>
        <v>272</v>
      </c>
      <c r="D49" s="232"/>
      <c r="E49" s="232"/>
      <c r="F49" s="264"/>
      <c r="G49" s="234" t="s">
        <v>435</v>
      </c>
    </row>
    <row r="50" spans="1:7" s="258" customFormat="1" ht="24">
      <c r="A50" s="776" t="s">
        <v>344</v>
      </c>
      <c r="B50" s="210" t="s">
        <v>97</v>
      </c>
      <c r="C50" s="232"/>
      <c r="D50" s="232"/>
      <c r="E50" s="232"/>
      <c r="F50" s="264">
        <f>IF('数据-取费表'!B24=0,'数据-取费表'!N16,1)</f>
        <v>0.85</v>
      </c>
      <c r="G50" s="247" t="s">
        <v>98</v>
      </c>
    </row>
    <row r="51" spans="1:7" ht="16.5" customHeight="1">
      <c r="A51" s="776" t="s">
        <v>345</v>
      </c>
      <c r="B51" s="210" t="s">
        <v>105</v>
      </c>
      <c r="C51" s="232">
        <f>ROUND(C49*F50,0)</f>
        <v>231</v>
      </c>
      <c r="D51" s="232"/>
      <c r="E51" s="232"/>
      <c r="F51" s="264"/>
      <c r="G51" s="234" t="s">
        <v>37</v>
      </c>
    </row>
    <row r="52" spans="1:7" s="208" customFormat="1" ht="16.5" thickBot="1">
      <c r="A52" s="265" t="s">
        <v>38</v>
      </c>
      <c r="B52" s="266"/>
      <c r="C52" s="267">
        <f>C31+C51</f>
        <v>29113</v>
      </c>
      <c r="D52" s="266"/>
      <c r="E52" s="266"/>
      <c r="F52" s="266"/>
      <c r="G52" s="268"/>
    </row>
    <row r="55" spans="1:7" ht="15">
      <c r="B55" s="270" t="s">
        <v>39</v>
      </c>
      <c r="C55" s="271"/>
    </row>
    <row r="56" spans="1:7">
      <c r="B56" s="273" t="s">
        <v>40</v>
      </c>
      <c r="C56" s="274">
        <f>ROUND(C51/C52,3)</f>
        <v>8.0000000000000002E-3</v>
      </c>
    </row>
    <row r="57" spans="1:7">
      <c r="B57" s="273" t="s">
        <v>41</v>
      </c>
      <c r="C57" s="275">
        <f>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1"/>
      <c r="B4" s="3465" t="s">
        <v>917</v>
      </c>
      <c r="C4" s="3465"/>
      <c r="D4" s="3465"/>
      <c r="E4" s="1491"/>
    </row>
    <row r="5" spans="1:5" ht="16.5" thickTop="1">
      <c r="A5" s="1489"/>
      <c r="B5" s="3463" t="s">
        <v>909</v>
      </c>
      <c r="C5" s="1492" t="s">
        <v>910</v>
      </c>
      <c r="D5" s="849">
        <f ca="1">结果表!H101</f>
        <v>1258</v>
      </c>
      <c r="E5" s="1489"/>
    </row>
    <row r="6" spans="1:5" ht="15.75">
      <c r="A6" s="1489"/>
      <c r="B6" s="3463"/>
      <c r="C6" s="1492" t="s">
        <v>911</v>
      </c>
      <c r="D6" s="849" t="str">
        <f ca="1">NUMBERSTRING(INT(D5*10000),2)&amp;"元整"</f>
        <v>壹仟贰佰伍拾捌万元整</v>
      </c>
      <c r="E6" s="1489"/>
    </row>
    <row r="7" spans="1:5" ht="15.75">
      <c r="A7" s="1489"/>
      <c r="B7" s="3468"/>
      <c r="C7" s="1493" t="s">
        <v>912</v>
      </c>
      <c r="D7" s="850">
        <f ca="1">结果表!H102</f>
        <v>27717</v>
      </c>
      <c r="E7" s="1489"/>
    </row>
    <row r="8" spans="1:5" ht="15.75">
      <c r="A8" s="1489"/>
      <c r="B8" s="3469" t="str">
        <f>结果表!E103</f>
        <v>2.估价师知悉的法定优先受偿款</v>
      </c>
      <c r="C8" s="1494" t="s">
        <v>913</v>
      </c>
      <c r="D8" s="850">
        <f>结果表!H103</f>
        <v>0</v>
      </c>
      <c r="E8" s="1489"/>
    </row>
    <row r="9" spans="1:5" ht="15.75">
      <c r="A9" s="1489"/>
      <c r="B9" s="3471"/>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62" t="str">
        <f>结果表!E107</f>
        <v>3.房地产抵押价值</v>
      </c>
      <c r="C13" s="1497" t="s">
        <v>910</v>
      </c>
      <c r="D13" s="852">
        <f ca="1">结果表!H107</f>
        <v>1258</v>
      </c>
      <c r="E13" s="1489"/>
    </row>
    <row r="14" spans="1:5" ht="15.75">
      <c r="A14" s="1489"/>
      <c r="B14" s="3463"/>
      <c r="C14" s="1492" t="s">
        <v>911</v>
      </c>
      <c r="D14" s="849" t="str">
        <f ca="1">NUMBERSTRING(INT(D13*10000),2)&amp;"元整"</f>
        <v>壹仟贰佰伍拾捌万元整</v>
      </c>
      <c r="E14" s="1489"/>
    </row>
    <row r="15" spans="1:5" ht="15">
      <c r="A15" s="1489"/>
      <c r="B15" s="3468"/>
      <c r="C15" s="1493" t="s">
        <v>921</v>
      </c>
      <c r="D15" s="858">
        <f ca="1">结果表!H108</f>
        <v>27717</v>
      </c>
      <c r="E15" s="1489"/>
    </row>
    <row r="16" spans="1:5" ht="15">
      <c r="A16" s="1489"/>
      <c r="B16" s="3469" t="str">
        <f>结果表!E109</f>
        <v>——</v>
      </c>
      <c r="C16" s="1497" t="s">
        <v>922</v>
      </c>
      <c r="D16" s="1498" t="str">
        <f>结果表!H109</f>
        <v>——</v>
      </c>
      <c r="E16" s="1489"/>
    </row>
    <row r="17" spans="1:5" ht="15.75">
      <c r="A17" s="1489"/>
      <c r="B17" s="3470"/>
      <c r="C17" s="1492" t="s">
        <v>923</v>
      </c>
      <c r="D17" s="849" t="e">
        <f>NUMBERSTRING(INT(D16*10000),2)&amp;"元整"</f>
        <v>#VALUE!</v>
      </c>
      <c r="E17" s="1489"/>
    </row>
    <row r="18" spans="1:5" ht="15">
      <c r="A18" s="1489"/>
      <c r="B18" s="3471"/>
      <c r="C18" s="1493" t="s">
        <v>912</v>
      </c>
      <c r="D18" s="858" t="str">
        <f>结果表!H110</f>
        <v>——</v>
      </c>
      <c r="E18" s="1489"/>
    </row>
    <row r="19" spans="1:5" ht="15.75">
      <c r="A19" s="1489"/>
      <c r="B19" s="3462" t="str">
        <f>结果表!E111</f>
        <v>4.抵押净值</v>
      </c>
      <c r="C19" s="1497" t="s">
        <v>910</v>
      </c>
      <c r="D19" s="850">
        <f ca="1">结果表!H111</f>
        <v>1131</v>
      </c>
      <c r="E19" s="1489"/>
    </row>
    <row r="20" spans="1:5" ht="15.75">
      <c r="A20" s="1489"/>
      <c r="B20" s="3463"/>
      <c r="C20" s="1492" t="s">
        <v>923</v>
      </c>
      <c r="D20" s="849" t="str">
        <f ca="1">NUMBERSTRING(INT(D19*10000),2)&amp;"元整"</f>
        <v>壹仟壹佰叁拾壹万元整</v>
      </c>
      <c r="E20" s="1489"/>
    </row>
    <row r="21" spans="1:5" ht="15.75" thickBot="1">
      <c r="A21" s="1489"/>
      <c r="B21" s="3464"/>
      <c r="C21" s="1499" t="s">
        <v>921</v>
      </c>
      <c r="D21" s="859">
        <f ca="1">结果表!H112</f>
        <v>24926</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37" sqref="I37"/>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4" t="s">
        <v>2840</v>
      </c>
      <c r="B1" s="3784"/>
      <c r="C1" s="3784"/>
      <c r="D1" s="3784"/>
      <c r="E1" s="3784"/>
      <c r="F1" s="3784"/>
      <c r="G1" s="3785"/>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782"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783"/>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6" t="s">
        <v>3182</v>
      </c>
      <c r="B1" s="3786"/>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7" t="s">
        <v>3233</v>
      </c>
      <c r="B1" s="3787"/>
      <c r="C1" s="3787"/>
      <c r="D1" s="3787"/>
      <c r="E1" s="3787"/>
      <c r="F1" s="3788"/>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9">
        <f>基准地价修正!G23</f>
        <v>45504</v>
      </c>
      <c r="B1" s="3208" t="s">
        <v>3372</v>
      </c>
      <c r="C1" s="3209"/>
      <c r="D1" s="3209"/>
      <c r="E1" s="3209"/>
      <c r="F1" s="3209"/>
      <c r="G1" s="3209"/>
      <c r="H1" s="3209"/>
      <c r="I1" s="3209"/>
      <c r="J1" s="3163"/>
      <c r="K1" s="3209" t="s">
        <v>454</v>
      </c>
      <c r="L1" s="3209"/>
      <c r="M1" s="3209"/>
      <c r="N1" s="3209"/>
      <c r="O1" s="3209"/>
      <c r="P1" s="3209"/>
      <c r="Q1" s="3163"/>
      <c r="R1" s="3789" t="s">
        <v>456</v>
      </c>
      <c r="S1" s="3790"/>
      <c r="T1" s="3790"/>
      <c r="U1" s="3790"/>
      <c r="V1" s="3790"/>
      <c r="W1" s="3790"/>
      <c r="X1" s="3163"/>
      <c r="Y1" s="3789" t="s">
        <v>457</v>
      </c>
      <c r="Z1" s="3790"/>
      <c r="AA1" s="3790"/>
      <c r="AB1" s="3790"/>
      <c r="AC1" s="3790"/>
      <c r="AD1" s="3790"/>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ROUND(AVERAGEIF(D4:D19,"&lt;&gt;0"),2)</f>
        <v>0.68</v>
      </c>
      <c r="E3" s="3149">
        <f t="shared" ref="E3:H3" si="0">ROUND(AVERAGEIF(E4:E19,"&lt;&gt;0"),2)</f>
        <v>0.4</v>
      </c>
      <c r="F3" s="3149">
        <f t="shared" si="0"/>
        <v>0.17</v>
      </c>
      <c r="G3" s="3149">
        <f t="shared" si="0"/>
        <v>0.74</v>
      </c>
      <c r="H3" s="3149">
        <f t="shared" si="0"/>
        <v>0.62</v>
      </c>
      <c r="I3" s="3149">
        <f>F3</f>
        <v>0.17</v>
      </c>
      <c r="J3" s="3150"/>
      <c r="K3" s="3151">
        <f>ROUND(AVERAGEIF(K4:K19,"&lt;&gt;0"),4)</f>
        <v>6.7999999999999996E-3</v>
      </c>
      <c r="L3" s="3152">
        <f t="shared" ref="L3:O3" si="1">ROUND(AVERAGEIF(L4:L19,"&lt;&gt;0"),4)</f>
        <v>4.0000000000000001E-3</v>
      </c>
      <c r="M3" s="3152">
        <f t="shared" si="1"/>
        <v>1.6999999999999999E-3</v>
      </c>
      <c r="N3" s="3152">
        <f t="shared" si="1"/>
        <v>7.4000000000000003E-3</v>
      </c>
      <c r="O3" s="3152">
        <f t="shared" si="1"/>
        <v>6.1999999999999998E-3</v>
      </c>
      <c r="P3" s="3152">
        <f>M3</f>
        <v>1.6999999999999999E-3</v>
      </c>
      <c r="Q3" s="3150"/>
      <c r="R3" s="3153">
        <f>ROUND(SUMPRODUCT(PRODUCT(1+K4:K19)),4)</f>
        <v>1.0916999999999999</v>
      </c>
      <c r="S3" s="3154">
        <f t="shared" ref="S3:V3" si="2">ROUND(SUMPRODUCT(PRODUCT(1+L4:L19)),4)</f>
        <v>1.0537000000000001</v>
      </c>
      <c r="T3" s="3154">
        <f t="shared" si="2"/>
        <v>1.0224</v>
      </c>
      <c r="U3" s="3154">
        <f t="shared" si="2"/>
        <v>1.1008</v>
      </c>
      <c r="V3" s="3154">
        <f t="shared" si="2"/>
        <v>1.0843</v>
      </c>
      <c r="W3" s="3153">
        <f>T3</f>
        <v>1.0224</v>
      </c>
      <c r="X3" s="3150"/>
      <c r="Y3" s="3155">
        <f>ROUND(AVERAGEIF(Y6:Y19,"&lt;&gt;0"),4)</f>
        <v>8.6999999999999994E-3</v>
      </c>
      <c r="Z3" s="3156">
        <f t="shared" ref="Z3:AC3" si="3">ROUND(AVERAGEIF(Z6:Z19,"&lt;&gt;0"),4)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1.0811999999999999</v>
      </c>
      <c r="S5" s="3181">
        <f>ROUND(IF(项目基本情况!$B$8="出让",SUMPRODUCT(PRODUCT(1+L5:$L$19)),SUMPRODUCT(PRODUCT(1+L5:$L$18))),4)</f>
        <v>1.052</v>
      </c>
      <c r="T5" s="3181">
        <f>ROUND(IF(项目基本情况!$B$8="出让",SUMPRODUCT(PRODUCT(1+M5:$M$19)),SUMPRODUCT(PRODUCT(1+M5:$M$18))),4)</f>
        <v>1.0249999999999999</v>
      </c>
      <c r="U5" s="3181">
        <f>ROUND(IF(项目基本情况!$B$8="出让",SUMPRODUCT(PRODUCT(1+N5:$N$19)),SUMPRODUCT(PRODUCT(1+N5:$N$18))),4)</f>
        <v>1.0888</v>
      </c>
      <c r="V5" s="3181">
        <f>ROUND(IF(项目基本情况!$B$8="出让",SUMPRODUCT(PRODUCT(1+O5:$O$19)),SUMPRODUCT(PRODUCT(1+O5:$O$18))),4)</f>
        <v>1.0804</v>
      </c>
      <c r="W5" s="3181">
        <f>T5</f>
        <v>1.0249999999999999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83" customFormat="1" ht="12.75">
      <c r="A6" s="2203" t="s">
        <v>3375</v>
      </c>
      <c r="B6" s="3175">
        <v>2024</v>
      </c>
      <c r="C6" s="3176">
        <v>2</v>
      </c>
      <c r="D6" s="3177">
        <v>0</v>
      </c>
      <c r="E6" s="3177">
        <v>0</v>
      </c>
      <c r="F6" s="3177">
        <v>0</v>
      </c>
      <c r="G6" s="3177">
        <v>0</v>
      </c>
      <c r="H6" s="3177">
        <v>0</v>
      </c>
      <c r="I6" s="3178">
        <f t="shared" ref="I6:I19" si="15">F6</f>
        <v>0</v>
      </c>
      <c r="J6" s="3179"/>
      <c r="K6" s="3180">
        <f t="shared" ref="K6:O19" si="16">D6/100</f>
        <v>0</v>
      </c>
      <c r="L6" s="3170">
        <f t="shared" si="16"/>
        <v>0</v>
      </c>
      <c r="M6" s="3170">
        <f t="shared" si="16"/>
        <v>0</v>
      </c>
      <c r="N6" s="3170">
        <f t="shared" si="16"/>
        <v>0</v>
      </c>
      <c r="O6" s="3170">
        <f t="shared" si="16"/>
        <v>0</v>
      </c>
      <c r="P6" s="3170">
        <f>M6</f>
        <v>0</v>
      </c>
      <c r="Q6" s="3179"/>
      <c r="R6" s="3181">
        <f>ROUND(IF(项目基本情况!$B$8="出让",SUMPRODUCT(PRODUCT(1+K6:$K$19)),SUMPRODUCT(PRODUCT(1+K6:$K$18))),4)</f>
        <v>1.0811999999999999</v>
      </c>
      <c r="S6" s="3181">
        <f>ROUND(IF(项目基本情况!$B$8="出让",SUMPRODUCT(PRODUCT(1+L6:$L$19)),SUMPRODUCT(PRODUCT(1+L6:$L$18))),4)</f>
        <v>1.052</v>
      </c>
      <c r="T6" s="3181">
        <f>ROUND(IF(项目基本情况!$B$8="出让",SUMPRODUCT(PRODUCT(1+M6:$M$19)),SUMPRODUCT(PRODUCT(1+M6:$M$18))),4)</f>
        <v>1.0249999999999999</v>
      </c>
      <c r="U6" s="3181">
        <f>ROUND(IF(项目基本情况!$B$8="出让",SUMPRODUCT(PRODUCT(1+N6:$N$19)),SUMPRODUCT(PRODUCT(1+N6:$N$18))),4)</f>
        <v>1.0888</v>
      </c>
      <c r="V6" s="3181">
        <f>ROUND(IF(项目基本情况!$B$8="出让",SUMPRODUCT(PRODUCT(1+O6:$O$19)),SUMPRODUCT(PRODUCT(1+O6:$O$18))),4)</f>
        <v>1.0804</v>
      </c>
      <c r="W6" s="3181">
        <f>T6</f>
        <v>1.0249999999999999</v>
      </c>
      <c r="X6" s="3179"/>
      <c r="Y6" s="3182">
        <f>IF(D6=0,0,ROUND(AVERAGE(D6:D19)/100,4))</f>
        <v>0</v>
      </c>
      <c r="Z6" s="3182">
        <f t="shared" ref="Z6:AC6" si="17">IF(E6=0,0,ROUND(AVERAGE(E6:E19)/100,4))</f>
        <v>0</v>
      </c>
      <c r="AA6" s="3182">
        <f t="shared" si="17"/>
        <v>0</v>
      </c>
      <c r="AB6" s="3182">
        <f t="shared" si="17"/>
        <v>0</v>
      </c>
      <c r="AC6" s="3182">
        <f t="shared" si="17"/>
        <v>0</v>
      </c>
      <c r="AD6" s="3182">
        <f t="shared" ref="AD6:AD18" si="18">AA6</f>
        <v>0</v>
      </c>
    </row>
    <row r="7" spans="1:30" s="3193" customFormat="1" ht="12.75">
      <c r="A7" s="3184" t="s">
        <v>3377</v>
      </c>
      <c r="B7" s="3185">
        <v>2024</v>
      </c>
      <c r="C7" s="3186">
        <v>1</v>
      </c>
      <c r="D7" s="3187">
        <v>0.08</v>
      </c>
      <c r="E7" s="3187">
        <v>0.46</v>
      </c>
      <c r="F7" s="3187">
        <v>-0.16</v>
      </c>
      <c r="G7" s="3187">
        <v>0.26</v>
      </c>
      <c r="H7" s="3188">
        <v>0.59</v>
      </c>
      <c r="I7" s="3189">
        <v>0</v>
      </c>
      <c r="J7" s="3190"/>
      <c r="K7" s="3191">
        <f t="shared" ref="K7" si="19">D7/100</f>
        <v>8.0000000000000004E-4</v>
      </c>
      <c r="L7" s="3192">
        <f t="shared" ref="L7" si="20">E7/100</f>
        <v>4.5999999999999999E-3</v>
      </c>
      <c r="M7" s="3192">
        <f t="shared" ref="M7" si="21">F7/100</f>
        <v>-1.6000000000000001E-3</v>
      </c>
      <c r="N7" s="3192">
        <f t="shared" ref="N7" si="22">G7/100</f>
        <v>2.5999999999999999E-3</v>
      </c>
      <c r="O7" s="3192">
        <f t="shared" ref="O7" si="23">H7/100</f>
        <v>5.8999999999999999E-3</v>
      </c>
      <c r="P7" s="3192">
        <f t="shared" ref="P7" si="24">M7</f>
        <v>-1.6000000000000001E-3</v>
      </c>
      <c r="Q7" s="3190"/>
      <c r="R7" s="3190">
        <f>ROUND(IF(项目基本情况!$B$8="出让",SUMPRODUCT(PRODUCT(1+K7:$K$19)),SUMPRODUCT(PRODUCT(1+K7:$K$18))),4)</f>
        <v>1.0811999999999999</v>
      </c>
      <c r="S7" s="3190">
        <f>ROUND(IF(项目基本情况!$B$8="出让",SUMPRODUCT(PRODUCT(1+L7:$L$19)),SUMPRODUCT(PRODUCT(1+L7:$L$18))),4)</f>
        <v>1.052</v>
      </c>
      <c r="T7" s="3190">
        <f>ROUND(IF(项目基本情况!$B$8="出让",SUMPRODUCT(PRODUCT(1+M7:$M$19)),SUMPRODUCT(PRODUCT(1+M7:$M$18))),4)</f>
        <v>1.0249999999999999</v>
      </c>
      <c r="U7" s="3190">
        <f>ROUND(IF(项目基本情况!$B$8="出让",SUMPRODUCT(PRODUCT(1+N7:$N$19)),SUMPRODUCT(PRODUCT(1+N7:$N$18))),4)</f>
        <v>1.0888</v>
      </c>
      <c r="V7" s="3190">
        <f>ROUND(IF(项目基本情况!$B$8="出让",SUMPRODUCT(PRODUCT(1+O7:$O$19)),SUMPRODUCT(PRODUCT(1+O7:$O$18))),4)</f>
        <v>1.0804</v>
      </c>
      <c r="W7" s="3190">
        <f t="shared" ref="W7" si="25">T7</f>
        <v>1.0249999999999999</v>
      </c>
      <c r="X7" s="3190"/>
      <c r="Y7" s="3192"/>
      <c r="Z7" s="3192"/>
      <c r="AA7" s="3192"/>
      <c r="AB7" s="3192"/>
      <c r="AC7" s="3192"/>
      <c r="AD7" s="319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3376</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3371</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3370</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3369</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3365</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3356</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2821</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2822</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2823</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2824</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2825</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3367</v>
      </c>
    </row>
    <row r="22" spans="1:30" s="3007" customFormat="1">
      <c r="I22" s="3206" t="s">
        <v>2826</v>
      </c>
    </row>
    <row r="23" spans="1:30" s="3007" customFormat="1"/>
    <row r="24" spans="1:30" s="3207" customFormat="1" ht="12.75">
      <c r="B24" s="3208" t="s">
        <v>3373</v>
      </c>
      <c r="C24" s="3209"/>
      <c r="D24" s="3209"/>
      <c r="E24" s="3209"/>
      <c r="F24" s="3209"/>
      <c r="G24" s="3209"/>
      <c r="H24" s="3209"/>
      <c r="I24" s="3209"/>
      <c r="J24" s="3163"/>
      <c r="K24" s="3209" t="s">
        <v>2827</v>
      </c>
      <c r="L24" s="3209"/>
      <c r="M24" s="3209"/>
      <c r="N24" s="3209"/>
      <c r="O24" s="3209"/>
      <c r="P24" s="3209"/>
      <c r="Q24" s="3163"/>
      <c r="R24" s="3789" t="s">
        <v>2828</v>
      </c>
      <c r="S24" s="3790"/>
      <c r="T24" s="3790"/>
      <c r="U24" s="3790"/>
      <c r="V24" s="3790"/>
      <c r="W24" s="3790"/>
      <c r="X24" s="3163"/>
      <c r="Y24" s="3789" t="s">
        <v>2829</v>
      </c>
      <c r="Z24" s="3790"/>
      <c r="AA24" s="3790"/>
      <c r="AB24" s="3790"/>
      <c r="AC24" s="3790"/>
      <c r="AD24" s="3790"/>
    </row>
    <row r="25" spans="1:30" s="3141" customFormat="1" ht="14.25" thickBot="1">
      <c r="B25" s="3142"/>
      <c r="C25" s="3143"/>
      <c r="D25" s="3144" t="s">
        <v>2830</v>
      </c>
      <c r="E25" s="3145" t="s">
        <v>2831</v>
      </c>
      <c r="F25" s="3145" t="s">
        <v>2832</v>
      </c>
      <c r="G25" s="3145" t="s">
        <v>2833</v>
      </c>
      <c r="H25" s="3145"/>
      <c r="I25" s="3145" t="s">
        <v>2834</v>
      </c>
      <c r="J25" s="3146"/>
      <c r="K25" s="3144" t="s">
        <v>2830</v>
      </c>
      <c r="L25" s="3145" t="s">
        <v>2831</v>
      </c>
      <c r="M25" s="3145" t="s">
        <v>2832</v>
      </c>
      <c r="N25" s="3145" t="s">
        <v>2833</v>
      </c>
      <c r="O25" s="3145"/>
      <c r="P25" s="3145" t="s">
        <v>2834</v>
      </c>
      <c r="Q25" s="3146"/>
      <c r="R25" s="3144" t="s">
        <v>2830</v>
      </c>
      <c r="S25" s="3145" t="s">
        <v>2831</v>
      </c>
      <c r="T25" s="3145" t="s">
        <v>2832</v>
      </c>
      <c r="U25" s="3145" t="s">
        <v>2833</v>
      </c>
      <c r="V25" s="3145"/>
      <c r="W25" s="3145" t="s">
        <v>2834</v>
      </c>
      <c r="X25" s="3146"/>
      <c r="Y25" s="3144" t="s">
        <v>2830</v>
      </c>
      <c r="Z25" s="3145" t="s">
        <v>2831</v>
      </c>
      <c r="AA25" s="3145" t="s">
        <v>2832</v>
      </c>
      <c r="AB25" s="3145" t="s">
        <v>2833</v>
      </c>
      <c r="AC25" s="3145"/>
      <c r="AD25" s="3145" t="s">
        <v>2834</v>
      </c>
    </row>
    <row r="26" spans="1:30" s="3159" customFormat="1" ht="12.75">
      <c r="A26" s="3147" t="s">
        <v>2835</v>
      </c>
      <c r="B26" s="3148"/>
      <c r="C26" s="3149"/>
      <c r="D26" s="3149"/>
      <c r="E26" s="3149">
        <f t="shared" ref="E26:G26" si="43">ROUND(AVERAGEIF(E27:E42,"&lt;&gt;0"),2)</f>
        <v>0.38</v>
      </c>
      <c r="F26" s="3149">
        <f t="shared" si="43"/>
        <v>0.28999999999999998</v>
      </c>
      <c r="G26" s="3149">
        <f t="shared" si="43"/>
        <v>0.56999999999999995</v>
      </c>
      <c r="H26" s="3149"/>
      <c r="I26" s="3149">
        <f>F26</f>
        <v>0.28999999999999998</v>
      </c>
      <c r="J26" s="3150"/>
      <c r="K26" s="3151"/>
      <c r="L26" s="3152">
        <f t="shared" ref="L26:N26" si="44">ROUND(AVERAGEIF(L27:L42,"&lt;&gt;0"),4)</f>
        <v>3.8E-3</v>
      </c>
      <c r="M26" s="3152">
        <f t="shared" si="44"/>
        <v>2.8999999999999998E-3</v>
      </c>
      <c r="N26" s="3152">
        <f t="shared" si="44"/>
        <v>5.7000000000000002E-3</v>
      </c>
      <c r="O26" s="3152"/>
      <c r="P26" s="3152">
        <f>M26</f>
        <v>2.8999999999999998E-3</v>
      </c>
      <c r="Q26" s="3150"/>
      <c r="R26" s="3153"/>
      <c r="S26" s="3154">
        <f>ROUND(SUMPRODUCT(PRODUCT(1+L27:L42)),4)</f>
        <v>1.0502</v>
      </c>
      <c r="T26" s="3154">
        <f t="shared" ref="T26:U26" si="45">ROUND(SUMPRODUCT(PRODUCT(1+M27:M42)),4)</f>
        <v>1.0387999999999999</v>
      </c>
      <c r="U26" s="3154">
        <f t="shared" si="45"/>
        <v>1.0763</v>
      </c>
      <c r="V26" s="3154"/>
      <c r="W26" s="3153">
        <f>T26</f>
        <v>1.0387999999999999</v>
      </c>
      <c r="X26" s="3150"/>
      <c r="Y26" s="3155"/>
      <c r="Z26" s="3156">
        <f t="shared" ref="Z26:AB26" si="46">ROUND(AVERAGEIF(Z27:Z42,"&lt;&gt;0"),4)</f>
        <v>4.3E-3</v>
      </c>
      <c r="AA26" s="3157">
        <f t="shared" si="46"/>
        <v>3.5999999999999999E-3</v>
      </c>
      <c r="AB26" s="3155">
        <f t="shared" si="46"/>
        <v>8.8999999999999999E-3</v>
      </c>
      <c r="AC26" s="3158"/>
      <c r="AD26" s="3155">
        <f>AA26</f>
        <v>3.5999999999999999E-3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1.0465</v>
      </c>
      <c r="T28" s="3181">
        <f>ROUND(IF(项目基本情况!$B$8="出让",SUMPRODUCT(PRODUCT(1+M28:M$42)),SUMPRODUCT(PRODUCT(1+M28:M$41))),4)</f>
        <v>1.0338000000000001</v>
      </c>
      <c r="U28" s="3181">
        <f>ROUND(IF(项目基本情况!$B$8="出让",SUMPRODUCT(PRODUCT(1+N28:N$42)),SUMPRODUCT(PRODUCT(1+N28:N$41))),4)</f>
        <v>1.0659000000000001</v>
      </c>
      <c r="V28" s="3181"/>
      <c r="W28" s="3181">
        <f>T28</f>
        <v>1.0338000000000001</v>
      </c>
      <c r="X28" s="3179"/>
      <c r="Y28" s="3182"/>
      <c r="Z28" s="3210">
        <f t="shared" ref="Z28:AB29" si="51">IF(E28=0,0,ROUND(AVERAGE(E28:E41)/100,4))</f>
        <v>0</v>
      </c>
      <c r="AA28" s="3210">
        <f t="shared" si="51"/>
        <v>0</v>
      </c>
      <c r="AB28" s="3210">
        <f t="shared" si="51"/>
        <v>0</v>
      </c>
      <c r="AC28" s="3211"/>
      <c r="AD28" s="3182">
        <f>IF(I28=0,0,ROUND(AVERAGE(I28:I41)/100,4))</f>
        <v>0</v>
      </c>
    </row>
    <row r="29" spans="1:30" s="3183" customFormat="1" ht="12.75">
      <c r="A29" s="2203" t="s">
        <v>3375</v>
      </c>
      <c r="B29" s="3175">
        <v>2024</v>
      </c>
      <c r="C29" s="3176">
        <v>2</v>
      </c>
      <c r="D29" s="3177"/>
      <c r="E29" s="3177">
        <v>0</v>
      </c>
      <c r="F29" s="3177">
        <v>0</v>
      </c>
      <c r="G29" s="3177">
        <v>0</v>
      </c>
      <c r="H29" s="3177"/>
      <c r="I29" s="3178">
        <f t="shared" ref="I29:I42" si="52">F29</f>
        <v>0</v>
      </c>
      <c r="J29" s="3179"/>
      <c r="K29" s="3180"/>
      <c r="L29" s="3170">
        <f t="shared" ref="L29:N42" si="53">E29/100</f>
        <v>0</v>
      </c>
      <c r="M29" s="3170">
        <f t="shared" si="53"/>
        <v>0</v>
      </c>
      <c r="N29" s="3170">
        <f t="shared" si="53"/>
        <v>0</v>
      </c>
      <c r="O29" s="3170"/>
      <c r="P29" s="3170">
        <f>M29</f>
        <v>0</v>
      </c>
      <c r="Q29" s="3179"/>
      <c r="R29" s="3181"/>
      <c r="S29" s="3181">
        <f>ROUND(IF(项目基本情况!$B$8="出让",SUMPRODUCT(PRODUCT(1+L29:L$42)),SUMPRODUCT(PRODUCT(1+L29:L$41))),4)</f>
        <v>1.0465</v>
      </c>
      <c r="T29" s="3181">
        <f>ROUND(IF(项目基本情况!$B$8="出让",SUMPRODUCT(PRODUCT(1+M29:M$42)),SUMPRODUCT(PRODUCT(1+M29:M$41))),4)</f>
        <v>1.0338000000000001</v>
      </c>
      <c r="U29" s="3181">
        <f>ROUND(IF(项目基本情况!$B$8="出让",SUMPRODUCT(PRODUCT(1+N29:N$42)),SUMPRODUCT(PRODUCT(1+N29:N$41))),4)</f>
        <v>1.0659000000000001</v>
      </c>
      <c r="V29" s="3181"/>
      <c r="W29" s="3181">
        <f>T29</f>
        <v>1.0338000000000001</v>
      </c>
      <c r="X29" s="3179"/>
      <c r="Y29" s="3182"/>
      <c r="Z29" s="3210">
        <f t="shared" si="51"/>
        <v>0</v>
      </c>
      <c r="AA29" s="3210">
        <f t="shared" si="51"/>
        <v>0</v>
      </c>
      <c r="AB29" s="3210">
        <f t="shared" si="51"/>
        <v>0</v>
      </c>
      <c r="AC29" s="3211"/>
      <c r="AD29" s="3182">
        <f>IF(I29=0,0,ROUND(AVERAGE(I29:I42)/100,4))</f>
        <v>0</v>
      </c>
    </row>
    <row r="30" spans="1:30" s="3193" customFormat="1" ht="12.75">
      <c r="A30" s="3184" t="s">
        <v>3377</v>
      </c>
      <c r="B30" s="3185">
        <v>2024</v>
      </c>
      <c r="C30" s="3186">
        <v>1</v>
      </c>
      <c r="D30" s="3187"/>
      <c r="E30" s="3187">
        <v>0.25</v>
      </c>
      <c r="F30" s="3187">
        <v>0.4</v>
      </c>
      <c r="G30" s="3187">
        <v>-0.63</v>
      </c>
      <c r="H30" s="3188"/>
      <c r="I30" s="3189">
        <f t="shared" ref="I30:I31" si="54">F30</f>
        <v>0.4</v>
      </c>
      <c r="J30" s="3190"/>
      <c r="K30" s="3191"/>
      <c r="L30" s="3192">
        <f t="shared" ref="L30" si="55">E30/100</f>
        <v>2.5000000000000001E-3</v>
      </c>
      <c r="M30" s="3192">
        <f t="shared" ref="M30" si="56">F30/100</f>
        <v>4.0000000000000001E-3</v>
      </c>
      <c r="N30" s="3192">
        <f t="shared" ref="N30" si="57">G30/100</f>
        <v>-6.3E-3</v>
      </c>
      <c r="O30" s="3192"/>
      <c r="P30" s="3192">
        <f t="shared" ref="P30" si="58">M30</f>
        <v>4.0000000000000001E-3</v>
      </c>
      <c r="Q30" s="3190"/>
      <c r="R30" s="3190"/>
      <c r="S30" s="3190">
        <f>ROUND(IF(项目基本情况!$B$8="出让",SUMPRODUCT(PRODUCT(1+L30:L$42)),SUMPRODUCT(PRODUCT(1+L30:L$41))),4)</f>
        <v>1.0465</v>
      </c>
      <c r="T30" s="3190">
        <f>ROUND(IF(项目基本情况!$B$8="出让",SUMPRODUCT(PRODUCT(1+M30:M$42)),SUMPRODUCT(PRODUCT(1+M30:M$41))),4)</f>
        <v>1.0338000000000001</v>
      </c>
      <c r="U30" s="3190">
        <f>ROUND(IF(项目基本情况!$B$8="出让",SUMPRODUCT(PRODUCT(1+N30:N$42)),SUMPRODUCT(PRODUCT(1+N30:N$41))),4)</f>
        <v>1.0659000000000001</v>
      </c>
      <c r="V30" s="3190"/>
      <c r="W30" s="3190">
        <f t="shared" ref="W30" si="59">T30</f>
        <v>1.0338000000000001</v>
      </c>
      <c r="X30" s="3190"/>
      <c r="Y30" s="3192"/>
      <c r="Z30" s="3213"/>
      <c r="AA30" s="3214"/>
      <c r="AB30" s="3192"/>
      <c r="AC30" s="3215"/>
      <c r="AD30" s="319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3376</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3374</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3370</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3369</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3366</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3356</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2836</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2837</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2838</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2839</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2825</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3368</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3364</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3361</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3362</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3363</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2437</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79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45504</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2310</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853" t="s">
        <v>925</v>
      </c>
      <c r="E3" s="853" t="s">
        <v>931</v>
      </c>
      <c r="F3" s="853" t="s">
        <v>925</v>
      </c>
      <c r="G3" s="853" t="s">
        <v>926</v>
      </c>
      <c r="H3" s="853" t="s">
        <v>925</v>
      </c>
      <c r="I3" s="853" t="s">
        <v>926</v>
      </c>
    </row>
    <row r="4" spans="1:9" ht="30">
      <c r="A4" s="1503" t="str">
        <f>项目基本情况!S2</f>
        <v>北京市顺义区金关北二路2号院2号楼1层115房地产</v>
      </c>
      <c r="B4" s="853">
        <f>项目基本情况!C17</f>
        <v>453.74</v>
      </c>
      <c r="C4" s="853">
        <f>项目基本情况!C18</f>
        <v>0</v>
      </c>
      <c r="D4" s="853">
        <f ca="1">结果表!D118</f>
        <v>800</v>
      </c>
      <c r="E4" s="853">
        <f ca="1">结果表!E118</f>
        <v>17628</v>
      </c>
      <c r="F4" s="853">
        <f ca="1">结果表!F118</f>
        <v>458</v>
      </c>
      <c r="G4" s="853">
        <f ca="1">结果表!G118</f>
        <v>10089</v>
      </c>
      <c r="H4" s="853">
        <f ca="1">结果表!H118</f>
        <v>1258</v>
      </c>
      <c r="I4" s="853">
        <f ca="1">结果表!I118</f>
        <v>27717</v>
      </c>
    </row>
    <row r="5" spans="1:9" ht="30" customHeight="1">
      <c r="A5" s="3474" t="s">
        <v>927</v>
      </c>
      <c r="B5" s="3474"/>
      <c r="C5" s="3474"/>
      <c r="D5" s="3474" t="str">
        <f ca="1">结果表!D119</f>
        <v>捌佰万元整</v>
      </c>
      <c r="E5" s="3474"/>
      <c r="F5" s="3474" t="str">
        <f ca="1">结果表!F119</f>
        <v>肆佰伍拾捌万元整</v>
      </c>
      <c r="G5" s="3474"/>
      <c r="H5" s="3474" t="str">
        <f ca="1">结果表!H119</f>
        <v>壹仟贰佰伍拾捌万元整</v>
      </c>
      <c r="I5" s="3474"/>
    </row>
    <row r="6" spans="1:9" ht="15.75">
      <c r="A6" s="3475" t="str">
        <f>结果表!A120</f>
        <v>估价师知悉的法定优先受偿款</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75">
      <c r="A8" s="3475" t="str">
        <f>结果表!A122</f>
        <v>房地产抵押价值</v>
      </c>
      <c r="B8" s="3475"/>
      <c r="C8" s="3475"/>
      <c r="D8" s="3475">
        <f ca="1">结果表!D122</f>
        <v>1258</v>
      </c>
      <c r="E8" s="3475"/>
      <c r="F8" s="3475"/>
      <c r="G8" s="3475"/>
      <c r="H8" s="3475"/>
      <c r="I8" s="3475"/>
    </row>
    <row r="9" spans="1:9" ht="15">
      <c r="A9" s="3474" t="s">
        <v>927</v>
      </c>
      <c r="B9" s="3474"/>
      <c r="C9" s="3474"/>
      <c r="D9" s="3474" t="str">
        <f ca="1">结果表!D123</f>
        <v>壹仟贰佰伍拾捌万元整</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75">
      <c r="A12" s="3475" t="str">
        <f>结果表!A126</f>
        <v>抵押净值</v>
      </c>
      <c r="B12" s="3475"/>
      <c r="C12" s="3475"/>
      <c r="D12" s="3475">
        <f ca="1">结果表!D126</f>
        <v>1131</v>
      </c>
      <c r="E12" s="3475"/>
      <c r="F12" s="3475"/>
      <c r="G12" s="3475"/>
      <c r="H12" s="3475"/>
      <c r="I12" s="3475"/>
    </row>
    <row r="13" spans="1:9" ht="15.75" thickBot="1">
      <c r="A13" s="3479" t="s">
        <v>927</v>
      </c>
      <c r="B13" s="3479"/>
      <c r="C13" s="3479"/>
      <c r="D13" s="3479" t="str">
        <f ca="1">结果表!D127</f>
        <v>壹仟壹佰叁拾壹万元整</v>
      </c>
      <c r="E13" s="3479"/>
      <c r="F13" s="3479"/>
      <c r="G13" s="3479"/>
      <c r="H13" s="3479"/>
      <c r="I13" s="3479"/>
    </row>
    <row r="14" spans="1:9" ht="15" thickTop="1">
      <c r="A14" s="3480" t="s">
        <v>932</v>
      </c>
      <c r="B14" s="3480"/>
      <c r="C14" s="3480"/>
      <c r="D14" s="3480"/>
      <c r="E14" s="3480"/>
      <c r="F14" s="3480"/>
      <c r="G14" s="3480"/>
      <c r="H14" s="3480"/>
      <c r="I14" s="348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1" t="s">
        <v>949</v>
      </c>
      <c r="B1" s="3481"/>
      <c r="C1" s="3481"/>
      <c r="D1" s="3481"/>
    </row>
    <row r="2" spans="1:4" ht="18">
      <c r="A2" s="3482" t="s">
        <v>933</v>
      </c>
      <c r="B2" s="3482"/>
      <c r="C2" s="3482"/>
      <c r="D2" s="3482"/>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f>项目基本情况!D4</f>
        <v>0</v>
      </c>
      <c r="B5" s="1509">
        <f>项目基本情况!E4</f>
        <v>0</v>
      </c>
      <c r="C5" s="1512"/>
      <c r="D5" s="1511" t="s">
        <v>938</v>
      </c>
    </row>
    <row r="6" spans="1:4" ht="18">
      <c r="A6" s="3482" t="s">
        <v>939</v>
      </c>
      <c r="B6" s="3482"/>
      <c r="C6" s="3482"/>
      <c r="D6" s="3482"/>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483"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8"/>
      <c r="C21" s="3488"/>
      <c r="D21" s="3488"/>
    </row>
    <row r="22" spans="1:4" ht="18.75" customHeight="1">
      <c r="A22" s="3489" t="s">
        <v>945</v>
      </c>
      <c r="B22" s="3489"/>
      <c r="C22" s="3489"/>
      <c r="D22" s="348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5" t="s">
        <v>956</v>
      </c>
      <c r="B15" s="3490" t="s">
        <v>109</v>
      </c>
      <c r="C15" s="3491"/>
    </row>
    <row r="16" spans="1:7" ht="13.5">
      <c r="A16" s="3496"/>
      <c r="B16" s="3490" t="s">
        <v>42</v>
      </c>
      <c r="C16" s="3491"/>
    </row>
    <row r="17" spans="1:3" ht="13.5">
      <c r="A17" s="3496"/>
      <c r="B17" s="3493" t="s">
        <v>957</v>
      </c>
      <c r="C17" s="1530" t="s">
        <v>956</v>
      </c>
    </row>
    <row r="18" spans="1:3" ht="13.5">
      <c r="A18" s="3496"/>
      <c r="B18" s="3493"/>
      <c r="C18" s="1530" t="s">
        <v>958</v>
      </c>
    </row>
    <row r="19" spans="1:3" ht="13.5">
      <c r="A19" s="3496"/>
      <c r="B19" s="3493"/>
      <c r="C19" s="1530" t="s">
        <v>959</v>
      </c>
    </row>
    <row r="20" spans="1:3" ht="13.5">
      <c r="A20" s="3497"/>
      <c r="B20" s="3492" t="s">
        <v>960</v>
      </c>
      <c r="C20" s="3491"/>
    </row>
    <row r="21" spans="1:3" ht="13.5">
      <c r="A21" s="1531" t="s">
        <v>961</v>
      </c>
      <c r="B21" s="1532"/>
      <c r="C21" s="1533"/>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0" t="s">
        <v>967</v>
      </c>
    </row>
    <row r="26" spans="1:3" ht="13.5">
      <c r="A26" s="3494"/>
      <c r="B26" s="3493"/>
      <c r="C26" s="1530" t="s">
        <v>968</v>
      </c>
    </row>
    <row r="27" spans="1:3" ht="13.5">
      <c r="A27" s="3494"/>
      <c r="B27" s="3493"/>
      <c r="C27" s="1530" t="s">
        <v>969</v>
      </c>
    </row>
    <row r="28" spans="1:3" ht="13.5">
      <c r="A28" s="3494"/>
      <c r="B28" s="3493"/>
      <c r="C28" s="1530" t="s">
        <v>970</v>
      </c>
    </row>
    <row r="29" spans="1:3" ht="13.5">
      <c r="A29" s="3494"/>
      <c r="B29" s="3493"/>
      <c r="C29" s="1530" t="s">
        <v>971</v>
      </c>
    </row>
    <row r="30" spans="1:3" ht="13.5">
      <c r="A30" s="3494"/>
      <c r="B30" s="3493"/>
      <c r="C30" s="1530" t="s">
        <v>972</v>
      </c>
    </row>
    <row r="31" spans="1:3" ht="13.5">
      <c r="A31" s="3494"/>
      <c r="B31" s="3493"/>
      <c r="C31" s="1530" t="s">
        <v>973</v>
      </c>
    </row>
    <row r="32" spans="1:3" ht="13.5">
      <c r="A32" s="3494"/>
      <c r="B32" s="3493"/>
      <c r="C32" s="1530" t="s">
        <v>974</v>
      </c>
    </row>
    <row r="33" spans="1:3" ht="13.5">
      <c r="A33" s="3494"/>
      <c r="B33" s="349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45510</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t="str">
        <f ca="1">IF(C6&lt;B2,"已过期",1120050019)</f>
        <v>已过期</v>
      </c>
      <c r="C6" s="2343">
        <v>45410</v>
      </c>
      <c r="D6" s="2344" t="str">
        <f t="shared" ca="1" si="0"/>
        <v>王鹏（注册号：已过期）</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t="str">
        <f ca="1">IF(C13&lt;B2,"已过期",1120020033)</f>
        <v>已过期</v>
      </c>
      <c r="C13" s="2343">
        <v>45375</v>
      </c>
      <c r="D13" s="2344" t="str">
        <f t="shared" ca="1" si="0"/>
        <v>刘敬东（注册号：已过期）</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2438</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1"/>
      <c r="E18" s="3500" t="s">
        <v>2162</v>
      </c>
      <c r="F18" s="3499"/>
      <c r="G18" s="3499"/>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2439</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2024-08-06T07:27:39Z</dcterms:modified>
</cp:coreProperties>
</file>