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980" yWindow="60" windowWidth="9465" windowHeight="77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I13" i="3"/>
  <c r="Z6" i="1" l="1"/>
  <c r="AD6" i="1"/>
  <c r="AA18" i="1"/>
  <c r="AA20" i="1"/>
  <c r="Y6" i="1"/>
  <c r="U6" i="1"/>
  <c r="N6" i="1"/>
  <c r="N20" i="1"/>
  <c r="N18" i="1"/>
  <c r="F19" i="6"/>
  <c r="K13" i="3"/>
  <c r="G19" i="6" s="1"/>
  <c r="A3" i="3"/>
  <c r="E13" i="4"/>
  <c r="C37" i="78"/>
  <c r="F31" i="78"/>
  <c r="G31" i="78" s="1"/>
  <c r="E31" i="78"/>
  <c r="E32" i="78" s="1"/>
  <c r="D32" i="78"/>
  <c r="F26" i="78"/>
  <c r="G26" i="78"/>
  <c r="H26" i="78" s="1"/>
  <c r="H27" i="78" s="1"/>
  <c r="E27" i="78"/>
  <c r="F27" i="78"/>
  <c r="G27" i="78"/>
  <c r="E26" i="78"/>
  <c r="D27" i="78"/>
  <c r="E22" i="78"/>
  <c r="D22" i="78"/>
  <c r="N19" i="78"/>
  <c r="L19" i="78"/>
  <c r="M19" i="78"/>
  <c r="E19" i="78"/>
  <c r="F19" i="78"/>
  <c r="G19" i="78"/>
  <c r="H19" i="78"/>
  <c r="I19" i="78"/>
  <c r="J19" i="78"/>
  <c r="K19" i="78"/>
  <c r="D19" i="78"/>
  <c r="D16" i="78"/>
  <c r="E16" i="78"/>
  <c r="F16" i="78"/>
  <c r="G16" i="78"/>
  <c r="H16" i="78"/>
  <c r="I16" i="78"/>
  <c r="J16" i="78"/>
  <c r="K16" i="78"/>
  <c r="L16" i="78"/>
  <c r="M16" i="78"/>
  <c r="H31" i="78" l="1"/>
  <c r="G32" i="78"/>
  <c r="F32" i="78"/>
  <c r="G15" i="73"/>
  <c r="F15" i="73"/>
  <c r="E15" i="73"/>
  <c r="I31" i="78" l="1"/>
  <c r="H32" i="78"/>
  <c r="G16" i="73"/>
  <c r="F16" i="73"/>
  <c r="E16" i="73"/>
  <c r="I32" i="78" l="1"/>
  <c r="J31" i="78"/>
  <c r="J32" i="78" s="1"/>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s="1"/>
  <c r="P61" i="15"/>
  <c r="P74" i="67"/>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H112" i="9" s="1"/>
  <c r="D21" i="53" s="1"/>
  <c r="B39" i="72" s="1"/>
  <c r="A126" i="9"/>
  <c r="E109" i="9"/>
  <c r="A124" i="9" s="1"/>
  <c r="A10" i="52" s="1"/>
  <c r="B55" i="72" s="1"/>
  <c r="B44" i="72"/>
  <c r="B42" i="72"/>
  <c r="B69" i="72"/>
  <c r="B68" i="72"/>
  <c r="B63" i="72"/>
  <c r="B62" i="72"/>
  <c r="B60"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F15" i="4"/>
  <c r="F8" i="1"/>
  <c r="F9" i="1"/>
  <c r="F10" i="1"/>
  <c r="G10" i="1" s="1"/>
  <c r="F11" i="1"/>
  <c r="G11" i="1" s="1"/>
  <c r="F12" i="1"/>
  <c r="F13" i="1"/>
  <c r="D6" i="1"/>
  <c r="D9" i="1"/>
  <c r="D10" i="1"/>
  <c r="D11" i="1"/>
  <c r="D12" i="1"/>
  <c r="G12" i="1" s="1"/>
  <c r="D13" i="1"/>
  <c r="G13" i="1" s="1"/>
  <c r="D7" i="1"/>
  <c r="D8" i="1"/>
  <c r="A7" i="1"/>
  <c r="A8" i="1"/>
  <c r="B8" i="1"/>
  <c r="E8" i="1"/>
  <c r="A9" i="1"/>
  <c r="A10" i="1"/>
  <c r="A11" i="1"/>
  <c r="A12" i="1"/>
  <c r="A13" i="1"/>
  <c r="A6" i="1"/>
  <c r="G1" i="67" s="1"/>
  <c r="B11" i="1"/>
  <c r="E11" i="1"/>
  <c r="B7" i="1"/>
  <c r="E7" i="1"/>
  <c r="K10" i="1"/>
  <c r="M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c r="C57" i="40" s="1"/>
  <c r="H56" i="40"/>
  <c r="I56" i="40"/>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F39" i="43"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A24" i="51" s="1"/>
  <c r="B18" i="72" s="1"/>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R5" i="3" s="1"/>
  <c r="G28" i="6" s="1"/>
  <c r="B22" i="1"/>
  <c r="G41" i="69" s="1"/>
  <c r="B23" i="1"/>
  <c r="B24" i="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c r="BM16" i="3"/>
  <c r="BM17" i="3"/>
  <c r="BO13" i="3"/>
  <c r="BO14" i="3"/>
  <c r="BO15" i="3"/>
  <c r="BO16" i="3"/>
  <c r="BO17" i="3"/>
  <c r="BN13" i="3"/>
  <c r="BL13" i="3" s="1"/>
  <c r="BL5" i="3" s="1"/>
  <c r="BN14" i="3"/>
  <c r="BN15" i="3"/>
  <c r="BN16" i="3"/>
  <c r="BN17" i="3"/>
  <c r="BP13" i="3"/>
  <c r="BP14" i="3"/>
  <c r="BP15" i="3"/>
  <c r="BP16" i="3"/>
  <c r="BP17" i="3"/>
  <c r="E19" i="6"/>
  <c r="E20" i="6"/>
  <c r="E21" i="6"/>
  <c r="K8" i="1"/>
  <c r="M8" i="1" s="1"/>
  <c r="F23" i="15"/>
  <c r="D24" i="15" s="1"/>
  <c r="E22" i="6"/>
  <c r="E23" i="6"/>
  <c r="E24" i="6"/>
  <c r="E25" i="6"/>
  <c r="E26" i="6"/>
  <c r="BB13" i="3"/>
  <c r="BB5" i="3" s="1"/>
  <c r="E8" i="6" s="1"/>
  <c r="BC13" i="3"/>
  <c r="BD13" i="3"/>
  <c r="BE13" i="3"/>
  <c r="BF13" i="3"/>
  <c r="BF5" i="3" s="1"/>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c r="C92" i="9" s="1"/>
  <c r="J55" i="9"/>
  <c r="B31" i="1"/>
  <c r="B52" i="1"/>
  <c r="F34" i="67" s="1"/>
  <c r="F62" i="67" s="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6"/>
  <c r="C46" i="36" s="1"/>
  <c r="D46" i="36" s="1"/>
  <c r="E46" i="36" s="1"/>
  <c r="F46" i="36" s="1"/>
  <c r="G46" i="36" s="1"/>
  <c r="H46" i="36" s="1"/>
  <c r="I46" i="36" s="1"/>
  <c r="W35" i="40"/>
  <c r="J11" i="39"/>
  <c r="W11" i="39"/>
  <c r="F11" i="39"/>
  <c r="AA11" i="39"/>
  <c r="A12" i="52"/>
  <c r="B56" i="72" s="1"/>
  <c r="S11" i="39"/>
  <c r="G4" i="4"/>
  <c r="I4" i="4"/>
  <c r="K5" i="4" s="1"/>
  <c r="B47" i="48" s="1"/>
  <c r="F59" i="43"/>
  <c r="H63"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36" i="43"/>
  <c r="F81" i="43"/>
  <c r="H83" i="43" s="1"/>
  <c r="H113" i="43"/>
  <c r="F48" i="43"/>
  <c r="H53" i="43" s="1"/>
  <c r="F70" i="43"/>
  <c r="H73" i="43"/>
  <c r="M11" i="43"/>
  <c r="I17" i="43"/>
  <c r="F35" i="43"/>
  <c r="F6" i="1"/>
  <c r="U17" i="39"/>
  <c r="S14" i="35"/>
  <c r="U43" i="21"/>
  <c r="U35" i="21"/>
  <c r="AC35" i="21"/>
  <c r="U10" i="21"/>
  <c r="G8"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2" i="43"/>
  <c r="H87" i="43"/>
  <c r="K9" i="1"/>
  <c r="M9" i="1" s="1"/>
  <c r="O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Q13" i="1" s="1"/>
  <c r="R13" i="1"/>
  <c r="S11" i="1"/>
  <c r="T11" i="1" s="1"/>
  <c r="R11" i="1"/>
  <c r="S9" i="1"/>
  <c r="R9" i="1"/>
  <c r="J51" i="67"/>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M20" i="67"/>
  <c r="F34" i="15"/>
  <c r="F62" i="15" s="1"/>
  <c r="G13" i="3"/>
  <c r="G5" i="3"/>
  <c r="B3" i="3" s="1"/>
  <c r="BL17" i="3"/>
  <c r="AZ17" i="3"/>
  <c r="J56" i="9"/>
  <c r="J57" i="9" s="1"/>
  <c r="J59" i="9" s="1"/>
  <c r="J61" i="9" s="1"/>
  <c r="U29" i="34"/>
  <c r="E5" i="6"/>
  <c r="D9" i="69" s="1"/>
  <c r="E32" i="6"/>
  <c r="L19" i="6"/>
  <c r="K1" i="12"/>
  <c r="E19" i="69"/>
  <c r="E19" i="68"/>
  <c r="E19" i="11"/>
  <c r="C100" i="43"/>
  <c r="E81" i="43"/>
  <c r="B79" i="43"/>
  <c r="E48" i="43"/>
  <c r="B46" i="43"/>
  <c r="E70" i="43"/>
  <c r="B68" i="43"/>
  <c r="F100" i="43"/>
  <c r="H85" i="43"/>
  <c r="H81" i="43"/>
  <c r="H84" i="43"/>
  <c r="H88" i="43"/>
  <c r="H78" i="43"/>
  <c r="H71" i="43"/>
  <c r="K17" i="43"/>
  <c r="F34" i="43"/>
  <c r="N6" i="43"/>
  <c r="N3" i="43"/>
  <c r="F38" i="43"/>
  <c r="M9" i="43"/>
  <c r="N5" i="43"/>
  <c r="M12" i="43"/>
  <c r="C7" i="35"/>
  <c r="C48" i="35" s="1"/>
  <c r="D48" i="35" s="1"/>
  <c r="M47" i="9"/>
  <c r="T35" i="4"/>
  <c r="A19" i="51"/>
  <c r="B14" i="72" s="1"/>
  <c r="A4" i="51"/>
  <c r="B6" i="72" s="1"/>
  <c r="C4" i="12"/>
  <c r="H65" i="43"/>
  <c r="H72" i="43"/>
  <c r="L20" i="6"/>
  <c r="B6" i="1"/>
  <c r="E6" i="1" s="1"/>
  <c r="S8" i="1"/>
  <c r="K11" i="1"/>
  <c r="M11" i="1" s="1"/>
  <c r="O11" i="1" s="1"/>
  <c r="P11" i="1" s="1"/>
  <c r="AP6" i="1"/>
  <c r="B9" i="1"/>
  <c r="E9" i="1"/>
  <c r="K7"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M7" i="1"/>
  <c r="O7" i="1"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F34" i="68"/>
  <c r="R8" i="1"/>
  <c r="AE7" i="1"/>
  <c r="AE8" i="1"/>
  <c r="AG6" i="1"/>
  <c r="H109" i="9"/>
  <c r="H110" i="9"/>
  <c r="D18" i="53" s="1"/>
  <c r="B35" i="72" s="1"/>
  <c r="D124" i="9"/>
  <c r="D16" i="53"/>
  <c r="B34" i="72"/>
  <c r="D10" i="52"/>
  <c r="H14" i="74"/>
  <c r="D17" i="53"/>
  <c r="B36" i="72"/>
  <c r="D125" i="9"/>
  <c r="D11" i="52"/>
  <c r="B7" i="74"/>
  <c r="H111" i="9"/>
  <c r="D126" i="9" s="1"/>
  <c r="AD3" i="71"/>
  <c r="J1" i="73"/>
  <c r="H77" i="43"/>
  <c r="H76" i="43"/>
  <c r="H59" i="43"/>
  <c r="M4" i="43"/>
  <c r="M5" i="43"/>
  <c r="N12" i="43"/>
  <c r="N11" i="43"/>
  <c r="M10" i="43"/>
  <c r="M2" i="43"/>
  <c r="M7" i="43"/>
  <c r="H70" i="43"/>
  <c r="N9" i="43"/>
  <c r="M8" i="43"/>
  <c r="N10" i="43"/>
  <c r="H74" i="43"/>
  <c r="M6" i="43"/>
  <c r="N7" i="43"/>
  <c r="N4" i="43"/>
  <c r="N2" i="43"/>
  <c r="L17" i="43"/>
  <c r="O17" i="43"/>
  <c r="C19" i="71"/>
  <c r="D19" i="71"/>
  <c r="D20" i="71"/>
  <c r="D21" i="71"/>
  <c r="U21" i="71"/>
  <c r="S21" i="71"/>
  <c r="T21" i="71"/>
  <c r="AB19" i="71"/>
  <c r="X17" i="71"/>
  <c r="X16" i="71"/>
  <c r="AA17" i="71"/>
  <c r="AA16" i="71"/>
  <c r="X20" i="71"/>
  <c r="Z15" i="71"/>
  <c r="Y16" i="71"/>
  <c r="Z16" i="71" s="1"/>
  <c r="AB17" i="71"/>
  <c r="AB16" i="71"/>
  <c r="S17" i="71"/>
  <c r="C94" i="9"/>
  <c r="F18" i="71"/>
  <c r="F17" i="71"/>
  <c r="Y17" i="71"/>
  <c r="Z17" i="71" s="1"/>
  <c r="X3" i="71"/>
  <c r="C18" i="71"/>
  <c r="E18" i="71"/>
  <c r="E17" i="71"/>
  <c r="G20" i="43"/>
  <c r="V17" i="71"/>
  <c r="C17" i="71"/>
  <c r="D18" i="71"/>
  <c r="D15" i="71"/>
  <c r="T17" i="71"/>
  <c r="D16" i="71"/>
  <c r="D17" i="71"/>
  <c r="U17" i="71"/>
  <c r="M21" i="67"/>
  <c r="AO10" i="1"/>
  <c r="F43" i="67"/>
  <c r="D2" i="37"/>
  <c r="J15" i="67"/>
  <c r="B9" i="76"/>
  <c r="F16" i="15"/>
  <c r="M26" i="67"/>
  <c r="D2" i="21"/>
  <c r="D7" i="73"/>
  <c r="F26" i="15"/>
  <c r="B7" i="76"/>
  <c r="AO12" i="1"/>
  <c r="M22" i="15"/>
  <c r="D6" i="73"/>
  <c r="F8" i="67"/>
  <c r="M9" i="67"/>
  <c r="E11" i="76"/>
  <c r="M24" i="67"/>
  <c r="M27" i="15"/>
  <c r="AO9" i="1"/>
  <c r="F35" i="67"/>
  <c r="B8" i="76"/>
  <c r="E7" i="76"/>
  <c r="D3" i="73"/>
  <c r="AO8" i="1"/>
  <c r="F7" i="67"/>
  <c r="F36" i="67"/>
  <c r="E8" i="76"/>
  <c r="B11" i="76"/>
  <c r="L47" i="15"/>
  <c r="F16" i="67"/>
  <c r="E9" i="76"/>
  <c r="F4" i="73"/>
  <c r="M24" i="15"/>
  <c r="D2" i="33"/>
  <c r="F26" i="67"/>
  <c r="F7" i="73"/>
  <c r="D2" i="36"/>
  <c r="M22" i="67"/>
  <c r="AO11" i="1"/>
  <c r="F38" i="67"/>
  <c r="D5" i="73"/>
  <c r="F40" i="15"/>
  <c r="L47" i="67"/>
  <c r="AO13" i="1"/>
  <c r="D4" i="73"/>
  <c r="B10" i="76"/>
  <c r="F9" i="67"/>
  <c r="F6" i="73"/>
  <c r="M23" i="67"/>
  <c r="F37" i="15"/>
  <c r="L48" i="15"/>
  <c r="M28" i="67"/>
  <c r="M23" i="15"/>
  <c r="M9" i="15"/>
  <c r="E2" i="69"/>
  <c r="E12" i="76"/>
  <c r="M8" i="67"/>
  <c r="AO7" i="1"/>
  <c r="F8" i="15"/>
  <c r="F6" i="67"/>
  <c r="M6" i="15"/>
  <c r="M8" i="15"/>
  <c r="F42" i="15"/>
  <c r="F20" i="31"/>
  <c r="M27" i="67"/>
  <c r="C76" i="67"/>
  <c r="D2" i="34"/>
  <c r="M6" i="67"/>
  <c r="F40" i="67"/>
  <c r="C76" i="15"/>
  <c r="E2" i="68"/>
  <c r="E10" i="76"/>
  <c r="F13" i="15"/>
  <c r="F42" i="67"/>
  <c r="F6" i="15"/>
  <c r="B12" i="76"/>
  <c r="F37" i="67"/>
  <c r="B13" i="76"/>
  <c r="M26" i="15"/>
  <c r="M28" i="15"/>
  <c r="F13" i="67"/>
  <c r="F41" i="67"/>
  <c r="M29" i="67"/>
  <c r="F38" i="15"/>
  <c r="F3" i="73"/>
  <c r="F36" i="15"/>
  <c r="E13" i="76"/>
  <c r="L48" i="67"/>
  <c r="J15" i="15"/>
  <c r="F9" i="15"/>
  <c r="D2" i="35"/>
  <c r="F5" i="73"/>
  <c r="C18" i="9" l="1"/>
  <c r="D18" i="9" s="1"/>
  <c r="G3" i="43"/>
  <c r="Z7" i="43" s="1"/>
  <c r="H86" i="43"/>
  <c r="H56" i="43"/>
  <c r="H48" i="43"/>
  <c r="H54" i="43"/>
  <c r="H67" i="43"/>
  <c r="H55" i="43"/>
  <c r="H66" i="43"/>
  <c r="M17" i="43"/>
  <c r="H49" i="43"/>
  <c r="H60" i="43"/>
  <c r="H64" i="43"/>
  <c r="F37" i="43"/>
  <c r="C17" i="43"/>
  <c r="H17" i="43"/>
  <c r="J17" i="43"/>
  <c r="D17" i="43"/>
  <c r="H52" i="43"/>
  <c r="H62" i="43"/>
  <c r="E17" i="43"/>
  <c r="N17" i="43"/>
  <c r="H61" i="43"/>
  <c r="H51" i="43"/>
  <c r="C6" i="43"/>
  <c r="F33" i="43"/>
  <c r="D93" i="9"/>
  <c r="B41" i="1"/>
  <c r="C40" i="11"/>
  <c r="C40" i="69"/>
  <c r="C23" i="12"/>
  <c r="C9" i="69"/>
  <c r="G22" i="68"/>
  <c r="D22" i="15"/>
  <c r="D22" i="67"/>
  <c r="G22" i="69"/>
  <c r="G22" i="11"/>
  <c r="E1" i="73"/>
  <c r="K1" i="73" s="1"/>
  <c r="G26" i="12"/>
  <c r="G6" i="1"/>
  <c r="G1" i="69"/>
  <c r="K6" i="1"/>
  <c r="F3" i="35"/>
  <c r="G1" i="68"/>
  <c r="E53" i="3"/>
  <c r="E329" i="3"/>
  <c r="AI6" i="3"/>
  <c r="E181" i="3"/>
  <c r="E575" i="3"/>
  <c r="E449" i="3"/>
  <c r="E435" i="3"/>
  <c r="E88" i="3"/>
  <c r="E166" i="3"/>
  <c r="E316" i="3"/>
  <c r="E30" i="3"/>
  <c r="E467" i="3"/>
  <c r="E174" i="3"/>
  <c r="E324" i="3"/>
  <c r="E35" i="3"/>
  <c r="E206" i="3"/>
  <c r="AF6" i="3"/>
  <c r="E158" i="3"/>
  <c r="E22" i="3"/>
  <c r="E426" i="3"/>
  <c r="E205" i="3"/>
  <c r="E263" i="3"/>
  <c r="E442" i="3"/>
  <c r="E497" i="3"/>
  <c r="E121" i="3"/>
  <c r="E334" i="3"/>
  <c r="E129" i="3"/>
  <c r="E342" i="3"/>
  <c r="E251" i="3"/>
  <c r="E308" i="3"/>
  <c r="E385" i="3"/>
  <c r="E191" i="3"/>
  <c r="E199" i="3"/>
  <c r="E541" i="3"/>
  <c r="AS6" i="3"/>
  <c r="E28" i="3"/>
  <c r="E182" i="3"/>
  <c r="E273" i="3"/>
  <c r="E572" i="3"/>
  <c r="E484" i="3"/>
  <c r="E190" i="3"/>
  <c r="E522" i="3"/>
  <c r="E49" i="3"/>
  <c r="E370" i="3"/>
  <c r="E113" i="3"/>
  <c r="E326" i="3"/>
  <c r="E501" i="3"/>
  <c r="E510" i="3"/>
  <c r="E423" i="3"/>
  <c r="R6" i="3"/>
  <c r="I3" i="6"/>
  <c r="E489" i="3"/>
  <c r="E70" i="3"/>
  <c r="E211" i="3"/>
  <c r="E377" i="3"/>
  <c r="E109" i="3"/>
  <c r="E46" i="3"/>
  <c r="E220" i="3"/>
  <c r="E383" i="3"/>
  <c r="E86" i="3"/>
  <c r="E232" i="3"/>
  <c r="E102" i="3"/>
  <c r="E287" i="3"/>
  <c r="E83" i="3"/>
  <c r="E77" i="3"/>
  <c r="E404" i="3"/>
  <c r="E295" i="3"/>
  <c r="E480" i="3"/>
  <c r="E275" i="3"/>
  <c r="E34" i="3"/>
  <c r="E80" i="3"/>
  <c r="E235" i="3"/>
  <c r="T10" i="1"/>
  <c r="AR12" i="1"/>
  <c r="D9" i="11"/>
  <c r="C9" i="11" s="1"/>
  <c r="T12" i="1"/>
  <c r="P9" i="1"/>
  <c r="AR10" i="1"/>
  <c r="AQ11" i="1"/>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237" i="3"/>
  <c r="E304" i="3"/>
  <c r="E565" i="3"/>
  <c r="E213" i="3"/>
  <c r="E17" i="3"/>
  <c r="E302" i="3"/>
  <c r="E539" i="3"/>
  <c r="E567" i="3"/>
  <c r="E461" i="3"/>
  <c r="E227" i="3"/>
  <c r="E165"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56" i="3"/>
  <c r="AP6" i="3"/>
  <c r="E547" i="3"/>
  <c r="E13" i="3"/>
  <c r="E517" i="3"/>
  <c r="E403" i="3"/>
  <c r="E452"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75" i="3"/>
  <c r="E530" i="3"/>
  <c r="E343" i="3"/>
  <c r="E305" i="3"/>
  <c r="E508" i="3"/>
  <c r="O6" i="3"/>
  <c r="E574" i="3"/>
  <c r="E359" i="3"/>
  <c r="E285" i="3"/>
  <c r="E97" i="3"/>
  <c r="E390" i="3"/>
  <c r="S6" i="3"/>
  <c r="E523" i="3"/>
  <c r="E506" i="3"/>
  <c r="E418" i="3"/>
  <c r="E338" i="3"/>
  <c r="E321" i="3"/>
  <c r="E298" i="3"/>
  <c r="E169" i="3"/>
  <c r="E61" i="3"/>
  <c r="E290" i="3"/>
  <c r="E117" i="3"/>
  <c r="E85" i="3"/>
  <c r="E238" i="3"/>
  <c r="E116" i="3"/>
  <c r="E105" i="3"/>
  <c r="E393" i="3"/>
  <c r="E493" i="3"/>
  <c r="E564" i="3"/>
  <c r="E543" i="3"/>
  <c r="E427" i="3"/>
  <c r="E486" i="3"/>
  <c r="E507" i="3"/>
  <c r="E422" i="3"/>
  <c r="E440" i="3"/>
  <c r="E490" i="3"/>
  <c r="E376" i="3"/>
  <c r="E566" i="3"/>
  <c r="E557" i="3"/>
  <c r="J6" i="3"/>
  <c r="E582" i="3"/>
  <c r="E531" i="3"/>
  <c r="E419"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21" i="3"/>
  <c r="E513" i="3"/>
  <c r="E309" i="3"/>
  <c r="E283" i="3"/>
  <c r="E264" i="3"/>
  <c r="E118" i="3"/>
  <c r="E81" i="3"/>
  <c r="E63" i="3"/>
  <c r="E68" i="3"/>
  <c r="E381" i="3"/>
  <c r="E355" i="3"/>
  <c r="E184" i="3"/>
  <c r="E144" i="3"/>
  <c r="E33" i="3"/>
  <c r="E67" i="3"/>
  <c r="E84" i="3"/>
  <c r="E23" i="3"/>
  <c r="E492" i="3"/>
  <c r="E310" i="3"/>
  <c r="E371" i="3"/>
  <c r="E300" i="3"/>
  <c r="E249" i="3"/>
  <c r="E267" i="3"/>
  <c r="E200" i="3"/>
  <c r="E142" i="3"/>
  <c r="E160" i="3"/>
  <c r="E103" i="3"/>
  <c r="E96" i="3"/>
  <c r="E412" i="3"/>
  <c r="E428" i="3"/>
  <c r="E43" i="3"/>
  <c r="E60" i="3"/>
  <c r="L6" i="3"/>
  <c r="E372" i="3"/>
  <c r="E333" i="3"/>
  <c r="E346" i="3"/>
  <c r="E276" i="3"/>
  <c r="E226" i="3"/>
  <c r="E242" i="3"/>
  <c r="E202" i="3"/>
  <c r="E119" i="3"/>
  <c r="E178" i="3"/>
  <c r="E108" i="3"/>
  <c r="E25" i="3"/>
  <c r="E40" i="3"/>
  <c r="E463" i="3"/>
  <c r="E401" i="3"/>
  <c r="E483" i="3"/>
  <c r="E413" i="3"/>
  <c r="E581" i="3"/>
  <c r="AH6" i="3"/>
  <c r="E360" i="3"/>
  <c r="E408" i="3"/>
  <c r="E469" i="3"/>
  <c r="E405" i="3"/>
  <c r="E534" i="3"/>
  <c r="E369" i="3"/>
  <c r="E197" i="3"/>
  <c r="E140" i="3"/>
  <c r="E135" i="3"/>
  <c r="E216" i="3"/>
  <c r="E380" i="3"/>
  <c r="E538" i="3"/>
  <c r="AR6" i="3"/>
  <c r="E270" i="3"/>
  <c r="E337" i="3"/>
  <c r="E555" i="3"/>
  <c r="E361" i="3"/>
  <c r="E528"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64" i="3"/>
  <c r="E425" i="3"/>
  <c r="E441" i="3"/>
  <c r="E29" i="3"/>
  <c r="E44" i="3"/>
  <c r="AM6" i="3"/>
  <c r="E384" i="3"/>
  <c r="E317" i="3"/>
  <c r="E331" i="3"/>
  <c r="E291" i="3"/>
  <c r="E210" i="3"/>
  <c r="E272" i="3"/>
  <c r="E186" i="3"/>
  <c r="E126" i="3"/>
  <c r="E162" i="3"/>
  <c r="E92" i="3"/>
  <c r="E27" i="3"/>
  <c r="E71" i="3"/>
  <c r="E447" i="3"/>
  <c r="E546" i="3"/>
  <c r="E476" i="3"/>
  <c r="E494" i="3"/>
  <c r="E554" i="3"/>
  <c r="E505" i="3"/>
  <c r="E255" i="3"/>
  <c r="E430" i="3"/>
  <c r="E466" i="3"/>
  <c r="E502" i="3"/>
  <c r="E499" i="3"/>
  <c r="E286" i="3"/>
  <c r="E253" i="3"/>
  <c r="E188" i="3"/>
  <c r="E245" i="3"/>
  <c r="E382" i="3"/>
  <c r="E578" i="3"/>
  <c r="E518" i="3"/>
  <c r="E128" i="3"/>
  <c r="E352" i="3"/>
  <c r="E545" i="3"/>
  <c r="E328" i="3"/>
  <c r="E153" i="3"/>
  <c r="E319" i="3"/>
  <c r="AR9" i="1"/>
  <c r="AQ9" i="1"/>
  <c r="E233"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78" i="3"/>
  <c r="E18" i="3"/>
  <c r="E482" i="3"/>
  <c r="E488" i="3"/>
  <c r="E94" i="3"/>
  <c r="E42" i="3"/>
  <c r="AL6" i="3"/>
  <c r="E356" i="3"/>
  <c r="E391" i="3"/>
  <c r="E332" i="3"/>
  <c r="E243" i="3"/>
  <c r="E281" i="3"/>
  <c r="E225" i="3"/>
  <c r="E139" i="3"/>
  <c r="E198" i="3"/>
  <c r="E115" i="3"/>
  <c r="E41" i="3"/>
  <c r="E104" i="3"/>
  <c r="E26" i="3"/>
  <c r="E420" i="3"/>
  <c r="E470" i="3"/>
  <c r="E444" i="3"/>
  <c r="E498" i="3"/>
  <c r="E500" i="3"/>
  <c r="E558" i="3"/>
  <c r="E451" i="3"/>
  <c r="E512" i="3"/>
  <c r="E456" i="3"/>
  <c r="T6" i="3"/>
  <c r="E525" i="3"/>
  <c r="E173" i="3"/>
  <c r="E223" i="3"/>
  <c r="E161" i="3"/>
  <c r="E185" i="3"/>
  <c r="E231" i="3"/>
  <c r="E439" i="3"/>
  <c r="E561" i="3"/>
  <c r="E533" i="3"/>
  <c r="E143" i="3"/>
  <c r="E410" i="3"/>
  <c r="E388" i="3"/>
  <c r="E503" i="3"/>
  <c r="E183" i="3"/>
  <c r="E261" i="3"/>
  <c r="D9" i="68"/>
  <c r="C9" i="68" s="1"/>
  <c r="D19" i="12"/>
  <c r="C19" i="12" s="1"/>
  <c r="P7" i="1"/>
  <c r="T13" i="1"/>
  <c r="AR11" i="1"/>
  <c r="AR13" i="1"/>
  <c r="O13" i="1"/>
  <c r="P13" i="1" s="1"/>
  <c r="C36" i="69"/>
  <c r="F27" i="6"/>
  <c r="E51" i="40"/>
  <c r="E56" i="39"/>
  <c r="BN5" i="3"/>
  <c r="G29" i="6" s="1"/>
  <c r="G30" i="6" s="1"/>
  <c r="G31" i="6" s="1"/>
  <c r="F22" i="43"/>
  <c r="N101" i="43"/>
  <c r="N105" i="43" s="1"/>
  <c r="M101" i="43"/>
  <c r="M103" i="43" s="1"/>
  <c r="AJ11" i="43"/>
  <c r="AJ13" i="43" s="1"/>
  <c r="AG11" i="43"/>
  <c r="AG13" i="43" s="1"/>
  <c r="B113" i="43"/>
  <c r="D115" i="43" s="1"/>
  <c r="E115" i="43" s="1"/>
  <c r="F115" i="43" s="1"/>
  <c r="G115" i="43" s="1"/>
  <c r="H115" i="43" s="1"/>
  <c r="E101" i="43"/>
  <c r="E104" i="43" s="1"/>
  <c r="AF11" i="43"/>
  <c r="AF13" i="43" s="1"/>
  <c r="AC11" i="43"/>
  <c r="AC13" i="43" s="1"/>
  <c r="C101" i="43"/>
  <c r="C109" i="43" s="1"/>
  <c r="L101" i="43"/>
  <c r="N104" i="46"/>
  <c r="K101" i="43"/>
  <c r="K107" i="43" s="1"/>
  <c r="AB11" i="43"/>
  <c r="AB13" i="43" s="1"/>
  <c r="AQ7" i="1"/>
  <c r="Y11" i="43"/>
  <c r="Y13" i="43" s="1"/>
  <c r="O12" i="1"/>
  <c r="P12" i="1" s="1"/>
  <c r="T8" i="1"/>
  <c r="AQ8" i="1"/>
  <c r="AR8" i="1"/>
  <c r="BC5" i="3"/>
  <c r="BA13" i="3"/>
  <c r="T7" i="1"/>
  <c r="F29" i="6"/>
  <c r="E29" i="6" s="1"/>
  <c r="K15" i="1" s="1"/>
  <c r="O8" i="1"/>
  <c r="P8" i="1" s="1"/>
  <c r="O10" i="1"/>
  <c r="P10" i="1" s="1"/>
  <c r="L27" i="6"/>
  <c r="F28" i="6"/>
  <c r="T9" i="1"/>
  <c r="M109" i="43"/>
  <c r="M107" i="43"/>
  <c r="M102" i="43"/>
  <c r="M104" i="43"/>
  <c r="L105" i="43"/>
  <c r="L107" i="43"/>
  <c r="E105" i="43"/>
  <c r="E109" i="43"/>
  <c r="E106" i="43"/>
  <c r="F101" i="43"/>
  <c r="E22" i="43"/>
  <c r="H101" i="43"/>
  <c r="G22" i="43"/>
  <c r="G101" i="43"/>
  <c r="J101" i="43"/>
  <c r="H22" i="43"/>
  <c r="D101" i="43"/>
  <c r="I101" i="43"/>
  <c r="AH11" i="43"/>
  <c r="AH13" i="43" s="1"/>
  <c r="AD11" i="43"/>
  <c r="AD13" i="43" s="1"/>
  <c r="Z11" i="43"/>
  <c r="Z13" i="43" s="1"/>
  <c r="AI11" i="43"/>
  <c r="AI13" i="43" s="1"/>
  <c r="AE11" i="43"/>
  <c r="AE13" i="43" s="1"/>
  <c r="AA11" i="43"/>
  <c r="AA13" i="43" s="1"/>
  <c r="J22" i="43"/>
  <c r="G9" i="1"/>
  <c r="A4" i="52"/>
  <c r="B41" i="72" s="1"/>
  <c r="A118" i="9"/>
  <c r="I14" i="74"/>
  <c r="B8" i="74" s="1"/>
  <c r="D12" i="52"/>
  <c r="D127" i="9"/>
  <c r="D13" i="52" s="1"/>
  <c r="B19" i="53"/>
  <c r="B37" i="72" s="1"/>
  <c r="D19" i="53"/>
  <c r="A2" i="9"/>
  <c r="Y5" i="71"/>
  <c r="Z5" i="71" s="1"/>
  <c r="AA5" i="71"/>
  <c r="AB5" i="71"/>
  <c r="X5" i="71"/>
  <c r="C20" i="43"/>
  <c r="C7" i="34"/>
  <c r="C59" i="34" s="1"/>
  <c r="D59" i="34" s="1"/>
  <c r="E59" i="34" s="1"/>
  <c r="F59" i="34" s="1"/>
  <c r="G59" i="34" s="1"/>
  <c r="H59" i="34" s="1"/>
  <c r="I59" i="34" s="1"/>
  <c r="J59" i="34" s="1"/>
  <c r="G19" i="43"/>
  <c r="O19" i="43" s="1"/>
  <c r="C19" i="43" s="1"/>
  <c r="C7" i="33"/>
  <c r="C58" i="33" s="1"/>
  <c r="D58" i="33" s="1"/>
  <c r="E58" i="33" s="1"/>
  <c r="F58" i="33" s="1"/>
  <c r="G58" i="33" s="1"/>
  <c r="H58" i="33" s="1"/>
  <c r="I58" i="33" s="1"/>
  <c r="J58" i="33" s="1"/>
  <c r="K58" i="33" s="1"/>
  <c r="L58" i="33" s="1"/>
  <c r="M58" i="33" s="1"/>
  <c r="N58" i="33" s="1"/>
  <c r="O58" i="33" s="1"/>
  <c r="C7" i="40"/>
  <c r="C63" i="40" s="1"/>
  <c r="C7" i="21"/>
  <c r="C58" i="21" s="1"/>
  <c r="C7" i="39"/>
  <c r="C67" i="39" s="1"/>
  <c r="C42" i="1"/>
  <c r="E41" i="43"/>
  <c r="C41" i="43" s="1"/>
  <c r="AC21" i="39"/>
  <c r="AB23" i="39"/>
  <c r="AB15" i="39"/>
  <c r="AC15" i="39"/>
  <c r="S25" i="39"/>
  <c r="W39" i="39"/>
  <c r="W42" i="39"/>
  <c r="W14" i="39"/>
  <c r="S29" i="39"/>
  <c r="G17" i="43"/>
  <c r="C16" i="43" s="1"/>
  <c r="E11" i="43"/>
  <c r="E9" i="43"/>
  <c r="E10" i="43"/>
  <c r="E8" i="43"/>
  <c r="C7" i="43"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G1" i="73"/>
  <c r="F43" i="15"/>
  <c r="C14" i="67"/>
  <c r="C17" i="67"/>
  <c r="C16" i="67"/>
  <c r="M29" i="15"/>
  <c r="M7" i="15" l="1"/>
  <c r="J6" i="15" s="1"/>
  <c r="F50" i="15"/>
  <c r="C49" i="15" s="1"/>
  <c r="C6" i="15"/>
  <c r="C32" i="15" s="1"/>
  <c r="F71" i="15"/>
  <c r="Q16" i="1"/>
  <c r="F27" i="69" s="1"/>
  <c r="C29" i="69" s="1"/>
  <c r="D27" i="69" s="1"/>
  <c r="C5" i="43"/>
  <c r="T9" i="43" s="1"/>
  <c r="V9" i="43" s="1"/>
  <c r="F30" i="11"/>
  <c r="F52" i="9"/>
  <c r="F30" i="69"/>
  <c r="F48" i="69" s="1"/>
  <c r="F28" i="15"/>
  <c r="C28" i="15" s="1"/>
  <c r="F54" i="9"/>
  <c r="F48" i="9"/>
  <c r="O52" i="9" s="1"/>
  <c r="F32" i="67"/>
  <c r="F60" i="67" s="1"/>
  <c r="M18" i="67"/>
  <c r="J18" i="67" s="1"/>
  <c r="F32" i="15"/>
  <c r="F60" i="15" s="1"/>
  <c r="F28" i="67"/>
  <c r="C28" i="67" s="1"/>
  <c r="F53" i="9"/>
  <c r="F30" i="68"/>
  <c r="F48" i="68" s="1"/>
  <c r="F31" i="12"/>
  <c r="C31" i="12" s="1"/>
  <c r="M18" i="15"/>
  <c r="D68" i="9"/>
  <c r="G16" i="1"/>
  <c r="J10" i="40" s="1"/>
  <c r="AC10" i="40" s="1"/>
  <c r="H16" i="1"/>
  <c r="M6" i="1"/>
  <c r="F27" i="68"/>
  <c r="F45" i="68" s="1"/>
  <c r="C104" i="43"/>
  <c r="F27" i="11"/>
  <c r="C29" i="11" s="1"/>
  <c r="D27" i="11" s="1"/>
  <c r="F28" i="12"/>
  <c r="I117" i="43"/>
  <c r="J117" i="43" s="1"/>
  <c r="K117" i="43" s="1"/>
  <c r="L117" i="43" s="1"/>
  <c r="M117" i="43" s="1"/>
  <c r="B115" i="43"/>
  <c r="C115" i="43" s="1"/>
  <c r="N103" i="43"/>
  <c r="AC6" i="3"/>
  <c r="K106" i="43"/>
  <c r="H6" i="3"/>
  <c r="B117" i="43"/>
  <c r="C117" i="43" s="1"/>
  <c r="E10" i="6"/>
  <c r="E14" i="6"/>
  <c r="E11" i="6"/>
  <c r="E15" i="6"/>
  <c r="E28" i="6"/>
  <c r="F30" i="6"/>
  <c r="D117" i="43"/>
  <c r="E117" i="43" s="1"/>
  <c r="F117" i="43" s="1"/>
  <c r="G117" i="43" s="1"/>
  <c r="H117" i="43" s="1"/>
  <c r="B116" i="43"/>
  <c r="C116" i="43" s="1"/>
  <c r="G118" i="43"/>
  <c r="H118" i="43" s="1"/>
  <c r="E13" i="6"/>
  <c r="F31" i="6"/>
  <c r="C102" i="43"/>
  <c r="C107" i="43"/>
  <c r="C105" i="43"/>
  <c r="C106" i="43"/>
  <c r="I118" i="43"/>
  <c r="J118" i="43" s="1"/>
  <c r="K118" i="43" s="1"/>
  <c r="L118" i="43" s="1"/>
  <c r="M118" i="43" s="1"/>
  <c r="I115" i="43"/>
  <c r="J115" i="43" s="1"/>
  <c r="K115" i="43" s="1"/>
  <c r="L115" i="43" s="1"/>
  <c r="M115" i="43" s="1"/>
  <c r="I116" i="43"/>
  <c r="J116" i="43" s="1"/>
  <c r="K116" i="43" s="1"/>
  <c r="L116" i="43" s="1"/>
  <c r="M116" i="43" s="1"/>
  <c r="N102" i="43"/>
  <c r="N106" i="43"/>
  <c r="N109" i="43"/>
  <c r="N104" i="43"/>
  <c r="B118" i="43"/>
  <c r="C118" i="43" s="1"/>
  <c r="K102" i="43"/>
  <c r="K105" i="43"/>
  <c r="K104" i="43"/>
  <c r="K109" i="43"/>
  <c r="K103" i="43"/>
  <c r="C103" i="43"/>
  <c r="N107" i="43"/>
  <c r="D118" i="43"/>
  <c r="E118" i="43" s="1"/>
  <c r="F118" i="43" s="1"/>
  <c r="D116" i="43"/>
  <c r="E116" i="43" s="1"/>
  <c r="F116" i="43" s="1"/>
  <c r="G116" i="43" s="1"/>
  <c r="H116" i="43" s="1"/>
  <c r="E12" i="6"/>
  <c r="BA5" i="3"/>
  <c r="E27" i="6" s="1"/>
  <c r="AZ13" i="3"/>
  <c r="AZ5" i="3" s="1"/>
  <c r="L106" i="43"/>
  <c r="L103" i="43"/>
  <c r="L102" i="43"/>
  <c r="L104" i="43"/>
  <c r="L109" i="43"/>
  <c r="E102" i="43"/>
  <c r="E103" i="43"/>
  <c r="E107" i="43"/>
  <c r="M106" i="43"/>
  <c r="M105" i="43"/>
  <c r="D103" i="43"/>
  <c r="D107" i="43"/>
  <c r="D105" i="43"/>
  <c r="D102" i="43"/>
  <c r="D109" i="43"/>
  <c r="D104" i="43"/>
  <c r="D106" i="43"/>
  <c r="J107" i="43"/>
  <c r="J105" i="43"/>
  <c r="J103" i="43"/>
  <c r="J109" i="43"/>
  <c r="J106" i="43"/>
  <c r="J104" i="43"/>
  <c r="J102" i="43"/>
  <c r="D22" i="43"/>
  <c r="H107" i="43"/>
  <c r="H105" i="43"/>
  <c r="H103" i="43"/>
  <c r="H109" i="43"/>
  <c r="H106" i="43"/>
  <c r="H102" i="43"/>
  <c r="H104" i="43"/>
  <c r="I106" i="43"/>
  <c r="I107" i="43"/>
  <c r="I105" i="43"/>
  <c r="I109" i="43"/>
  <c r="I103" i="43"/>
  <c r="I104" i="43"/>
  <c r="I102" i="43"/>
  <c r="G107" i="43"/>
  <c r="G106" i="43"/>
  <c r="G103" i="43"/>
  <c r="G109" i="43"/>
  <c r="G104" i="43"/>
  <c r="G105" i="43"/>
  <c r="G102" i="43"/>
  <c r="F102" i="43"/>
  <c r="F104" i="43"/>
  <c r="F106" i="43"/>
  <c r="F103" i="43"/>
  <c r="F107" i="43"/>
  <c r="F105" i="43"/>
  <c r="F109" i="43"/>
  <c r="D20" i="53"/>
  <c r="B40" i="72" s="1"/>
  <c r="B38" i="72"/>
  <c r="H10" i="40"/>
  <c r="U10" i="40" s="1"/>
  <c r="C36" i="11"/>
  <c r="C24" i="12"/>
  <c r="C13" i="12"/>
  <c r="C77" i="9"/>
  <c r="C74" i="9" s="1"/>
  <c r="C69" i="39"/>
  <c r="D67" i="39"/>
  <c r="H7" i="34"/>
  <c r="AB7" i="34" s="1"/>
  <c r="T49" i="34" s="1"/>
  <c r="G49" i="34" s="1"/>
  <c r="J7" i="34"/>
  <c r="D5" i="43"/>
  <c r="C39" i="43" s="1"/>
  <c r="T11" i="43"/>
  <c r="V11" i="43" s="1"/>
  <c r="T12" i="43"/>
  <c r="V12" i="43" s="1"/>
  <c r="T13" i="43"/>
  <c r="V13" i="43" s="1"/>
  <c r="T14" i="43"/>
  <c r="V14" i="43" s="1"/>
  <c r="T15" i="43"/>
  <c r="V15" i="43" s="1"/>
  <c r="F59" i="67"/>
  <c r="H7" i="37"/>
  <c r="AB7" i="37" s="1"/>
  <c r="T42" i="37" s="1"/>
  <c r="G42" i="37" s="1"/>
  <c r="B40" i="1"/>
  <c r="H7" i="33"/>
  <c r="J7" i="33"/>
  <c r="D65" i="40"/>
  <c r="E63" i="40"/>
  <c r="F48" i="35"/>
  <c r="S7" i="36"/>
  <c r="AA7" i="36"/>
  <c r="R36" i="36" s="1"/>
  <c r="AC7" i="37"/>
  <c r="V42" i="37" s="1"/>
  <c r="I42" i="37" s="1"/>
  <c r="W7" i="37"/>
  <c r="U7" i="37"/>
  <c r="AB7" i="36"/>
  <c r="T36" i="36" s="1"/>
  <c r="G36" i="36" s="1"/>
  <c r="U7" i="36"/>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15" i="67"/>
  <c r="C18" i="67"/>
  <c r="Q60" i="67"/>
  <c r="Q73" i="67"/>
  <c r="M28" i="43"/>
  <c r="N28" i="43"/>
  <c r="O28" i="43"/>
  <c r="P28" i="43"/>
  <c r="M11" i="67"/>
  <c r="J10" i="67" s="1"/>
  <c r="J5" i="67" s="1"/>
  <c r="F11" i="15"/>
  <c r="M11" i="15"/>
  <c r="F11" i="67"/>
  <c r="F1" i="15"/>
  <c r="Q52" i="15"/>
  <c r="F1" i="67"/>
  <c r="Q52" i="67"/>
  <c r="Q60" i="15"/>
  <c r="Q73" i="15"/>
  <c r="Q61" i="67"/>
  <c r="Q74" i="67"/>
  <c r="Q74" i="15"/>
  <c r="Q61" i="15"/>
  <c r="AE6" i="1"/>
  <c r="C16" i="15"/>
  <c r="C47" i="69" l="1"/>
  <c r="D45" i="69" s="1"/>
  <c r="F45" i="69"/>
  <c r="J18" i="15"/>
  <c r="J10" i="15"/>
  <c r="J5" i="15" s="1"/>
  <c r="J24" i="15" s="1"/>
  <c r="W10" i="40"/>
  <c r="O6" i="1"/>
  <c r="P6" i="1" s="1"/>
  <c r="F10" i="39"/>
  <c r="AA10" i="39" s="1"/>
  <c r="E6" i="3"/>
  <c r="T16" i="43"/>
  <c r="V16" i="43" s="1"/>
  <c r="T10" i="43"/>
  <c r="V10" i="43" s="1"/>
  <c r="T8" i="43"/>
  <c r="V8" i="43" s="1"/>
  <c r="C30" i="68"/>
  <c r="C48" i="69"/>
  <c r="C48" i="68"/>
  <c r="C30" i="69"/>
  <c r="C32" i="67"/>
  <c r="C48" i="11"/>
  <c r="C30" i="11"/>
  <c r="H10" i="39"/>
  <c r="U10" i="39" s="1"/>
  <c r="J10" i="39"/>
  <c r="AC10" i="39" s="1"/>
  <c r="F10" i="40"/>
  <c r="S10" i="40" s="1"/>
  <c r="C29" i="12"/>
  <c r="D28" i="12" s="1"/>
  <c r="C47" i="11"/>
  <c r="D45" i="11" s="1"/>
  <c r="C29" i="68"/>
  <c r="D27" i="68" s="1"/>
  <c r="C47" i="68"/>
  <c r="D45" i="68" s="1"/>
  <c r="AB10" i="40"/>
  <c r="AA10" i="40"/>
  <c r="E61" i="39"/>
  <c r="E57" i="40"/>
  <c r="E16" i="6"/>
  <c r="D113" i="43"/>
  <c r="S3" i="43"/>
  <c r="T3" i="43" s="1"/>
  <c r="V3" i="43" s="1"/>
  <c r="S4" i="43"/>
  <c r="T4" i="43" s="1"/>
  <c r="V4" i="43" s="1"/>
  <c r="C23" i="43"/>
  <c r="C21" i="43" s="1"/>
  <c r="C29" i="43" s="1"/>
  <c r="C30" i="43" s="1"/>
  <c r="E30" i="43" s="1"/>
  <c r="S2" i="43"/>
  <c r="T2" i="43" s="1"/>
  <c r="V2" i="43" s="1"/>
  <c r="S7" i="43"/>
  <c r="T7" i="43" s="1"/>
  <c r="V7" i="43" s="1"/>
  <c r="S6" i="43"/>
  <c r="T6" i="43" s="1"/>
  <c r="V6" i="43" s="1"/>
  <c r="S5" i="43"/>
  <c r="T5" i="43" s="1"/>
  <c r="V5" i="43" s="1"/>
  <c r="K20" i="6"/>
  <c r="M20" i="6" s="1"/>
  <c r="I20" i="6" s="1"/>
  <c r="S20" i="6" s="1"/>
  <c r="K24" i="6"/>
  <c r="M24" i="6" s="1"/>
  <c r="I24" i="6" s="1"/>
  <c r="S24" i="6" s="1"/>
  <c r="K14" i="1"/>
  <c r="K19" i="6"/>
  <c r="S6" i="1" s="1"/>
  <c r="E30" i="6"/>
  <c r="E31" i="6" s="1"/>
  <c r="K22" i="6"/>
  <c r="M22" i="6" s="1"/>
  <c r="I22" i="6" s="1"/>
  <c r="S22" i="6" s="1"/>
  <c r="K25" i="6"/>
  <c r="M25" i="6" s="1"/>
  <c r="I25" i="6" s="1"/>
  <c r="S25" i="6" s="1"/>
  <c r="K26" i="6"/>
  <c r="M26" i="6" s="1"/>
  <c r="I26" i="6" s="1"/>
  <c r="S26" i="6" s="1"/>
  <c r="K21" i="6"/>
  <c r="M21" i="6" s="1"/>
  <c r="I21" i="6" s="1"/>
  <c r="S21" i="6" s="1"/>
  <c r="K23" i="6"/>
  <c r="M23" i="6" s="1"/>
  <c r="I23" i="6" s="1"/>
  <c r="S23" i="6" s="1"/>
  <c r="E63" i="39"/>
  <c r="E59" i="40"/>
  <c r="E64" i="39"/>
  <c r="E60" i="40"/>
  <c r="AY6" i="3"/>
  <c r="E3" i="6"/>
  <c r="E58" i="40"/>
  <c r="E62" i="39"/>
  <c r="E56" i="40"/>
  <c r="E60" i="39"/>
  <c r="AB10" i="39"/>
  <c r="D69" i="39"/>
  <c r="E67"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15"/>
  <c r="F41" i="15"/>
  <c r="F69" i="15" l="1"/>
  <c r="E6" i="70"/>
  <c r="E2" i="70" s="1"/>
  <c r="S10" i="39"/>
  <c r="W10" i="39"/>
  <c r="AQ6" i="1"/>
  <c r="S16" i="1"/>
  <c r="T6" i="1"/>
  <c r="AR6" i="1"/>
  <c r="E29" i="43"/>
  <c r="E65" i="39"/>
  <c r="K27" i="6"/>
  <c r="M19" i="6"/>
  <c r="C34" i="69"/>
  <c r="M14" i="1"/>
  <c r="K16" i="1"/>
  <c r="D3" i="34"/>
  <c r="D19" i="11"/>
  <c r="C19" i="11" s="1"/>
  <c r="C24" i="11" s="1"/>
  <c r="D3" i="37"/>
  <c r="D3" i="33"/>
  <c r="E6" i="6"/>
  <c r="D37" i="11"/>
  <c r="C37" i="11" s="1"/>
  <c r="L18" i="9"/>
  <c r="C17" i="4"/>
  <c r="B4" i="52" s="1"/>
  <c r="B43" i="72" s="1"/>
  <c r="M18" i="9"/>
  <c r="B118" i="9" s="1"/>
  <c r="B14" i="74" s="1"/>
  <c r="B1" i="74" s="1"/>
  <c r="D3" i="21"/>
  <c r="D14" i="12"/>
  <c r="AY51" i="3"/>
  <c r="AY67" i="3"/>
  <c r="AY176" i="3"/>
  <c r="AY289" i="3"/>
  <c r="AY183" i="3"/>
  <c r="AY58" i="3"/>
  <c r="AY252" i="3"/>
  <c r="AY366" i="3"/>
  <c r="AY455" i="3"/>
  <c r="AY497" i="3"/>
  <c r="AY300" i="3"/>
  <c r="AY379" i="3"/>
  <c r="AY310" i="3"/>
  <c r="AY420" i="3"/>
  <c r="AY573" i="3"/>
  <c r="BE6" i="3"/>
  <c r="AY77" i="3"/>
  <c r="AY60" i="3"/>
  <c r="AY33" i="3"/>
  <c r="AY193" i="3"/>
  <c r="AY173" i="3"/>
  <c r="AY118" i="3"/>
  <c r="AY283" i="3"/>
  <c r="AY247" i="3"/>
  <c r="AY238" i="3"/>
  <c r="AY392" i="3"/>
  <c r="AY357" i="3"/>
  <c r="BH6" i="3"/>
  <c r="AY88" i="3"/>
  <c r="AY29" i="3"/>
  <c r="AY177" i="3"/>
  <c r="AY295" i="3"/>
  <c r="AY242" i="3"/>
  <c r="AY370" i="3"/>
  <c r="AY317" i="3"/>
  <c r="AY491" i="3"/>
  <c r="AY103" i="3"/>
  <c r="AY23" i="3"/>
  <c r="AY95" i="3"/>
  <c r="AY281" i="3"/>
  <c r="AY268" i="3"/>
  <c r="AY319" i="3"/>
  <c r="AY428" i="3"/>
  <c r="AY116" i="3"/>
  <c r="AY372" i="3"/>
  <c r="AY452" i="3"/>
  <c r="AY549" i="3"/>
  <c r="AY553" i="3"/>
  <c r="AY45" i="3"/>
  <c r="AY20" i="3"/>
  <c r="AY170" i="3"/>
  <c r="AY149" i="3"/>
  <c r="AY291" i="3"/>
  <c r="AY231" i="3"/>
  <c r="AY227" i="3"/>
  <c r="AY373" i="3"/>
  <c r="BJ6" i="3"/>
  <c r="AY72" i="3"/>
  <c r="AY166" i="3"/>
  <c r="AY275" i="3"/>
  <c r="AY215" i="3"/>
  <c r="AY333" i="3"/>
  <c r="AY483" i="3"/>
  <c r="AY457" i="3"/>
  <c r="AY414" i="3"/>
  <c r="AY411" i="3"/>
  <c r="AY580" i="3"/>
  <c r="BN6" i="3"/>
  <c r="AY546" i="3"/>
  <c r="AY552" i="3"/>
  <c r="AY508" i="3"/>
  <c r="AY514" i="3"/>
  <c r="AY523" i="3"/>
  <c r="AY49" i="3"/>
  <c r="AY37" i="3"/>
  <c r="AY174" i="3"/>
  <c r="AY122" i="3"/>
  <c r="AY282" i="3"/>
  <c r="AY250" i="3"/>
  <c r="AY385" i="3"/>
  <c r="AY345" i="3"/>
  <c r="AY305" i="3"/>
  <c r="AY304" i="3"/>
  <c r="AY484" i="3"/>
  <c r="AY445" i="3"/>
  <c r="AY418" i="3"/>
  <c r="AY423" i="3"/>
  <c r="AY505" i="3"/>
  <c r="AY564" i="3"/>
  <c r="AY502" i="3"/>
  <c r="AY551" i="3"/>
  <c r="AY548" i="3"/>
  <c r="BA6" i="3"/>
  <c r="AY79" i="3"/>
  <c r="AY30" i="3"/>
  <c r="AY187" i="3"/>
  <c r="AY151" i="3"/>
  <c r="AY296" i="3"/>
  <c r="AY50" i="3"/>
  <c r="AY124" i="3"/>
  <c r="AY261" i="3"/>
  <c r="AY382" i="3"/>
  <c r="AY460" i="3"/>
  <c r="AY260" i="3"/>
  <c r="AY342" i="3"/>
  <c r="AY513" i="3"/>
  <c r="AY108" i="3"/>
  <c r="AY52" i="3"/>
  <c r="AY201" i="3"/>
  <c r="AY133" i="3"/>
  <c r="AY278" i="3"/>
  <c r="AY230" i="3"/>
  <c r="AY368" i="3"/>
  <c r="AY104" i="3"/>
  <c r="AY197" i="3"/>
  <c r="AY259" i="3"/>
  <c r="AY353" i="3"/>
  <c r="AY324" i="3"/>
  <c r="AY462" i="3"/>
  <c r="AY398" i="3"/>
  <c r="BM6" i="3"/>
  <c r="BF6" i="3"/>
  <c r="AY518" i="3"/>
  <c r="AY543" i="3"/>
  <c r="AY496" i="3"/>
  <c r="AY96" i="3"/>
  <c r="AY32" i="3"/>
  <c r="AY142" i="3"/>
  <c r="AY113" i="3"/>
  <c r="AY266" i="3"/>
  <c r="AY369" i="3"/>
  <c r="AY321" i="3"/>
  <c r="AY320" i="3"/>
  <c r="AY476" i="3"/>
  <c r="AY442" i="3"/>
  <c r="AY431" i="3"/>
  <c r="AY17" i="3"/>
  <c r="AY522" i="3"/>
  <c r="AY509" i="3"/>
  <c r="AY531" i="3"/>
  <c r="AY110" i="3"/>
  <c r="AY62" i="3"/>
  <c r="AY172" i="3"/>
  <c r="AY127" i="3"/>
  <c r="AY233" i="3"/>
  <c r="AY221" i="3"/>
  <c r="AY359" i="3"/>
  <c r="AY330" i="3"/>
  <c r="AY466" i="3"/>
  <c r="AY408" i="3"/>
  <c r="AY13" i="3"/>
  <c r="AY512" i="3"/>
  <c r="AY107" i="3"/>
  <c r="AY39" i="3"/>
  <c r="AY27" i="3"/>
  <c r="AY164" i="3"/>
  <c r="AY136" i="3"/>
  <c r="AY273" i="3"/>
  <c r="AY240" i="3"/>
  <c r="AY375" i="3"/>
  <c r="AY323" i="3"/>
  <c r="AY477" i="3"/>
  <c r="AY432" i="3"/>
  <c r="AY550" i="3"/>
  <c r="AY566" i="3"/>
  <c r="AY567" i="3"/>
  <c r="AY83" i="3"/>
  <c r="AY155" i="3"/>
  <c r="AY123" i="3"/>
  <c r="AY236" i="3"/>
  <c r="AY489" i="3"/>
  <c r="AY26" i="3"/>
  <c r="AY343" i="3"/>
  <c r="AY401" i="3"/>
  <c r="AY539" i="3"/>
  <c r="AY84" i="3"/>
  <c r="AY190" i="3"/>
  <c r="AY165" i="3"/>
  <c r="AY286" i="3"/>
  <c r="AY246" i="3"/>
  <c r="AY381" i="3"/>
  <c r="AY109" i="3"/>
  <c r="AY202" i="3"/>
  <c r="AY121" i="3"/>
  <c r="AY377" i="3"/>
  <c r="AY332" i="3"/>
  <c r="AY472" i="3"/>
  <c r="AY406" i="3"/>
  <c r="BQ6" i="3"/>
  <c r="AY572" i="3"/>
  <c r="AY520" i="3"/>
  <c r="AY16" i="3"/>
  <c r="AY556" i="3"/>
  <c r="AY112" i="3"/>
  <c r="AY64" i="3"/>
  <c r="AY189" i="3"/>
  <c r="AY129" i="3"/>
  <c r="AY235" i="3"/>
  <c r="AY396" i="3"/>
  <c r="AY337" i="3"/>
  <c r="AY328" i="3"/>
  <c r="AY492" i="3"/>
  <c r="AY450" i="3"/>
  <c r="AY402" i="3"/>
  <c r="AY579" i="3"/>
  <c r="D3" i="6"/>
  <c r="AY537" i="3"/>
  <c r="AY545" i="3"/>
  <c r="AY493" i="3"/>
  <c r="AY78" i="3"/>
  <c r="AY203" i="3"/>
  <c r="AY120" i="3"/>
  <c r="AY265" i="3"/>
  <c r="AY216" i="3"/>
  <c r="AY376" i="3"/>
  <c r="AY315" i="3"/>
  <c r="AY482" i="3"/>
  <c r="AY424" i="3"/>
  <c r="AY500" i="3"/>
  <c r="AY528" i="3"/>
  <c r="AY587" i="3"/>
  <c r="AY71" i="3"/>
  <c r="AY22" i="3"/>
  <c r="AY179" i="3"/>
  <c r="AY143" i="3"/>
  <c r="AY288" i="3"/>
  <c r="AY256" i="3"/>
  <c r="AY386" i="3"/>
  <c r="AY339" i="3"/>
  <c r="AY306" i="3"/>
  <c r="AY443" i="3"/>
  <c r="AY413" i="3"/>
  <c r="AY160" i="3"/>
  <c r="AY297" i="3"/>
  <c r="AY106" i="3"/>
  <c r="AY436" i="3"/>
  <c r="AY61" i="3"/>
  <c r="AY154" i="3"/>
  <c r="AY270" i="3"/>
  <c r="AY507" i="3"/>
  <c r="AY114" i="3"/>
  <c r="AY348" i="3"/>
  <c r="AY438" i="3"/>
  <c r="AY561" i="3"/>
  <c r="AY559" i="3"/>
  <c r="AY519" i="3"/>
  <c r="AY205" i="3"/>
  <c r="AY267" i="3"/>
  <c r="AY352" i="3"/>
  <c r="AY479" i="3"/>
  <c r="AY410" i="3"/>
  <c r="AY538" i="3"/>
  <c r="BR6" i="3"/>
  <c r="AY47" i="3"/>
  <c r="AY167" i="3"/>
  <c r="AY248" i="3"/>
  <c r="AY331" i="3"/>
  <c r="AY440" i="3"/>
  <c r="AY547" i="3"/>
  <c r="AY86" i="3"/>
  <c r="AY195" i="3"/>
  <c r="AY293" i="3"/>
  <c r="AY213" i="3"/>
  <c r="AY322" i="3"/>
  <c r="AY400" i="3"/>
  <c r="AY583" i="3"/>
  <c r="AY42" i="3"/>
  <c r="AY219" i="3"/>
  <c r="AY419" i="3"/>
  <c r="AY584" i="3"/>
  <c r="AY169" i="3"/>
  <c r="AY313" i="3"/>
  <c r="AY415" i="3"/>
  <c r="BP6" i="3"/>
  <c r="AY301" i="3"/>
  <c r="AY314" i="3"/>
  <c r="AY568" i="3"/>
  <c r="AY175" i="3"/>
  <c r="AY367" i="3"/>
  <c r="AY474" i="3"/>
  <c r="AY504" i="3"/>
  <c r="AY188" i="3"/>
  <c r="AY318" i="3"/>
  <c r="AY212" i="3"/>
  <c r="AY540" i="3"/>
  <c r="AY206" i="3"/>
  <c r="AY397" i="3"/>
  <c r="AY56" i="3"/>
  <c r="AY210" i="3"/>
  <c r="AY480" i="3"/>
  <c r="AY581" i="3"/>
  <c r="AY527" i="3"/>
  <c r="AY532" i="3"/>
  <c r="AY80" i="3"/>
  <c r="AY153" i="3"/>
  <c r="AY223" i="3"/>
  <c r="AY336" i="3"/>
  <c r="AY453" i="3"/>
  <c r="AY399" i="3"/>
  <c r="AY515" i="3"/>
  <c r="AY563" i="3"/>
  <c r="AY19" i="3"/>
  <c r="AY280" i="3"/>
  <c r="AY383" i="3"/>
  <c r="AY485" i="3"/>
  <c r="AY405" i="3"/>
  <c r="AY576" i="3"/>
  <c r="AY54" i="3"/>
  <c r="AY159" i="3"/>
  <c r="AY272" i="3"/>
  <c r="AY351" i="3"/>
  <c r="AY459" i="3"/>
  <c r="AY15" i="3"/>
  <c r="BT6" i="3"/>
  <c r="AY34" i="3"/>
  <c r="AY168" i="3"/>
  <c r="AY409" i="3"/>
  <c r="AY465" i="3"/>
  <c r="AY100" i="3"/>
  <c r="AY162" i="3"/>
  <c r="AY263" i="3"/>
  <c r="AY360" i="3"/>
  <c r="AY161" i="3"/>
  <c r="AY341" i="3"/>
  <c r="AY446" i="3"/>
  <c r="AY516" i="3"/>
  <c r="AY510" i="3"/>
  <c r="AY577" i="3"/>
  <c r="AY21" i="3"/>
  <c r="AY298" i="3"/>
  <c r="AY361" i="3"/>
  <c r="AY487" i="3"/>
  <c r="AY434" i="3"/>
  <c r="AY499" i="3"/>
  <c r="AY530" i="3"/>
  <c r="AY94" i="3"/>
  <c r="AY140" i="3"/>
  <c r="AY264" i="3"/>
  <c r="AY347" i="3"/>
  <c r="AY451" i="3"/>
  <c r="AY517" i="3"/>
  <c r="AY102" i="3"/>
  <c r="AY200" i="3"/>
  <c r="AY119" i="3"/>
  <c r="AY208" i="3"/>
  <c r="AY307" i="3"/>
  <c r="AY416" i="3"/>
  <c r="BC6" i="3"/>
  <c r="AY498" i="3"/>
  <c r="AY371" i="3"/>
  <c r="AY228" i="3"/>
  <c r="AY569" i="3"/>
  <c r="AY44" i="3"/>
  <c r="AY134" i="3"/>
  <c r="AY41" i="3"/>
  <c r="AY274" i="3"/>
  <c r="AY475" i="3"/>
  <c r="AY536" i="3"/>
  <c r="AY81" i="3"/>
  <c r="AY218" i="3"/>
  <c r="AY461" i="3"/>
  <c r="AY575" i="3"/>
  <c r="AY35" i="3"/>
  <c r="AY394" i="3"/>
  <c r="AY421" i="3"/>
  <c r="AY70" i="3"/>
  <c r="AY257" i="3"/>
  <c r="AY521" i="3"/>
  <c r="AY299" i="3"/>
  <c r="AY586" i="3"/>
  <c r="AY448" i="3"/>
  <c r="AY391" i="3"/>
  <c r="AY128" i="3"/>
  <c r="AY55" i="3"/>
  <c r="AY558" i="3"/>
  <c r="AY346" i="3"/>
  <c r="AY249" i="3"/>
  <c r="AY192" i="3"/>
  <c r="AY578" i="3"/>
  <c r="AY524" i="3"/>
  <c r="AY439" i="3"/>
  <c r="AY471" i="3"/>
  <c r="AY364" i="3"/>
  <c r="AY287" i="3"/>
  <c r="AY48" i="3"/>
  <c r="AY494" i="3"/>
  <c r="AY571" i="3"/>
  <c r="AY427" i="3"/>
  <c r="AY316" i="3"/>
  <c r="AY258" i="3"/>
  <c r="AY24" i="3"/>
  <c r="AY374" i="3"/>
  <c r="AY255" i="3"/>
  <c r="AY138" i="3"/>
  <c r="AY76" i="3"/>
  <c r="BK6" i="3"/>
  <c r="AY395" i="3"/>
  <c r="AY473" i="3"/>
  <c r="AY111" i="3"/>
  <c r="AY207" i="3"/>
  <c r="AY191" i="3"/>
  <c r="AY31" i="3"/>
  <c r="AY147" i="3"/>
  <c r="AY350" i="3"/>
  <c r="AY425" i="3"/>
  <c r="AY244" i="3"/>
  <c r="AY481" i="3"/>
  <c r="AY562" i="3"/>
  <c r="AY89" i="3"/>
  <c r="AY196" i="3"/>
  <c r="AY152" i="3"/>
  <c r="AY225" i="3"/>
  <c r="AY412" i="3"/>
  <c r="AY217" i="3"/>
  <c r="AY433" i="3"/>
  <c r="AY105" i="3"/>
  <c r="AY36" i="3"/>
  <c r="AY146" i="3"/>
  <c r="AY302" i="3"/>
  <c r="AY222" i="3"/>
  <c r="BS6" i="3"/>
  <c r="AY40" i="3"/>
  <c r="AY279" i="3"/>
  <c r="AY356" i="3"/>
  <c r="AY467" i="3"/>
  <c r="AY435" i="3"/>
  <c r="AY145" i="3"/>
  <c r="AY59" i="3"/>
  <c r="AY82" i="3"/>
  <c r="AY132" i="3"/>
  <c r="AY292" i="3"/>
  <c r="AY220" i="3"/>
  <c r="AY486" i="3"/>
  <c r="AY199" i="3"/>
  <c r="AY355" i="3"/>
  <c r="AY404" i="3"/>
  <c r="BO6" i="3"/>
  <c r="AY87" i="3"/>
  <c r="AY115" i="3"/>
  <c r="AY204" i="3"/>
  <c r="AY303" i="3"/>
  <c r="AY180" i="3"/>
  <c r="AY326" i="3"/>
  <c r="AY544" i="3"/>
  <c r="AY53" i="3"/>
  <c r="AY182" i="3"/>
  <c r="AY126" i="3"/>
  <c r="AY239" i="3"/>
  <c r="AY389" i="3"/>
  <c r="AY93" i="3"/>
  <c r="AY150" i="3"/>
  <c r="AY226" i="3"/>
  <c r="AY340" i="3"/>
  <c r="AY454" i="3"/>
  <c r="AY525" i="3"/>
  <c r="AY429" i="3"/>
  <c r="AY354" i="3"/>
  <c r="AY277" i="3"/>
  <c r="AY38" i="3"/>
  <c r="AY560" i="3"/>
  <c r="AY469" i="3"/>
  <c r="AY232" i="3"/>
  <c r="AY156" i="3"/>
  <c r="AY99" i="3"/>
  <c r="AY565" i="3"/>
  <c r="AY407" i="3"/>
  <c r="AY468" i="3"/>
  <c r="AY329" i="3"/>
  <c r="AY251" i="3"/>
  <c r="AY194" i="3"/>
  <c r="AY582" i="3"/>
  <c r="AY495" i="3"/>
  <c r="AY503" i="3"/>
  <c r="AY488" i="3"/>
  <c r="AY388" i="3"/>
  <c r="AY181" i="3"/>
  <c r="AY554" i="3"/>
  <c r="AY262" i="3"/>
  <c r="AY141" i="3"/>
  <c r="AY28" i="3"/>
  <c r="AY533" i="3"/>
  <c r="AY327" i="3"/>
  <c r="AY441" i="3"/>
  <c r="AY284" i="3"/>
  <c r="AY139" i="3"/>
  <c r="AY18" i="3"/>
  <c r="AY90" i="3"/>
  <c r="AY75" i="3"/>
  <c r="AY387" i="3"/>
  <c r="AY444" i="3"/>
  <c r="AY269" i="3"/>
  <c r="AY311" i="3"/>
  <c r="AY535" i="3"/>
  <c r="AY555" i="3"/>
  <c r="AY66" i="3"/>
  <c r="AY74" i="3"/>
  <c r="AY253" i="3"/>
  <c r="AY470" i="3"/>
  <c r="AY229" i="3"/>
  <c r="AY463" i="3"/>
  <c r="AY541" i="3"/>
  <c r="AY68" i="3"/>
  <c r="AY178" i="3"/>
  <c r="AY117" i="3"/>
  <c r="AY254" i="3"/>
  <c r="AY511" i="3"/>
  <c r="AY490" i="3"/>
  <c r="AY224" i="3"/>
  <c r="AY148" i="3"/>
  <c r="AY91" i="3"/>
  <c r="AY437" i="3"/>
  <c r="AY362" i="3"/>
  <c r="AY285" i="3"/>
  <c r="AY46" i="3"/>
  <c r="AY570" i="3"/>
  <c r="AY14" i="3"/>
  <c r="AY426" i="3"/>
  <c r="AY312" i="3"/>
  <c r="AY380" i="3"/>
  <c r="AY137" i="3"/>
  <c r="AY65" i="3"/>
  <c r="AY501" i="3"/>
  <c r="AY534" i="3"/>
  <c r="AY430" i="3"/>
  <c r="AY309" i="3"/>
  <c r="AY290" i="3"/>
  <c r="AY73" i="3"/>
  <c r="AY384" i="3"/>
  <c r="AY294" i="3"/>
  <c r="AY185" i="3"/>
  <c r="AY69" i="3"/>
  <c r="AY417" i="3"/>
  <c r="AY245" i="3"/>
  <c r="AY335" i="3"/>
  <c r="AY131" i="3"/>
  <c r="AY98" i="3"/>
  <c r="AY171" i="3"/>
  <c r="AY163" i="3"/>
  <c r="AY237" i="3"/>
  <c r="AY334" i="3"/>
  <c r="AY526" i="3"/>
  <c r="AY390" i="3"/>
  <c r="AY447" i="3"/>
  <c r="AY574" i="3"/>
  <c r="AY85" i="3"/>
  <c r="AY144" i="3"/>
  <c r="AY276" i="3"/>
  <c r="AY363" i="3"/>
  <c r="AY529" i="3"/>
  <c r="AY358" i="3"/>
  <c r="AY557" i="3"/>
  <c r="AY92" i="3"/>
  <c r="AY25" i="3"/>
  <c r="AY157" i="3"/>
  <c r="AY271" i="3"/>
  <c r="AY211" i="3"/>
  <c r="BI6" i="3"/>
  <c r="AY186" i="3"/>
  <c r="AY243" i="3"/>
  <c r="AY325" i="3"/>
  <c r="AY464" i="3"/>
  <c r="AY403" i="3"/>
  <c r="BD6" i="3"/>
  <c r="AY338" i="3"/>
  <c r="AY241" i="3"/>
  <c r="AY184" i="3"/>
  <c r="BL6" i="3"/>
  <c r="AY456" i="3"/>
  <c r="AY378" i="3"/>
  <c r="AY135" i="3"/>
  <c r="AY63" i="3"/>
  <c r="AY542" i="3"/>
  <c r="AY506" i="3"/>
  <c r="AY458" i="3"/>
  <c r="AY344" i="3"/>
  <c r="AY234" i="3"/>
  <c r="AY158" i="3"/>
  <c r="AY101" i="3"/>
  <c r="BG6" i="3"/>
  <c r="AY585" i="3"/>
  <c r="AY449" i="3"/>
  <c r="AY349" i="3"/>
  <c r="BB6" i="3"/>
  <c r="AY214" i="3"/>
  <c r="AY125" i="3"/>
  <c r="AY198" i="3"/>
  <c r="AY97" i="3"/>
  <c r="AY478" i="3"/>
  <c r="AY43" i="3"/>
  <c r="AY209" i="3"/>
  <c r="AY130" i="3"/>
  <c r="AY393" i="3"/>
  <c r="AY365" i="3"/>
  <c r="AY308" i="3"/>
  <c r="AY57" i="3"/>
  <c r="AY422" i="3"/>
  <c r="F67" i="39"/>
  <c r="E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B6" i="76"/>
  <c r="E6" i="76"/>
  <c r="C18" i="15" l="1"/>
  <c r="C15" i="15"/>
  <c r="B2" i="34"/>
  <c r="B3" i="34" s="1"/>
  <c r="T16" i="1"/>
  <c r="M16" i="1"/>
  <c r="O14" i="1"/>
  <c r="O16" i="1" s="1"/>
  <c r="C7" i="74"/>
  <c r="C8" i="74"/>
  <c r="D20" i="12"/>
  <c r="C20" i="12" s="1"/>
  <c r="D10" i="68"/>
  <c r="D10" i="11"/>
  <c r="C10" i="11" s="1"/>
  <c r="D10" i="69"/>
  <c r="M27" i="6"/>
  <c r="I19" i="6"/>
  <c r="H19" i="6" s="1"/>
  <c r="D17" i="12"/>
  <c r="C17" i="12" s="1"/>
  <c r="C14" i="12"/>
  <c r="H20" i="6"/>
  <c r="D22" i="6"/>
  <c r="L19" i="9"/>
  <c r="H21" i="6"/>
  <c r="D8" i="6"/>
  <c r="D5" i="6"/>
  <c r="H25" i="6"/>
  <c r="D24" i="6"/>
  <c r="D25" i="6"/>
  <c r="D14" i="6"/>
  <c r="D11" i="6"/>
  <c r="H26" i="6"/>
  <c r="D26" i="6"/>
  <c r="D28" i="6"/>
  <c r="M19" i="9"/>
  <c r="C118" i="9" s="1"/>
  <c r="C14" i="74" s="1"/>
  <c r="B2" i="74" s="1"/>
  <c r="D9" i="6"/>
  <c r="H23" i="6"/>
  <c r="H24" i="6"/>
  <c r="D6" i="6"/>
  <c r="C18" i="4"/>
  <c r="E61" i="40"/>
  <c r="D19" i="6"/>
  <c r="D10" i="6"/>
  <c r="D15" i="6"/>
  <c r="D12" i="6"/>
  <c r="D13" i="6"/>
  <c r="H22" i="6"/>
  <c r="D20" i="6"/>
  <c r="D23" i="6"/>
  <c r="R23" i="6" s="1"/>
  <c r="D29" i="6"/>
  <c r="D21" i="6"/>
  <c r="C20" i="11"/>
  <c r="C25" i="11" s="1"/>
  <c r="C22" i="11" s="1"/>
  <c r="C35" i="69"/>
  <c r="C38" i="69"/>
  <c r="G67" i="39"/>
  <c r="F69"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H27" i="6"/>
  <c r="R20" i="6"/>
  <c r="R21" i="6"/>
  <c r="R22" i="6"/>
  <c r="D16" i="6"/>
  <c r="D30" i="6"/>
  <c r="D7" i="74"/>
  <c r="D8" i="74"/>
  <c r="C10" i="69"/>
  <c r="C8" i="69" s="1"/>
  <c r="C5" i="69" s="1"/>
  <c r="D19" i="69"/>
  <c r="C28" i="11"/>
  <c r="C27" i="11" s="1"/>
  <c r="C31" i="11" s="1"/>
  <c r="R26" i="6"/>
  <c r="R25" i="6"/>
  <c r="S19" i="6"/>
  <c r="S27" i="6" s="1"/>
  <c r="I27" i="6"/>
  <c r="C10" i="68"/>
  <c r="B29" i="1" s="1"/>
  <c r="C8" i="68" s="1"/>
  <c r="C5" i="68" s="1"/>
  <c r="C23" i="68" s="1"/>
  <c r="D19" i="68"/>
  <c r="C4" i="52"/>
  <c r="B45" i="72" s="1"/>
  <c r="A7" i="51"/>
  <c r="B7" i="72" s="1"/>
  <c r="A10" i="51"/>
  <c r="B9" i="72" s="1"/>
  <c r="L16" i="1"/>
  <c r="N16" i="1"/>
  <c r="C34" i="68"/>
  <c r="C34" i="11"/>
  <c r="R19" i="6"/>
  <c r="D27" i="6"/>
  <c r="D31" i="6" s="1"/>
  <c r="R24" i="6"/>
  <c r="P14" i="1"/>
  <c r="P16" i="1" s="1"/>
  <c r="C11" i="12" s="1"/>
  <c r="G69" i="39"/>
  <c r="H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C18" i="12"/>
  <c r="R27" i="6"/>
  <c r="R6" i="1"/>
  <c r="C15" i="12"/>
  <c r="C12" i="12"/>
  <c r="C23" i="69"/>
  <c r="I6" i="6"/>
  <c r="I5" i="6"/>
  <c r="C38" i="68"/>
  <c r="C35" i="68"/>
  <c r="C19" i="68"/>
  <c r="D37" i="68"/>
  <c r="C37" i="68" s="1"/>
  <c r="C19" i="69"/>
  <c r="C24" i="69" s="1"/>
  <c r="D37" i="69"/>
  <c r="C37" i="69" s="1"/>
  <c r="C33" i="69" s="1"/>
  <c r="C35" i="11"/>
  <c r="C38" i="11"/>
  <c r="F50" i="11"/>
  <c r="F50" i="69"/>
  <c r="F50" i="68"/>
  <c r="I67" i="39"/>
  <c r="H69"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14" i="15" l="1"/>
  <c r="C13" i="15"/>
  <c r="C57" i="15"/>
  <c r="Q49" i="15"/>
  <c r="C36" i="15"/>
  <c r="J19" i="15"/>
  <c r="J20" i="15"/>
  <c r="C34" i="15"/>
  <c r="C31" i="15" s="1"/>
  <c r="F63" i="15"/>
  <c r="C62" i="15" s="1"/>
  <c r="R16" i="1"/>
  <c r="C33" i="11"/>
  <c r="C39" i="11" s="1"/>
  <c r="C16" i="12"/>
  <c r="C21" i="12" s="1"/>
  <c r="C22" i="12" s="1"/>
  <c r="C27" i="12" s="1"/>
  <c r="C25" i="12" s="1"/>
  <c r="C20" i="68"/>
  <c r="C25" i="68" s="1"/>
  <c r="C24" i="68"/>
  <c r="C33" i="68"/>
  <c r="C39" i="69"/>
  <c r="C43" i="69" s="1"/>
  <c r="C42" i="69"/>
  <c r="C20" i="69"/>
  <c r="J7" i="35"/>
  <c r="W7" i="35" s="1"/>
  <c r="I69" i="39"/>
  <c r="J67"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15" l="1"/>
  <c r="C61" i="15"/>
  <c r="C59" i="15" s="1"/>
  <c r="C64" i="15"/>
  <c r="Q70" i="15"/>
  <c r="C37" i="15"/>
  <c r="C30" i="15" s="1"/>
  <c r="C39" i="15" s="1"/>
  <c r="C75" i="15"/>
  <c r="C56" i="15"/>
  <c r="C65" i="15" s="1"/>
  <c r="J13" i="15"/>
  <c r="J23" i="15" s="1"/>
  <c r="J22" i="15"/>
  <c r="C22" i="68"/>
  <c r="C41" i="69"/>
  <c r="L57" i="15"/>
  <c r="L60" i="15" s="1"/>
  <c r="L46" i="15" s="1"/>
  <c r="C42" i="11"/>
  <c r="C46" i="69"/>
  <c r="C45" i="69" s="1"/>
  <c r="C39" i="68"/>
  <c r="C42" i="68"/>
  <c r="C28" i="69"/>
  <c r="C27" i="69" s="1"/>
  <c r="C25" i="69"/>
  <c r="C22" i="69" s="1"/>
  <c r="C28" i="68"/>
  <c r="C27" i="68" s="1"/>
  <c r="C30" i="12"/>
  <c r="C28" i="12" s="1"/>
  <c r="C32" i="12" s="1"/>
  <c r="B2" i="12" s="1"/>
  <c r="B3" i="12" s="1"/>
  <c r="C46" i="11"/>
  <c r="C45" i="11" s="1"/>
  <c r="C43" i="11"/>
  <c r="AC7" i="35"/>
  <c r="V38" i="35" s="1"/>
  <c r="I38" i="35" s="1"/>
  <c r="K67" i="39"/>
  <c r="J69"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J26" i="15" s="1"/>
  <c r="J29" i="15" s="1"/>
  <c r="C58" i="15"/>
  <c r="C67" i="15" s="1"/>
  <c r="C68" i="15" s="1"/>
  <c r="C71" i="15" s="1"/>
  <c r="Q67" i="15"/>
  <c r="Q69" i="15"/>
  <c r="Q68" i="15" s="1"/>
  <c r="C40" i="15"/>
  <c r="C80" i="15"/>
  <c r="C79" i="15" s="1"/>
  <c r="C31" i="69"/>
  <c r="C41" i="11"/>
  <c r="C49" i="11" s="1"/>
  <c r="C51" i="11" s="1"/>
  <c r="C52" i="11" s="1"/>
  <c r="B2" i="11" s="1"/>
  <c r="B3" i="11" s="1"/>
  <c r="C31" i="68"/>
  <c r="C49" i="69"/>
  <c r="C51" i="69" s="1"/>
  <c r="Q57" i="15"/>
  <c r="Q66" i="15"/>
  <c r="C46" i="68"/>
  <c r="C45" i="68" s="1"/>
  <c r="C43" i="68"/>
  <c r="C41" i="68" s="1"/>
  <c r="L67" i="39"/>
  <c r="K69" i="39"/>
  <c r="R39" i="35"/>
  <c r="E38" i="35"/>
  <c r="M63" i="40"/>
  <c r="L65" i="40"/>
  <c r="Q47" i="15" l="1"/>
  <c r="Q53" i="15" s="1"/>
  <c r="Q56" i="15"/>
  <c r="Q62" i="15" s="1"/>
  <c r="Q65" i="15"/>
  <c r="Q75" i="15" s="1"/>
  <c r="B2" i="15"/>
  <c r="B3" i="15" s="1"/>
  <c r="C43" i="15"/>
  <c r="C83" i="15"/>
  <c r="C82" i="15" s="1"/>
  <c r="C46" i="15"/>
  <c r="C52" i="69"/>
  <c r="B2" i="69" s="1"/>
  <c r="B3" i="69" s="1"/>
  <c r="C49" i="68"/>
  <c r="C51" i="68" s="1"/>
  <c r="C52" i="68" s="1"/>
  <c r="B2" i="68" s="1"/>
  <c r="C56" i="11"/>
  <c r="C57" i="11" s="1"/>
  <c r="M67" i="39"/>
  <c r="L69" i="39"/>
  <c r="C39" i="35"/>
  <c r="B2" i="35" s="1"/>
  <c r="B3" i="35" s="1"/>
  <c r="C38" i="35"/>
  <c r="N63" i="40"/>
  <c r="M65" i="40"/>
  <c r="E43" i="35"/>
  <c r="F43" i="35" s="1"/>
  <c r="E42" i="35"/>
  <c r="F42" i="35" s="1"/>
  <c r="I43" i="35"/>
  <c r="J43" i="35" s="1"/>
  <c r="C19" i="9"/>
  <c r="AO6" i="1"/>
  <c r="D20" i="9"/>
  <c r="D19" i="9"/>
  <c r="C57" i="69" l="1"/>
  <c r="C56" i="69" s="1"/>
  <c r="D102" i="9"/>
  <c r="D21" i="9"/>
  <c r="B6" i="70"/>
  <c r="B2" i="70" s="1"/>
  <c r="B3" i="70" s="1"/>
  <c r="D103" i="9"/>
  <c r="D22" i="9"/>
  <c r="C102" i="9"/>
  <c r="G19" i="9"/>
  <c r="G21" i="9" s="1"/>
  <c r="C21" i="9"/>
  <c r="B3" i="68"/>
  <c r="C57" i="68"/>
  <c r="C56" i="68" s="1"/>
  <c r="N67" i="39"/>
  <c r="M69" i="39"/>
  <c r="O63" i="40"/>
  <c r="O65" i="40" s="1"/>
  <c r="N65" i="40"/>
  <c r="D34" i="9"/>
  <c r="D35" i="9"/>
  <c r="C20" i="9"/>
  <c r="G20" i="9" l="1"/>
  <c r="C32" i="9" s="1"/>
  <c r="C103" i="9"/>
  <c r="O67" i="39"/>
  <c r="O69" i="39" s="1"/>
  <c r="N69" i="39"/>
  <c r="J7" i="40"/>
  <c r="F7" i="40"/>
  <c r="H7" i="40"/>
  <c r="C35" i="9" l="1"/>
  <c r="C34" i="9" s="1"/>
  <c r="J7" i="39"/>
  <c r="H7" i="39"/>
  <c r="F7" i="39"/>
  <c r="U7" i="40"/>
  <c r="AB7" i="40"/>
  <c r="T42" i="40" s="1"/>
  <c r="G42" i="40" s="1"/>
  <c r="AA7" i="40"/>
  <c r="R42" i="40" s="1"/>
  <c r="S7" i="40"/>
  <c r="AC7" i="40"/>
  <c r="V42" i="40" s="1"/>
  <c r="I42" i="40" s="1"/>
  <c r="W7" i="40"/>
  <c r="S7" i="39" l="1"/>
  <c r="AA7" i="39"/>
  <c r="R47" i="39" s="1"/>
  <c r="AB7" i="39"/>
  <c r="T47" i="39" s="1"/>
  <c r="G47" i="39" s="1"/>
  <c r="U7" i="39"/>
  <c r="AC7" i="39"/>
  <c r="V47" i="39" s="1"/>
  <c r="I47" i="39" s="1"/>
  <c r="W7" i="39"/>
  <c r="I46" i="40"/>
  <c r="J46" i="40" s="1"/>
  <c r="R43" i="40"/>
  <c r="E42" i="40"/>
  <c r="G47" i="40"/>
  <c r="H47" i="40" s="1"/>
  <c r="G46" i="40"/>
  <c r="H46" i="40" s="1"/>
  <c r="G52" i="39" l="1"/>
  <c r="H52" i="39" s="1"/>
  <c r="G51" i="39"/>
  <c r="H51" i="39" s="1"/>
  <c r="I52" i="39"/>
  <c r="J52" i="39" s="1"/>
  <c r="I51" i="39"/>
  <c r="J51" i="39" s="1"/>
  <c r="R48" i="39"/>
  <c r="E47" i="39"/>
  <c r="C42" i="40"/>
  <c r="C43" i="40"/>
  <c r="E47" i="40"/>
  <c r="F47" i="40" s="1"/>
  <c r="E46" i="40"/>
  <c r="F46" i="40" s="1"/>
  <c r="I47" i="40"/>
  <c r="J47" i="40" s="1"/>
  <c r="C47" i="39" l="1"/>
  <c r="C48" i="39"/>
  <c r="E51" i="39"/>
  <c r="F51" i="39" s="1"/>
  <c r="E52" i="39"/>
  <c r="F52" i="39" s="1"/>
  <c r="B58" i="40"/>
  <c r="F58" i="40" s="1"/>
  <c r="B54" i="40"/>
  <c r="F54" i="40" s="1"/>
  <c r="B53" i="40"/>
  <c r="F53" i="40" s="1"/>
  <c r="B59" i="40"/>
  <c r="F59" i="40" s="1"/>
  <c r="B52" i="40"/>
  <c r="F52" i="40" s="1"/>
  <c r="B56" i="40"/>
  <c r="F56" i="40" s="1"/>
  <c r="B60" i="40"/>
  <c r="F60" i="40" s="1"/>
  <c r="B57" i="40"/>
  <c r="F57" i="40" s="1"/>
  <c r="B51" i="40"/>
  <c r="F51" i="40" s="1"/>
  <c r="F61" i="40"/>
  <c r="B2" i="40" s="1"/>
  <c r="B3" i="40" s="1"/>
  <c r="B64" i="39" l="1"/>
  <c r="F64" i="39" s="1"/>
  <c r="B56" i="39"/>
  <c r="F56" i="39" s="1"/>
  <c r="F65" i="39" s="1"/>
  <c r="B2" i="39" s="1"/>
  <c r="B3" i="39" s="1"/>
  <c r="B61" i="39"/>
  <c r="F61" i="39" s="1"/>
  <c r="B59" i="39"/>
  <c r="F59" i="39" s="1"/>
  <c r="B63" i="39"/>
  <c r="F63" i="39" s="1"/>
  <c r="B57" i="39"/>
  <c r="F57" i="39" s="1"/>
  <c r="B58" i="39"/>
  <c r="F58" i="39" s="1"/>
  <c r="B60" i="39"/>
  <c r="F60" i="39" s="1"/>
  <c r="B62" i="39"/>
  <c r="F62" i="39" s="1"/>
  <c r="F119" i="9"/>
  <c r="F5" i="52" s="1"/>
  <c r="B53" i="72" s="1"/>
  <c r="D118" i="9"/>
  <c r="D4" i="52" s="1"/>
  <c r="B47" i="72" s="1"/>
  <c r="F118" i="9"/>
  <c r="G118" i="9" s="1"/>
  <c r="G4" i="52" s="1"/>
  <c r="B52" i="72" s="1"/>
  <c r="H118" i="9"/>
  <c r="D14" i="74" s="1"/>
  <c r="F4" i="52" l="1"/>
  <c r="B51" i="72" s="1"/>
  <c r="H119" i="9"/>
  <c r="H5" i="52" s="1"/>
  <c r="H101" i="9"/>
  <c r="D5" i="53" s="1"/>
  <c r="C104" i="9"/>
  <c r="E14" i="74"/>
  <c r="B5" i="74"/>
  <c r="F14" i="74"/>
  <c r="I118" i="9"/>
  <c r="D119" i="9"/>
  <c r="D5" i="52" s="1"/>
  <c r="B49" i="72" s="1"/>
  <c r="H4" i="52"/>
  <c r="M48" i="9" l="1"/>
  <c r="H107" i="9"/>
  <c r="D45" i="9"/>
  <c r="C93" i="9"/>
  <c r="C86" i="9" s="1"/>
  <c r="B20" i="72"/>
  <c r="D6" i="53"/>
  <c r="B22" i="72" s="1"/>
  <c r="C5" i="74"/>
  <c r="D5" i="74"/>
  <c r="C105" i="9"/>
  <c r="I4" i="52"/>
  <c r="H102" i="9"/>
  <c r="D7" i="53" s="1"/>
  <c r="B21" i="72" s="1"/>
  <c r="E118" i="9"/>
  <c r="E4" i="52" s="1"/>
  <c r="B48" i="72" s="1"/>
  <c r="D53" i="9" l="1"/>
  <c r="C85" i="9"/>
  <c r="C95" i="9" s="1"/>
  <c r="C64" i="9"/>
  <c r="C63" i="9" s="1"/>
  <c r="C67" i="9" s="1"/>
  <c r="D55" i="9"/>
  <c r="M53" i="9" s="1"/>
  <c r="D52" i="9"/>
  <c r="C72" i="9"/>
  <c r="H108" i="9"/>
  <c r="D15" i="53" s="1"/>
  <c r="B31" i="72" s="1"/>
  <c r="M49" i="9"/>
  <c r="D13" i="53"/>
  <c r="D122" i="9"/>
  <c r="C78" i="9"/>
  <c r="C73" i="9" s="1"/>
  <c r="C79" i="9" s="1"/>
  <c r="C80" i="9"/>
  <c r="E80" i="9" s="1"/>
  <c r="E81" i="9" s="1"/>
  <c r="C96" i="9"/>
  <c r="E96" i="9" s="1"/>
  <c r="E97" i="9" s="1"/>
  <c r="L64" i="9" l="1"/>
  <c r="M64" i="9" s="1"/>
  <c r="L68" i="9"/>
  <c r="M68" i="9" s="1"/>
  <c r="L63" i="9"/>
  <c r="M63" i="9" s="1"/>
  <c r="L65" i="9"/>
  <c r="M65" i="9" s="1"/>
  <c r="L67" i="9"/>
  <c r="M67" i="9" s="1"/>
  <c r="L66" i="9"/>
  <c r="M66" i="9" s="1"/>
  <c r="D59" i="9"/>
  <c r="M55" i="9" s="1"/>
  <c r="C68" i="9"/>
  <c r="D54" i="9" s="1"/>
  <c r="D123" i="9"/>
  <c r="D9" i="52" s="1"/>
  <c r="G14" i="74"/>
  <c r="B6" i="74" s="1"/>
  <c r="D8" i="52"/>
  <c r="B30" i="72"/>
  <c r="D14" i="53"/>
  <c r="B32" i="72" s="1"/>
  <c r="C81" i="9"/>
  <c r="C97" i="9"/>
  <c r="D58" i="9" s="1"/>
  <c r="D56" i="9" s="1"/>
  <c r="M54" i="9" s="1"/>
  <c r="N57" i="9" s="1"/>
  <c r="M69" i="9" l="1"/>
  <c r="N69" i="9" s="1"/>
  <c r="D6" i="74"/>
  <c r="C6" i="74"/>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微软用户</author>
  </authors>
  <commentList>
    <comment ref="F3" authorId="0">
      <text>
        <r>
          <rPr>
            <b/>
            <sz val="9"/>
            <color indexed="81"/>
            <rFont val="宋体"/>
            <family val="3"/>
            <charset val="134"/>
          </rPr>
          <t>猜的，看不清</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<sst xmlns="http://schemas.openxmlformats.org/spreadsheetml/2006/main" count="7485" uniqueCount="3255">
  <si>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</si>
  <si>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</si>
  <si>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</si>
  <si>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</si>
  <si>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</si>
  <si>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</si>
  <si>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</si>
  <si>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</si>
  <si>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</si>
  <si>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</si>
  <si>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</si>
  <si>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</si>
  <si>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</si>
  <si>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</si>
  <si>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</si>
  <si>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</si>
  <si>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</si>
  <si>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</si>
  <si>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</si>
  <si>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</si>
  <si>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</si>
  <si>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</si>
  <si>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</si>
  <si>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</si>
  <si>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</si>
  <si>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</si>
  <si>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</si>
  <si>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</si>
  <si>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</si>
  <si>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</si>
  <si>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</si>
  <si>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</si>
  <si>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</si>
  <si>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</si>
  <si>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</si>
  <si>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</si>
  <si>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</si>
  <si>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</si>
  <si>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</si>
  <si>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</si>
  <si>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</si>
  <si>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</si>
  <si>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</si>
  <si>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</si>
  <si>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</si>
  <si>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</si>
  <si>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</si>
  <si>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</si>
  <si>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</si>
  <si>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</si>
  <si>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</si>
  <si>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</si>
  <si>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</si>
  <si>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</si>
  <si>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</si>
  <si>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</si>
  <si>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</si>
  <si>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</si>
  <si>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</si>
  <si>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</si>
  <si>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</si>
  <si>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</si>
  <si>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</si>
  <si>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</si>
  <si>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</si>
  <si>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</si>
  <si>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</si>
  <si>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</si>
  <si>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</si>
  <si>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</si>
  <si>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</si>
  <si>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</si>
  <si>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</si>
  <si>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</si>
  <si>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</si>
  <si>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</si>
  <si>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</si>
  <si>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</si>
  <si>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</si>
  <si>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</si>
  <si>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</si>
  <si>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</si>
  <si>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</si>
  <si>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</si>
  <si>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</si>
  <si>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</si>
  <si>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</si>
  <si>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</si>
  <si>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</si>
  <si>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</si>
  <si>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</si>
  <si>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</si>
  <si>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</si>
  <si>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</si>
  <si>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</si>
  <si>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</si>
  <si>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</si>
  <si>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</si>
  <si>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</si>
  <si>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</si>
  <si>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</si>
  <si>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</si>
  <si>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</si>
  <si>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</si>
  <si>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</si>
  <si>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</si>
  <si>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</si>
  <si>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</si>
  <si>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</si>
  <si>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</si>
  <si>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</si>
  <si>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</si>
  <si>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</si>
  <si>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</si>
  <si>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</si>
  <si>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</si>
  <si>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</si>
  <si>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</si>
  <si>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</si>
  <si>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</si>
  <si>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</si>
  <si>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</si>
  <si>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</si>
  <si>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</si>
  <si>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</si>
  <si>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</si>
  <si>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</si>
  <si>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</si>
  <si>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</si>
  <si>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</si>
  <si>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</si>
  <si>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</si>
  <si>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</si>
  <si>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</si>
  <si>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</si>
  <si>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</si>
  <si>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</si>
  <si>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</si>
  <si>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</si>
  <si>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</si>
  <si>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</si>
  <si>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</si>
  <si>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</si>
  <si>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</si>
  <si>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</si>
  <si>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</si>
  <si>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</si>
  <si>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</si>
  <si>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</si>
  <si>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</si>
  <si>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</si>
  <si>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</si>
  <si>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</si>
  <si>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</si>
  <si>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</si>
  <si>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</si>
  <si>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</si>
  <si>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</si>
  <si>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</si>
  <si>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</si>
  <si>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</si>
  <si>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</si>
  <si>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</si>
  <si>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</si>
  <si>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</si>
  <si>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</si>
  <si>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</si>
  <si>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</si>
  <si>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</si>
  <si>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</si>
  <si>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</si>
  <si>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</si>
  <si>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</si>
  <si>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</si>
  <si>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</si>
  <si>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</si>
  <si>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</si>
  <si>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</si>
  <si>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</si>
  <si>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</si>
  <si>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</si>
  <si>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</si>
  <si>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</si>
  <si>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</si>
  <si>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</si>
  <si>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</si>
  <si>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</si>
  <si>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</si>
  <si>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</si>
  <si>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</si>
  <si>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</si>
  <si>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</si>
  <si>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</si>
  <si>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</si>
  <si>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</si>
  <si>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</si>
  <si>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</si>
  <si>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</si>
  <si>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</si>
  <si>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</si>
  <si>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</si>
  <si>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</si>
  <si>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</si>
  <si>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</si>
  <si>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</si>
  <si>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</si>
  <si>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</si>
  <si>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</si>
  <si>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</si>
  <si>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</si>
  <si>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</si>
  <si>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</si>
  <si>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</si>
  <si>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</si>
  <si>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</si>
  <si>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</si>
  <si>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</si>
  <si>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</si>
  <si>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</si>
  <si>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</si>
  <si>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</si>
  <si>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</si>
  <si>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</si>
  <si>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</si>
  <si>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</si>
  <si>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</si>
  <si>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</si>
  <si>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</si>
  <si>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</si>
  <si>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</si>
  <si>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</si>
  <si>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</si>
  <si>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</si>
  <si>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</si>
  <si>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</si>
  <si>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</si>
  <si>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</si>
  <si>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</si>
  <si>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</si>
  <si>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</si>
  <si>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</si>
  <si>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</si>
  <si>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</si>
  <si>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</si>
  <si>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</si>
  <si>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</si>
  <si>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</si>
  <si>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</si>
  <si>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</si>
  <si>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</si>
  <si>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</si>
  <si>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</si>
  <si>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</si>
  <si>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</si>
  <si>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</si>
  <si>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</si>
  <si>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</si>
  <si>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</si>
  <si>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</si>
  <si>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</si>
  <si>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</si>
  <si>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</si>
  <si>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</si>
  <si>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</si>
  <si>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</si>
  <si>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</si>
  <si>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</si>
  <si>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</si>
  <si>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</si>
  <si>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</si>
  <si>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</si>
  <si>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</si>
  <si>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</si>
  <si>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</si>
  <si>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</si>
  <si>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</si>
  <si>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</si>
  <si>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</si>
  <si>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</si>
  <si>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</si>
  <si>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</si>
  <si>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</si>
  <si>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</si>
  <si>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</si>
  <si>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</si>
  <si>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</si>
  <si>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</si>
  <si>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</si>
  <si>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</si>
  <si>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</si>
  <si>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</si>
  <si>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</si>
  <si>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</si>
  <si>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</si>
  <si>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</si>
  <si>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</si>
  <si>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</si>
  <si>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</si>
  <si>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</si>
  <si>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</si>
  <si>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</si>
  <si>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</si>
  <si>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</si>
  <si>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</si>
  <si>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</si>
  <si>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</si>
  <si>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</si>
  <si>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</si>
  <si>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</si>
  <si>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</si>
  <si>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</si>
  <si>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</si>
  <si>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</si>
  <si>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</si>
  <si>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</si>
  <si>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</si>
  <si>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</si>
  <si>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</si>
  <si>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</si>
  <si>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</si>
  <si>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</si>
  <si>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</si>
  <si>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</si>
  <si>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</si>
  <si>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</si>
  <si>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</si>
  <si>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</si>
  <si>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</si>
  <si>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</si>
  <si>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</si>
  <si>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</si>
  <si>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</si>
  <si>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</si>
  <si>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</si>
  <si>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</si>
  <si>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</si>
  <si>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</si>
  <si>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</si>
  <si>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</si>
  <si>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</si>
  <si>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</si>
  <si>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</si>
  <si>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</si>
  <si>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</si>
  <si>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</si>
  <si>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</si>
  <si>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</si>
  <si>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</si>
  <si>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</si>
  <si>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</si>
  <si>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</si>
  <si>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</si>
  <si>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</si>
  <si>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</si>
  <si>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</si>
  <si>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</si>
  <si>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</si>
  <si>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</si>
  <si>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</si>
  <si>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</si>
  <si>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</si>
  <si>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</si>
  <si>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</si>
  <si>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</si>
  <si>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</si>
  <si>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</si>
  <si>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</si>
  <si>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</si>
  <si>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</si>
  <si>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</si>
  <si>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</si>
  <si>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</si>
  <si>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</si>
  <si>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</si>
  <si>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</si>
  <si>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</si>
  <si>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</si>
  <si>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</si>
  <si>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</si>
  <si>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</si>
  <si>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</si>
  <si>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</si>
  <si>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</si>
  <si>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</si>
  <si>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</si>
  <si>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</si>
  <si>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</si>
  <si>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</si>
  <si>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</si>
  <si>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</si>
  <si>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</si>
  <si>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</si>
  <si>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</si>
  <si>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</si>
  <si>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</si>
  <si>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</si>
  <si>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</si>
  <si>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</si>
  <si>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</si>
  <si>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</si>
  <si>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</si>
  <si>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</si>
  <si>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</si>
  <si>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</si>
  <si>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</si>
  <si>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</si>
  <si>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</si>
  <si>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</si>
  <si>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</si>
  <si>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</si>
  <si>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</si>
  <si>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</si>
  <si>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</si>
  <si>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</si>
  <si>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</si>
  <si>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</si>
  <si>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</si>
  <si>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</si>
  <si>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</si>
  <si>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</si>
  <si>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</si>
  <si>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</si>
  <si>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</si>
  <si>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</si>
  <si>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</si>
  <si>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</si>
  <si>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</si>
  <si>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</si>
  <si>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</si>
  <si>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</si>
  <si>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</si>
  <si>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</si>
  <si>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</si>
  <si>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</si>
  <si>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</si>
  <si>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</si>
  <si>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</si>
  <si>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</si>
  <si>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</si>
  <si>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</si>
  <si>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</si>
  <si>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</si>
  <si>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</si>
  <si>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</si>
  <si>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</si>
  <si>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</si>
  <si>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</si>
  <si>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</si>
  <si>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</si>
  <si>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</si>
  <si>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</si>
  <si>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</si>
  <si>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</si>
  <si>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</si>
  <si>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</si>
  <si>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</si>
  <si>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</si>
  <si>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</si>
  <si>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</si>
  <si>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</si>
  <si>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</si>
  <si>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</si>
  <si>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</si>
  <si>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</si>
  <si>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</si>
  <si>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</si>
  <si>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</si>
  <si>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</si>
  <si>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</si>
  <si>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</si>
  <si>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</si>
  <si>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</si>
  <si>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</si>
  <si>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</si>
  <si>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</si>
  <si>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</si>
  <si>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</si>
  <si>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</si>
  <si>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</si>
  <si>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</si>
  <si>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</si>
  <si>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</si>
  <si>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</si>
  <si>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</si>
  <si>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</si>
  <si>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</si>
  <si>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</si>
  <si>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</si>
  <si>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</si>
  <si>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</si>
  <si>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</si>
  <si>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</si>
  <si>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</si>
  <si>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</si>
  <si>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</si>
  <si>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</si>
  <si>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</si>
  <si>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</si>
  <si>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</si>
  <si>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</si>
  <si>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</si>
  <si>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</si>
  <si>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</si>
  <si>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</si>
  <si>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</si>
  <si>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</si>
  <si>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</si>
  <si>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</si>
  <si>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</si>
  <si>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</si>
  <si>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</si>
  <si>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</si>
  <si>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</si>
  <si>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</si>
  <si>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</si>
  <si>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</si>
  <si>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</si>
  <si>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</si>
  <si>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</si>
  <si>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</si>
  <si>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</si>
  <si>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</si>
  <si>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</si>
  <si>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</si>
  <si>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</si>
  <si>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</si>
  <si>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</si>
  <si>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</si>
  <si>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</si>
  <si>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</si>
  <si>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</si>
  <si>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</si>
  <si>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</si>
  <si>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</si>
  <si>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</si>
  <si>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</si>
  <si>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</si>
  <si>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</si>
  <si>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</si>
  <si>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</si>
  <si>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</si>
  <si>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</si>
  <si>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</si>
  <si>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</si>
  <si>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</si>
  <si>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</si>
  <si>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</si>
  <si>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</si>
  <si>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</si>
  <si>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</si>
  <si>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</si>
  <si>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</si>
  <si>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</si>
  <si>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</si>
  <si>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</si>
  <si>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</si>
  <si>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</si>
  <si>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</si>
  <si>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</si>
  <si>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</si>
  <si>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</si>
  <si>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</si>
  <si>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</si>
  <si>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</si>
  <si>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</si>
  <si>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</si>
  <si>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</si>
  <si>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</si>
  <si>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</si>
  <si>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</si>
  <si>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</si>
  <si>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</si>
  <si>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</si>
  <si>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</si>
  <si>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</si>
  <si>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</si>
  <si>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</si>
  <si>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</si>
  <si>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</si>
  <si>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</si>
  <si>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</si>
  <si>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</si>
  <si>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</si>
  <si>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</si>
  <si>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</si>
  <si>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</si>
  <si>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</si>
  <si>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</si>
  <si>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</si>
  <si>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</si>
  <si>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</si>
  <si>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</si>
  <si>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</si>
  <si>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</si>
  <si>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</si>
  <si>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</si>
  <si>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</si>
  <si>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</si>
  <si>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</si>
  <si>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</si>
  <si>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</si>
  <si>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</si>
  <si>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</si>
  <si>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</si>
  <si>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</si>
  <si>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</si>
  <si>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</si>
  <si>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</si>
  <si>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</si>
  <si>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</si>
  <si>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</si>
  <si>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</si>
  <si>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</si>
  <si>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</si>
  <si>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</si>
  <si>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</si>
  <si>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</si>
  <si>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</si>
  <si>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</si>
  <si>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</si>
  <si>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</si>
  <si>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</si>
  <si>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</si>
  <si>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</si>
  <si>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</si>
  <si>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</si>
  <si>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</si>
  <si>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</si>
  <si>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</si>
  <si>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</si>
  <si>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</si>
  <si>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</si>
  <si>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</si>
  <si>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</si>
  <si>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</si>
  <si>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</si>
  <si>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</si>
  <si>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</si>
  <si>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</si>
  <si>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</si>
  <si>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</si>
  <si>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</si>
  <si>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</si>
  <si>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</si>
  <si>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</si>
  <si>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</si>
  <si>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</si>
  <si>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</si>
  <si>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</si>
  <si>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</si>
  <si>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</si>
  <si>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</si>
  <si>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</si>
  <si>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</si>
  <si>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</si>
  <si>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</si>
  <si>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</si>
  <si>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</si>
  <si>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</si>
  <si>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</si>
  <si>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</si>
  <si>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</si>
  <si>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</si>
  <si>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</si>
  <si>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</si>
  <si>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</si>
  <si>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</si>
  <si>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</si>
  <si>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</si>
  <si>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</si>
  <si>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</si>
  <si>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</si>
  <si>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</si>
  <si>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</si>
  <si>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</si>
  <si>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</si>
  <si>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</si>
  <si>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</si>
  <si>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</si>
  <si>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</si>
  <si>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</si>
  <si>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</si>
  <si>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</si>
  <si>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</si>
  <si>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</si>
  <si>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</si>
  <si>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</si>
  <si>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</si>
  <si>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</si>
  <si>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</si>
  <si>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</si>
  <si>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</si>
  <si>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</si>
  <si>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</si>
  <si>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</si>
  <si>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</si>
  <si>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</si>
  <si>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</si>
  <si>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</si>
  <si>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</si>
  <si>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</si>
  <si>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</si>
  <si>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</si>
  <si>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</si>
  <si>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</si>
  <si>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</si>
  <si>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</si>
  <si>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</si>
  <si>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</si>
  <si>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</si>
  <si>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</si>
  <si>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</si>
  <si>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</si>
  <si>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</si>
  <si>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</si>
  <si>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</si>
  <si>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</si>
  <si>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</si>
  <si>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</si>
  <si>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</si>
  <si>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</si>
  <si>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</si>
  <si>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</si>
  <si>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</si>
  <si>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</si>
  <si>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</si>
  <si>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</si>
  <si>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</si>
  <si>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</si>
  <si>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</si>
  <si>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</si>
  <si>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</si>
  <si>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</si>
  <si>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</si>
  <si>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</si>
  <si>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</si>
  <si>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</si>
  <si>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</si>
  <si>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</si>
  <si>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</si>
  <si>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</si>
  <si>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</si>
  <si>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</si>
  <si>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</si>
  <si>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</si>
  <si>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</si>
  <si>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</si>
  <si>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</si>
  <si>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</si>
  <si>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</si>
  <si>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</si>
  <si>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</si>
  <si>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</si>
  <si>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</si>
  <si>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</si>
  <si>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</si>
  <si>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</si>
  <si>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</si>
  <si>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</si>
  <si>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</si>
  <si>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</si>
  <si>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</si>
  <si>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</si>
  <si>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</si>
  <si>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</si>
  <si>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</si>
  <si>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</si>
  <si>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</si>
  <si>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</si>
  <si>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</si>
  <si>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</si>
  <si>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</si>
  <si>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</si>
  <si>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</si>
  <si>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</si>
  <si>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</si>
  <si>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</si>
  <si>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</si>
  <si>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</si>
  <si>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</si>
  <si>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</si>
  <si>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</si>
  <si>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</si>
  <si>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</si>
  <si>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</si>
  <si>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</si>
  <si>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</si>
  <si>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</si>
  <si>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</si>
  <si>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</si>
  <si>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</si>
  <si>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</si>
  <si>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</si>
  <si>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</si>
  <si>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</si>
  <si>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</si>
  <si>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</si>
  <si>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</si>
  <si>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</si>
  <si>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</si>
  <si>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</si>
  <si>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</si>
  <si>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</si>
  <si>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</si>
  <si>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</si>
  <si>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</si>
  <si>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</si>
  <si>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</si>
  <si>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</si>
  <si>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</si>
  <si>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</si>
  <si>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</si>
  <si>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</si>
  <si>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</si>
  <si>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</si>
  <si>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</si>
  <si>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</si>
  <si>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</si>
  <si>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</si>
  <si>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</si>
  <si>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</si>
  <si>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</si>
  <si>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</si>
  <si>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</si>
  <si>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</si>
  <si>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</si>
  <si>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</si>
  <si>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</si>
  <si>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</si>
  <si>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</si>
  <si>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</si>
  <si>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</si>
  <si>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</si>
  <si>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</si>
  <si>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</si>
  <si>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</si>
  <si>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</si>
  <si>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</si>
  <si>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</si>
  <si>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</si>
  <si>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</si>
  <si>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</si>
  <si>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</si>
  <si>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</si>
  <si>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</si>
  <si>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</si>
  <si>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</si>
  <si>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</si>
  <si>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</si>
  <si>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</si>
  <si>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</si>
  <si>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</si>
  <si>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</si>
  <si>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</si>
  <si>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</si>
  <si>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</si>
  <si>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</si>
  <si>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</si>
  <si>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</si>
  <si>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</si>
  <si>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</si>
  <si>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</si>
  <si>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</si>
  <si>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</si>
  <si>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</si>
  <si>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</si>
  <si>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</si>
  <si>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</si>
  <si>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</si>
  <si>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</si>
  <si>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</si>
  <si>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</si>
  <si>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</si>
  <si>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</si>
  <si>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</si>
  <si>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</si>
  <si>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</si>
  <si>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</si>
  <si>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</si>
  <si>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</si>
  <si>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</si>
  <si>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</si>
  <si>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</si>
  <si>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</si>
  <si>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</si>
  <si>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</si>
  <si>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</si>
  <si>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</si>
  <si>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</si>
  <si>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</si>
  <si>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</si>
  <si>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</si>
  <si>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</si>
  <si>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</si>
  <si>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</si>
  <si>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</si>
  <si>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</si>
  <si>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</si>
  <si>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</si>
  <si>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</si>
  <si>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</si>
  <si>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</si>
  <si>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</si>
  <si>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</si>
  <si>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</si>
  <si>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</si>
  <si>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</si>
  <si>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</si>
  <si>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</si>
  <si>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</si>
  <si>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</si>
  <si>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</si>
  <si>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</si>
  <si>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</si>
  <si>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</si>
  <si>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</si>
  <si>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</si>
  <si>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</si>
  <si>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</si>
  <si>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</si>
  <si>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</si>
  <si>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</si>
  <si>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</si>
  <si>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</si>
  <si>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</si>
  <si>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</si>
  <si>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</si>
  <si>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</si>
  <si>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</si>
  <si>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</si>
  <si>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</si>
  <si>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</si>
  <si>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</si>
  <si>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</si>
  <si>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</si>
  <si>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</si>
  <si>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</si>
  <si>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</si>
  <si>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</si>
  <si>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</si>
  <si>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</si>
  <si>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</si>
  <si>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</si>
  <si>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</si>
  <si>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</si>
  <si>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</si>
  <si>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</si>
  <si>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</si>
  <si>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</si>
  <si>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</si>
  <si>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</si>
  <si>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</si>
  <si>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</si>
  <si>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</si>
  <si>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</si>
  <si>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</si>
  <si>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</si>
  <si>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</si>
  <si>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</si>
  <si>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</si>
  <si>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</si>
  <si>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</si>
  <si>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</si>
  <si>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</si>
  <si>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</si>
  <si>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</si>
  <si>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</si>
  <si>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</si>
  <si>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</si>
  <si>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</si>
  <si>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</si>
  <si>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</si>
  <si>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</si>
  <si>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</si>
  <si>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</si>
  <si>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</si>
  <si>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</si>
  <si>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</si>
  <si>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</si>
  <si>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</si>
  <si>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</si>
  <si>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</si>
  <si>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</si>
  <si>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</si>
  <si>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</si>
  <si>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</si>
  <si>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</si>
  <si>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</si>
  <si>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</si>
  <si>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</si>
  <si>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</si>
  <si>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</si>
  <si>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</si>
  <si>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</si>
  <si>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</si>
  <si>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</si>
  <si>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</si>
  <si>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</si>
  <si>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</si>
  <si>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</si>
  <si>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</si>
  <si>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</si>
  <si>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</si>
  <si>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</si>
  <si>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</si>
  <si>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</si>
  <si>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</si>
  <si>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</si>
  <si>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</si>
  <si>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</si>
  <si>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</si>
  <si>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</si>
  <si>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</si>
  <si>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</si>
  <si>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</si>
  <si>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</si>
  <si>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</si>
  <si>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</si>
  <si>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</si>
  <si>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</si>
  <si>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</si>
  <si>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</si>
  <si>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</si>
  <si>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</si>
  <si>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</si>
  <si>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</si>
  <si>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</si>
  <si>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</si>
  <si>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</si>
  <si>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</si>
  <si>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</si>
  <si>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</si>
  <si>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</si>
  <si>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</si>
  <si>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</si>
  <si>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</si>
  <si>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</si>
  <si>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</si>
  <si>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</si>
  <si>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</si>
  <si>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</si>
  <si>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</si>
  <si>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</si>
  <si>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</si>
  <si>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</si>
  <si>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</si>
  <si>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</si>
  <si>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</si>
  <si>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</si>
  <si>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</si>
  <si>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</si>
  <si>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</si>
  <si>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</si>
  <si>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</si>
  <si>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</si>
  <si>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</si>
  <si>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</si>
  <si>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</si>
  <si>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</si>
  <si>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</si>
  <si>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</si>
  <si>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</si>
  <si>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</si>
  <si>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</si>
  <si>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</si>
  <si>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</si>
  <si>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</si>
  <si>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</si>
  <si>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</si>
  <si>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</si>
  <si>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</si>
  <si>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</si>
  <si>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</si>
  <si>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</si>
  <si>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</si>
  <si>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</si>
  <si>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</si>
  <si>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</si>
  <si>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</si>
  <si>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</si>
  <si>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</si>
  <si>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</si>
  <si>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</si>
  <si>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</si>
  <si>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</si>
  <si>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</si>
  <si>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</si>
  <si>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</si>
  <si>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</si>
  <si>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</si>
  <si>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</si>
  <si>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</si>
  <si>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</si>
  <si>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</si>
  <si>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</si>
  <si>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</si>
  <si>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</si>
  <si>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</si>
  <si>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</si>
  <si>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</si>
  <si>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</si>
  <si>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</si>
  <si>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</si>
  <si>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</si>
  <si>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</si>
  <si>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</si>
  <si>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</si>
  <si>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</si>
  <si>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</si>
  <si>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</si>
  <si>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</si>
  <si>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</si>
  <si>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</si>
  <si>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</si>
  <si>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</si>
  <si>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</si>
  <si>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</si>
  <si>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</si>
  <si>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</si>
  <si>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</si>
  <si>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</si>
  <si>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</si>
  <si>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</si>
  <si>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</si>
  <si>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</si>
  <si>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</si>
  <si>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</si>
  <si>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</si>
  <si>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</si>
  <si>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</si>
  <si>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</si>
  <si>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</si>
  <si>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</si>
  <si>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</si>
  <si>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</si>
  <si>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</si>
  <si>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</si>
  <si>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</si>
  <si>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</si>
  <si>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</si>
  <si>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</si>
  <si>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</si>
  <si>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</si>
  <si>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</si>
  <si>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</si>
  <si>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</si>
  <si>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</si>
  <si>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</si>
  <si>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</si>
  <si>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</si>
  <si>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</si>
  <si>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</si>
  <si>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</si>
  <si>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</si>
  <si>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</si>
  <si>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</si>
  <si>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</si>
  <si>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</si>
  <si>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</si>
  <si>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</si>
  <si>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</si>
  <si>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</si>
  <si>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</si>
  <si>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</si>
  <si>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</si>
  <si>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</si>
  <si>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</si>
  <si>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</si>
  <si>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</si>
  <si>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</si>
  <si>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</si>
  <si>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</si>
  <si>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</si>
  <si>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</si>
  <si>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</si>
  <si>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</si>
  <si>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</si>
  <si>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</si>
  <si>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</si>
  <si>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</si>
  <si>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</si>
  <si>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</si>
  <si>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</si>
  <si>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</si>
  <si>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</si>
  <si>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</si>
  <si>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</si>
  <si>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</si>
  <si>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</si>
  <si>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</si>
  <si>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</si>
  <si>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</si>
  <si>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</si>
  <si>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</si>
  <si>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</si>
  <si>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</si>
  <si>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</si>
  <si>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</si>
  <si>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</si>
  <si>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</si>
  <si>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</si>
  <si>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</si>
  <si>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</si>
  <si>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</si>
  <si>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</si>
  <si>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</si>
  <si>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</si>
  <si>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</si>
  <si>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</si>
  <si>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</si>
  <si>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</si>
  <si>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</si>
  <si>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</si>
  <si>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</si>
  <si>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</si>
  <si>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</si>
  <si>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</si>
  <si>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</si>
  <si>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</si>
  <si>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</si>
  <si>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</si>
  <si>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</si>
  <si>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</si>
  <si>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</si>
  <si>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</si>
  <si>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</si>
  <si>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</si>
  <si>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</si>
  <si>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</si>
  <si>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</si>
  <si>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</si>
  <si>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</si>
  <si>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</si>
  <si>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</si>
  <si>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</si>
  <si>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</si>
  <si>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</si>
  <si>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</si>
  <si>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</si>
  <si>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</si>
  <si>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</si>
  <si>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</si>
  <si>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</si>
  <si>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</si>
  <si>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</si>
  <si>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</si>
  <si>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</si>
  <si>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</si>
  <si>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</si>
  <si>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</si>
  <si>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</si>
  <si>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</si>
  <si>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</si>
  <si>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</si>
  <si>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</si>
  <si>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</si>
  <si>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</si>
  <si>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</si>
  <si>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</si>
  <si>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</si>
  <si>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</si>
  <si>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</si>
  <si>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</si>
  <si>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</si>
  <si>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</si>
  <si>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</si>
  <si>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</si>
  <si>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</si>
  <si>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</si>
  <si>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</si>
  <si>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</si>
  <si>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</si>
  <si>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</si>
  <si>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</si>
  <si>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</si>
  <si>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</si>
  <si>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</si>
  <si>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</si>
  <si>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</si>
  <si>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</si>
  <si>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</si>
  <si>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</si>
  <si>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</si>
  <si>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</si>
  <si>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</si>
  <si>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</si>
  <si>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</si>
  <si>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</si>
  <si>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</si>
  <si>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</si>
  <si>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</si>
  <si>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</si>
  <si>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</si>
  <si>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</si>
  <si>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</si>
  <si>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</si>
  <si>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</si>
  <si>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</si>
  <si>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</si>
  <si>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</si>
  <si>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</si>
  <si>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</si>
  <si>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</si>
  <si>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</si>
  <si>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</si>
  <si>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</si>
  <si>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</si>
  <si>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</si>
  <si>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</si>
  <si>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</si>
  <si>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</si>
  <si>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</si>
  <si>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</si>
  <si>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</si>
  <si>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</si>
  <si>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</si>
  <si>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</si>
  <si>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</si>
  <si>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</si>
  <si>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</si>
  <si>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</si>
  <si>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</si>
  <si>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</si>
  <si>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</si>
  <si>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</si>
  <si>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</si>
  <si>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</si>
  <si>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</si>
  <si>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</si>
  <si>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</si>
  <si>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</si>
  <si>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</si>
  <si>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</si>
  <si>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</si>
  <si>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</si>
  <si>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</si>
  <si>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</si>
  <si>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</si>
  <si>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</si>
  <si>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</si>
  <si>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</si>
  <si>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</si>
  <si>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</si>
  <si>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</si>
  <si>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</si>
  <si>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</si>
  <si>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</si>
  <si>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</si>
  <si>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</si>
  <si>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</si>
  <si>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</si>
  <si>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</si>
  <si>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</si>
  <si>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</si>
  <si>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</si>
  <si>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</si>
  <si>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</si>
  <si>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</si>
  <si>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</si>
  <si>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</si>
  <si>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</si>
  <si>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</si>
  <si>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</si>
  <si>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</si>
  <si>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</si>
  <si>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</si>
  <si>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</si>
  <si>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</si>
  <si>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</si>
  <si>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</si>
  <si>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</si>
  <si>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</si>
  <si>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</si>
  <si>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</si>
  <si>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</si>
  <si>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</si>
  <si>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</si>
  <si>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</si>
  <si>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</si>
  <si>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</si>
  <si>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</si>
  <si>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</si>
  <si>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</si>
  <si>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</si>
  <si>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</si>
  <si>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</si>
  <si>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</si>
  <si>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</si>
  <si>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</si>
  <si>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</si>
  <si>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</si>
  <si>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</si>
  <si>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</si>
  <si>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</si>
  <si>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</si>
  <si>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</si>
  <si>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</si>
  <si>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</si>
  <si>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</si>
  <si>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</si>
  <si>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</si>
  <si>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</si>
  <si>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</si>
  <si>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</si>
  <si>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</si>
  <si>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</si>
  <si>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</si>
  <si>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</si>
  <si>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</si>
  <si>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</si>
  <si>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</si>
  <si>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</si>
  <si>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</si>
  <si>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</si>
  <si>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</si>
  <si>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</si>
  <si>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</si>
  <si>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</si>
  <si>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</si>
  <si>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</si>
  <si>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</si>
  <si>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</si>
  <si>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</si>
  <si>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</si>
  <si>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</si>
  <si>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</si>
  <si>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</si>
  <si>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</si>
  <si>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</si>
  <si>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</si>
  <si>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</si>
  <si>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</si>
  <si>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</si>
  <si>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</si>
  <si>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</si>
  <si>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</si>
  <si>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</si>
  <si>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</si>
  <si>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</si>
  <si>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</si>
  <si>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</si>
  <si>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</si>
  <si>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</si>
  <si>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</si>
  <si>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</si>
  <si>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</si>
  <si>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</si>
  <si>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</si>
  <si>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</si>
  <si>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</si>
  <si>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</si>
  <si>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</si>
  <si>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</si>
  <si>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</si>
  <si>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</si>
  <si>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</si>
  <si>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</si>
  <si>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</si>
  <si>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</si>
  <si>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</si>
  <si>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</si>
  <si>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</si>
  <si>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</si>
  <si>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</si>
  <si>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</si>
  <si>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</si>
  <si>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</si>
  <si>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</si>
  <si>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</si>
  <si>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</si>
  <si>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</si>
  <si>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</si>
  <si>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</si>
  <si>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</si>
  <si>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</si>
  <si>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</si>
  <si>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</si>
  <si>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</si>
  <si>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</si>
  <si>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</si>
  <si>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</si>
  <si>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</si>
  <si>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</si>
  <si>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</si>
  <si>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</si>
  <si>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</si>
  <si>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</si>
  <si>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</si>
  <si>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</si>
  <si>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</si>
  <si>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</si>
  <si>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</si>
  <si>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</si>
  <si>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</si>
  <si>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</si>
  <si>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</si>
  <si>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</si>
  <si>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</si>
  <si>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</si>
  <si>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</si>
  <si>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</si>
  <si>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</si>
  <si>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</si>
  <si>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</si>
  <si>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</si>
  <si>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</si>
  <si>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</si>
  <si>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</si>
  <si>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</si>
  <si>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</si>
  <si>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</si>
  <si>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</si>
  <si>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</si>
  <si>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</si>
  <si>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</si>
  <si>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</si>
  <si>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</si>
  <si>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</si>
  <si>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</si>
  <si>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</si>
  <si>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</si>
  <si>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</si>
  <si>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</si>
  <si>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</si>
  <si>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</si>
  <si>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</si>
  <si>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</si>
  <si>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</si>
  <si>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</si>
  <si>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</si>
  <si>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</si>
  <si>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</si>
  <si>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</si>
  <si>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</si>
  <si>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</si>
  <si>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</si>
  <si>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</si>
  <si>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</si>
  <si>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</si>
  <si>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</si>
  <si>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</si>
  <si>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</si>
  <si>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</si>
  <si>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</si>
  <si>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</si>
  <si>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</si>
  <si>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</si>
  <si>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</si>
  <si>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</si>
  <si>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</si>
  <si>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</si>
  <si>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</si>
  <si>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</si>
  <si>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</si>
  <si>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</si>
  <si>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</si>
  <si>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</si>
  <si>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</si>
  <si>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</si>
  <si>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</si>
  <si>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</si>
  <si>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</si>
  <si>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</si>
  <si>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</si>
  <si>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</si>
  <si>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</si>
  <si>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</si>
  <si>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</si>
  <si>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</si>
  <si>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</si>
  <si>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</si>
  <si>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</si>
  <si>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</si>
  <si>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</si>
  <si>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</si>
  <si>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</si>
  <si>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</si>
  <si>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</si>
  <si>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</si>
  <si>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</si>
  <si>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</si>
  <si>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</si>
  <si>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</si>
  <si>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</si>
  <si>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</si>
  <si>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</si>
  <si>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</si>
  <si>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</si>
  <si>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</si>
  <si>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</si>
  <si>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</si>
  <si>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</si>
  <si>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</si>
  <si>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</si>
  <si>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</si>
  <si>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</si>
  <si>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</si>
  <si>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</si>
  <si>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</si>
  <si>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</si>
  <si>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</si>
  <si>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</si>
  <si>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</si>
  <si>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</si>
  <si>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</si>
  <si>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</si>
  <si>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</si>
  <si>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</si>
  <si>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</si>
  <si>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</si>
  <si>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</si>
  <si>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</si>
  <si>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</si>
  <si>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</si>
  <si>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</si>
  <si>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</si>
  <si>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</si>
  <si>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</si>
  <si>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</si>
  <si>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</si>
  <si>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</si>
  <si>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</si>
  <si>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</si>
  <si>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</si>
  <si>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</si>
  <si>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</si>
  <si>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</si>
  <si>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</si>
  <si>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</si>
  <si>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</si>
  <si>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</si>
  <si>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</si>
  <si>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</si>
  <si>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</si>
  <si>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</si>
  <si>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</si>
  <si>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</si>
  <si>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</si>
  <si>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</si>
  <si>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</si>
  <si>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</si>
  <si>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</si>
  <si>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</si>
  <si>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</si>
  <si>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</si>
  <si>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</si>
  <si>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</si>
  <si>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</si>
  <si>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</si>
  <si>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</si>
  <si>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</si>
  <si>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</si>
  <si>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</si>
  <si>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</si>
  <si>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</si>
  <si>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</si>
  <si>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</si>
  <si>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</si>
  <si>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</si>
  <si>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</si>
  <si>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</si>
  <si>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</si>
  <si>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</si>
  <si>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</si>
  <si>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</si>
  <si>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</si>
  <si>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</si>
  <si>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</si>
  <si>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</si>
  <si>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</si>
  <si>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</si>
  <si>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</si>
  <si>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</si>
  <si>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</si>
  <si>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</si>
  <si>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</si>
  <si>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</si>
  <si>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</si>
  <si>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</si>
  <si>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</si>
  <si>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</si>
  <si>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</si>
  <si>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</si>
  <si>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</si>
  <si>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</si>
  <si>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</si>
  <si>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</si>
  <si>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</si>
  <si>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</si>
  <si>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</si>
  <si>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</si>
  <si>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</si>
  <si>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</si>
  <si>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</si>
  <si>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</si>
  <si>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</si>
  <si>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</si>
  <si>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</si>
  <si>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</si>
  <si>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</si>
  <si>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</si>
  <si>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</si>
  <si>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</si>
  <si>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</si>
  <si>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</si>
  <si>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</si>
  <si>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</si>
  <si>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</si>
  <si>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</si>
  <si>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</si>
  <si>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</si>
  <si>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</si>
  <si>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</si>
  <si>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</si>
  <si>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</si>
  <si>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</si>
  <si>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</si>
  <si>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</si>
  <si>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</si>
  <si>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</si>
  <si>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</si>
  <si>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</si>
  <si>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</si>
  <si>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</si>
  <si>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</si>
  <si>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</si>
  <si>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</si>
  <si>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</si>
  <si>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</si>
  <si>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</si>
  <si>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</si>
  <si>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</si>
  <si>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</si>
  <si>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</si>
  <si>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</si>
  <si>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</si>
  <si>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</si>
  <si>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</si>
  <si>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</si>
  <si>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</si>
  <si>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</si>
  <si>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</si>
  <si>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</si>
  <si>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</si>
  <si>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</si>
  <si>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</si>
  <si>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</si>
  <si>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</si>
  <si>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</si>
  <si>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</si>
  <si>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</si>
  <si>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</si>
  <si>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</si>
  <si>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</si>
  <si>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</si>
  <si>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</si>
  <si>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</si>
  <si>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</si>
  <si>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</si>
  <si>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</si>
  <si>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</si>
  <si>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</si>
  <si>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</si>
  <si>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</si>
  <si>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</si>
  <si>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</si>
  <si>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</si>
  <si>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</si>
  <si>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</si>
  <si>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</si>
  <si>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</si>
  <si>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</si>
  <si>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</si>
  <si>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</si>
  <si>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</si>
  <si>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</si>
  <si>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</si>
  <si>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</si>
  <si>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</si>
  <si>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</si>
  <si>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</si>
  <si>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</si>
  <si>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</si>
  <si>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</si>
  <si>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</si>
  <si>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</si>
  <si>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</si>
  <si>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</si>
  <si>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</si>
  <si>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</si>
  <si>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</si>
  <si>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</si>
  <si>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</si>
  <si>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</si>
  <si>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</si>
  <si>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</si>
  <si>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</si>
  <si>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</si>
  <si>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</si>
  <si>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</si>
  <si>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</si>
  <si>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</si>
  <si>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</si>
  <si>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</si>
  <si>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</si>
  <si>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</si>
  <si>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</si>
  <si>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</si>
  <si>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</si>
  <si>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</si>
  <si>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</si>
  <si>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</si>
  <si>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</si>
  <si>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</si>
  <si>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</si>
  <si>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</si>
  <si>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</si>
  <si>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</si>
  <si>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</si>
  <si>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</si>
  <si>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</si>
  <si>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</si>
  <si>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</si>
  <si>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</si>
  <si>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</si>
  <si>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</si>
  <si>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</si>
  <si>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</si>
  <si>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</si>
  <si>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</si>
  <si>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</si>
  <si>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</si>
  <si>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</si>
  <si>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</si>
  <si>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</si>
  <si>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</si>
  <si>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</si>
  <si>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</si>
  <si>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</si>
  <si>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</si>
  <si>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</si>
  <si>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</si>
  <si>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</si>
  <si>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</si>
  <si>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</si>
  <si>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</si>
  <si>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</si>
  <si>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</si>
  <si>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</si>
  <si>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</si>
  <si>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</si>
  <si>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</si>
  <si>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</si>
  <si>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</si>
  <si>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</si>
  <si>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</si>
  <si>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</si>
  <si>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</si>
  <si>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</si>
  <si>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</si>
  <si>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</si>
  <si>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</si>
  <si>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</si>
  <si>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</si>
  <si>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</si>
  <si>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</si>
  <si>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</si>
  <si>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</si>
  <si>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</si>
  <si>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</si>
  <si>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</si>
  <si>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</si>
  <si>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</si>
  <si>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</si>
  <si>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</si>
  <si>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</si>
  <si>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</si>
  <si>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</si>
  <si>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</si>
  <si>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</si>
  <si>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</si>
  <si>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</si>
  <si>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</si>
  <si>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</si>
  <si>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</si>
  <si>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</si>
  <si>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</si>
  <si>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</si>
  <si>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</si>
  <si>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</si>
  <si>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</si>
  <si>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</si>
  <si>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</si>
  <si>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</si>
  <si>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</si>
  <si>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</si>
  <si>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</si>
  <si>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</si>
  <si>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</si>
  <si>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</si>
  <si>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</si>
  <si>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</si>
  <si>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</si>
  <si>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</si>
  <si>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</si>
  <si>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</si>
  <si>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</si>
  <si>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</si>
  <si>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</si>
  <si>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</si>
  <si>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</si>
  <si>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</si>
  <si>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</si>
  <si>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</si>
  <si>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</si>
  <si>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</si>
  <si>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</si>
  <si>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</si>
  <si>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</si>
  <si>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</si>
  <si>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</si>
  <si>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</si>
  <si>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</si>
  <si>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</si>
  <si>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</si>
  <si>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</si>
  <si>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</si>
  <si>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</si>
  <si>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</si>
  <si>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</si>
  <si>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</si>
  <si>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</si>
  <si>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</si>
  <si>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</si>
  <si>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</si>
  <si>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</si>
  <si>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</si>
  <si>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</si>
  <si>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</si>
  <si>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</si>
  <si>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</si>
  <si>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</si>
  <si>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</si>
  <si>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</si>
  <si>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</si>
  <si>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</si>
  <si>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</si>
  <si>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</si>
  <si>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</si>
  <si>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</si>
  <si>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</si>
  <si>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</si>
  <si>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</si>
  <si>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</si>
  <si>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</si>
  <si>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</si>
  <si>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</si>
  <si>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</si>
  <si>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</si>
  <si>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</si>
  <si>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</si>
  <si>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</si>
  <si>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</si>
  <si>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</si>
  <si>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</si>
  <si>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</si>
  <si>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</si>
  <si>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</si>
  <si>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</si>
  <si>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</si>
  <si>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</si>
  <si>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</si>
  <si>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</si>
  <si>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</si>
  <si>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</si>
  <si>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</si>
  <si>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</si>
  <si>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</si>
  <si>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</si>
  <si>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</si>
  <si>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</si>
  <si>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</si>
  <si>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</si>
  <si>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</si>
  <si>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</si>
  <si>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</si>
  <si>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</si>
  <si>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</si>
  <si>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</si>
  <si>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</si>
  <si>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</si>
  <si>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</si>
  <si>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</si>
  <si>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</si>
  <si>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</si>
  <si>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</si>
  <si>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</si>
  <si>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</si>
  <si>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</si>
  <si>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</si>
  <si>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</si>
  <si>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</si>
  <si>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</si>
  <si>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</si>
  <si>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</si>
  <si>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</si>
  <si>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</si>
  <si>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</si>
  <si>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</si>
  <si>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</si>
  <si>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</si>
  <si>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</si>
  <si>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</si>
  <si>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</si>
  <si>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</si>
  <si>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</si>
  <si>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</si>
  <si>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</si>
  <si>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</si>
  <si>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</si>
  <si>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</si>
  <si>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</si>
  <si>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</si>
  <si>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</si>
  <si>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</si>
  <si>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</si>
  <si>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</si>
  <si>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</si>
  <si>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</si>
  <si>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</si>
  <si>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</si>
  <si>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</si>
  <si>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</si>
  <si>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</si>
  <si>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</si>
  <si>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</si>
  <si>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</si>
  <si>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</si>
  <si>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</si>
  <si>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</si>
  <si>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</si>
  <si>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</si>
  <si>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</si>
  <si>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</si>
  <si>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</si>
  <si>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</si>
  <si>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</si>
  <si>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</si>
  <si>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</si>
  <si>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</si>
  <si>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</si>
  <si>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</si>
  <si>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</si>
  <si>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</si>
  <si>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</si>
  <si>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</si>
  <si>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</si>
  <si>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</si>
  <si>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</si>
  <si>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</si>
  <si>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</si>
  <si>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</si>
  <si>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</si>
  <si>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</si>
  <si>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</si>
  <si>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</si>
  <si>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</si>
  <si>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</si>
  <si>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</si>
  <si>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</si>
  <si>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</si>
  <si>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</si>
  <si>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</si>
  <si>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</si>
  <si>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</si>
  <si>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</si>
  <si>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</si>
  <si>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</si>
  <si>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</si>
  <si>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</si>
  <si>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</si>
  <si>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</si>
  <si>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</si>
  <si>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</si>
  <si>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</si>
  <si>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</si>
  <si>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</si>
  <si>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</si>
  <si>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</si>
  <si>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</si>
  <si>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</si>
  <si>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</si>
  <si>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</si>
  <si>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</si>
  <si>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</si>
  <si>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</si>
  <si>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</si>
  <si>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</si>
  <si>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</si>
  <si>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</si>
  <si>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</si>
  <si>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</si>
  <si>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</si>
  <si>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</si>
  <si>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</si>
  <si>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</si>
  <si>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</si>
  <si>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</si>
  <si>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</si>
  <si>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</si>
  <si>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</si>
  <si>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</si>
  <si>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</si>
  <si>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</si>
  <si>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</si>
  <si>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</si>
  <si>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</si>
  <si>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</si>
  <si>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</si>
  <si>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</si>
  <si>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</si>
  <si>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</si>
  <si>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</si>
  <si>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</si>
  <si>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</si>
  <si>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</si>
  <si>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</si>
  <si>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</si>
  <si>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</si>
  <si>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</si>
  <si>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</si>
  <si>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</si>
  <si>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</si>
  <si>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</si>
  <si>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</si>
  <si>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</si>
  <si>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</si>
  <si>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</si>
  <si>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</si>
  <si>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</si>
  <si>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</si>
  <si>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</si>
  <si>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</si>
  <si>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</si>
  <si>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</si>
  <si>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</si>
  <si>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</si>
  <si>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</si>
  <si>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</si>
  <si>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</si>
  <si>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</si>
  <si>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</si>
  <si>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</si>
  <si>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</si>
  <si>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</si>
  <si>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</si>
  <si>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</si>
  <si>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</si>
  <si>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</si>
  <si>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</si>
  <si>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</si>
  <si>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</si>
  <si>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</si>
  <si>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</si>
  <si>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</si>
  <si>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</si>
  <si>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</si>
  <si>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</si>
  <si>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</si>
  <si>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</si>
  <si>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</si>
  <si>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</si>
  <si>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</si>
  <si>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</si>
  <si>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</si>
  <si>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</si>
  <si>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</si>
  <si>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</si>
  <si>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</si>
  <si>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</si>
  <si>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</si>
  <si>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</si>
  <si>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</si>
  <si>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</si>
  <si>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</si>
  <si>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</si>
  <si>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</si>
  <si>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</si>
  <si>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</si>
  <si>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</si>
  <si>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</si>
  <si>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</si>
  <si>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</si>
  <si>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</si>
  <si>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</si>
  <si>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</si>
  <si>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</si>
  <si>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</si>
  <si>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</si>
  <si>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</si>
  <si>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</si>
  <si>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</si>
  <si>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</si>
  <si>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</si>
  <si>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</si>
  <si>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</si>
  <si>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</si>
  <si>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</si>
  <si>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</si>
  <si>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</si>
  <si>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</si>
  <si>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</si>
  <si>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</si>
  <si>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</si>
  <si>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</si>
  <si>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</si>
  <si>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</si>
  <si>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</si>
  <si>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</si>
  <si>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</si>
  <si>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</si>
  <si>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</si>
  <si>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</si>
  <si>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</si>
  <si>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</si>
  <si>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</si>
  <si>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</si>
  <si>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</si>
  <si>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</si>
  <si>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</si>
  <si>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</si>
  <si>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</si>
  <si>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</si>
  <si>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</si>
  <si>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</si>
  <si>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</si>
  <si>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</si>
  <si>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</si>
  <si>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</si>
  <si>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</si>
  <si>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</si>
  <si>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</si>
  <si>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</si>
  <si>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</si>
  <si>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</si>
  <si>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</si>
  <si>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</si>
  <si>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</si>
  <si>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</si>
  <si>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</si>
  <si>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</si>
  <si>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</si>
  <si>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</si>
  <si>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</si>
  <si>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</si>
  <si>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</si>
  <si>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</si>
  <si>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</si>
  <si>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</si>
  <si>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</si>
  <si>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</si>
  <si>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</si>
  <si>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</si>
  <si>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</si>
  <si>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</si>
  <si>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</si>
  <si>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</si>
  <si>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</si>
  <si>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</si>
  <si>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</si>
  <si>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</si>
  <si>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</si>
  <si>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</si>
  <si>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</si>
  <si>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</si>
  <si>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</si>
  <si>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</si>
  <si>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</si>
  <si>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</si>
  <si>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</si>
  <si>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</si>
  <si>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</si>
  <si>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</si>
  <si>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</si>
  <si>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</si>
  <si>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</si>
  <si>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</si>
  <si>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</si>
  <si>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</si>
  <si>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</si>
  <si>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</si>
  <si>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</si>
  <si>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</si>
  <si>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</si>
  <si>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</si>
  <si>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</si>
  <si>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</si>
  <si>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</si>
  <si>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</si>
  <si>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</si>
  <si>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</si>
  <si>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</si>
  <si>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</si>
  <si>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</si>
  <si>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</si>
  <si>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</si>
  <si>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</si>
  <si>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</si>
  <si>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</si>
  <si>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</si>
  <si>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</si>
  <si>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</si>
  <si>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</si>
  <si>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</si>
  <si>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</si>
  <si>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</si>
  <si>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</si>
  <si>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</si>
  <si>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</si>
  <si>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</si>
  <si>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</si>
  <si>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</si>
  <si>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</si>
  <si>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</si>
  <si>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</si>
  <si>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</si>
  <si>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</si>
  <si>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</si>
  <si>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</si>
  <si>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</si>
  <si>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</si>
  <si>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</si>
  <si>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</si>
  <si>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</si>
  <si>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</si>
  <si>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</si>
  <si>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</si>
  <si>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</si>
  <si>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</si>
  <si>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</si>
  <si>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</si>
  <si>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</si>
  <si>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</si>
  <si>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</si>
  <si>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</si>
  <si>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</si>
  <si>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</si>
  <si>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</si>
  <si>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</si>
  <si>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</si>
  <si>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</si>
  <si>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</si>
  <si>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</si>
  <si>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</si>
  <si>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</si>
  <si>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</si>
  <si>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</si>
  <si>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</si>
  <si>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</si>
  <si>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</si>
  <si>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</si>
  <si>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</si>
  <si>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</si>
  <si>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</si>
  <si>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</si>
  <si>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</si>
  <si>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</si>
  <si>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</si>
  <si>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</si>
  <si>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</si>
  <si>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</si>
  <si>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</si>
  <si>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</si>
  <si>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</si>
  <si>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</si>
  <si>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</si>
  <si>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</si>
  <si>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</si>
  <si>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</si>
  <si>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</si>
  <si>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</si>
  <si>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</si>
  <si>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</si>
  <si>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</si>
  <si>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</si>
  <si>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</si>
  <si>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</si>
  <si>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</si>
  <si>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</si>
  <si>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</si>
  <si>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</si>
  <si>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</si>
  <si>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</si>
  <si>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</si>
  <si>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</si>
  <si>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</si>
  <si>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</si>
  <si>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</si>
  <si>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</si>
  <si>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</si>
  <si>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</si>
  <si>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</si>
  <si>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</si>
  <si>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</si>
  <si>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</si>
  <si>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</si>
  <si>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</si>
  <si>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</si>
  <si>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</si>
  <si>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</si>
  <si>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</si>
  <si>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</si>
  <si>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</si>
  <si>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</si>
  <si>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</si>
  <si>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</si>
  <si>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</si>
  <si>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</si>
  <si>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</si>
  <si>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</si>
  <si>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</si>
  <si>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</si>
  <si>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</si>
  <si>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</si>
  <si>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</si>
  <si>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</si>
  <si>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</si>
  <si>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</si>
  <si>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</si>
  <si>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</si>
  <si>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</si>
  <si>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</si>
  <si>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</si>
  <si>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</si>
  <si>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</si>
  <si>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</si>
  <si>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</si>
  <si>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</si>
  <si>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</si>
  <si>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</si>
  <si>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</si>
  <si>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</si>
  <si>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</si>
  <si>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</si>
  <si>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</si>
  <si>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</si>
  <si>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</si>
  <si>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</si>
  <si>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</si>
  <si>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</si>
  <si>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</si>
  <si>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</si>
  <si>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</si>
  <si>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</si>
  <si>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</si>
  <si>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</si>
  <si>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</si>
  <si>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</si>
  <si>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</si>
  <si>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</si>
  <si>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</si>
  <si>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</si>
  <si>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</si>
  <si>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</si>
  <si>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</si>
  <si>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</si>
  <si>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</si>
  <si>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</si>
  <si>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</si>
  <si>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</si>
  <si>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</si>
  <si>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</si>
  <si>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</si>
  <si>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</si>
  <si>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</si>
  <si>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</si>
  <si>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</si>
  <si>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</si>
  <si>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</si>
  <si>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</si>
  <si>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</si>
  <si>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</si>
  <si>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</si>
  <si>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</si>
  <si>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</si>
  <si>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</si>
  <si>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</si>
  <si>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</si>
  <si>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</si>
  <si>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</si>
  <si>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</si>
  <si>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</si>
  <si>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</si>
  <si>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</si>
  <si>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</si>
  <si>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</si>
  <si>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</si>
  <si>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</si>
  <si>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</si>
  <si>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</si>
  <si>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</si>
  <si>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</si>
  <si>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</si>
  <si>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</si>
  <si>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</si>
  <si>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</si>
  <si>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</si>
  <si>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</si>
  <si>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</si>
  <si>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</si>
  <si>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</si>
  <si>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</si>
  <si>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</si>
  <si>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</si>
  <si>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</si>
  <si>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</si>
  <si>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</si>
  <si>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</si>
  <si>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</si>
  <si>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</si>
  <si>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</si>
  <si>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</si>
  <si>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</si>
  <si>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</si>
  <si>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</si>
  <si>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</si>
  <si>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</si>
  <si>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</si>
  <si>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</si>
  <si>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</si>
  <si>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</si>
  <si>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</si>
  <si>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</si>
  <si>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</si>
  <si>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</si>
  <si>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</si>
  <si>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</si>
  <si>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</si>
  <si>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</si>
  <si>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</si>
  <si>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</si>
  <si>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</si>
  <si>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</si>
  <si>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</si>
  <si>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</si>
  <si>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</si>
  <si>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</si>
  <si>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</si>
  <si>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</si>
  <si>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</si>
  <si>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</si>
  <si>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</si>
  <si>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</si>
  <si>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</si>
  <si>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</si>
  <si>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</si>
  <si>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</si>
  <si>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</si>
  <si>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</si>
  <si>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</si>
  <si>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</si>
  <si>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</si>
  <si>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</si>
  <si>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</si>
  <si>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</si>
  <si>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</si>
  <si>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</si>
  <si>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</si>
  <si>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</si>
  <si>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</si>
  <si>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</si>
  <si>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</si>
  <si>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</si>
  <si>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</si>
  <si>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</si>
  <si>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</si>
  <si>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</si>
  <si>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</si>
  <si>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</si>
  <si>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</si>
  <si>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</si>
  <si>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</si>
  <si>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</si>
  <si>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</si>
  <si>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</si>
  <si>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</si>
  <si>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</si>
  <si>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</si>
  <si>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</si>
  <si>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</si>
  <si>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</si>
  <si>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</si>
  <si>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</si>
  <si>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</si>
  <si>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</si>
  <si>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</si>
  <si>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</si>
  <si>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</si>
  <si>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</si>
  <si>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</si>
  <si>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</si>
  <si>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</si>
  <si>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</si>
  <si>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</si>
  <si>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</si>
  <si>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</si>
  <si>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</si>
  <si>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</si>
  <si>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</si>
  <si>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</si>
  <si>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</si>
  <si>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</si>
  <si>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</si>
  <si>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</si>
  <si>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</si>
  <si>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</si>
  <si>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</si>
  <si>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</si>
  <si>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</si>
  <si>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</si>
  <si>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</si>
  <si>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</si>
  <si>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</si>
  <si>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</si>
  <si>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</si>
  <si>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</si>
  <si>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</si>
  <si>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</si>
  <si>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</si>
  <si>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</si>
  <si>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</si>
  <si>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</si>
  <si>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</si>
  <si>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</si>
  <si>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</si>
  <si>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</si>
  <si>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</si>
  <si>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</si>
  <si>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</si>
  <si>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</si>
  <si>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</si>
  <si>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</si>
  <si>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</si>
  <si>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</si>
  <si>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</si>
  <si>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</si>
  <si>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</si>
  <si>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</si>
  <si>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</si>
  <si>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</si>
  <si>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</si>
  <si>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</si>
  <si>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</si>
  <si>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</si>
  <si>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</si>
  <si>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</si>
  <si>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</si>
  <si>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</si>
  <si>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</si>
  <si>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</si>
  <si>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</si>
  <si>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</si>
  <si>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</si>
  <si>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</si>
  <si>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</si>
  <si>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</si>
  <si>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</si>
  <si>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</si>
  <si>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</si>
  <si>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</si>
  <si>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</si>
  <si>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</si>
  <si>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</si>
  <si>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</si>
  <si>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</si>
  <si>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</si>
  <si>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</si>
  <si>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</si>
  <si>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</si>
  <si>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</si>
  <si>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</si>
  <si>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</si>
  <si>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</si>
  <si>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</si>
  <si>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</si>
  <si>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</si>
  <si>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</si>
  <si>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</si>
  <si>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</si>
  <si>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</si>
  <si>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</si>
  <si>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</si>
  <si>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</si>
  <si>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</si>
  <si>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</si>
  <si>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</si>
  <si>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</si>
  <si>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</si>
  <si>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</si>
  <si>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</si>
  <si>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</si>
  <si>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</si>
  <si>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</si>
  <si>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</si>
  <si>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</si>
  <si>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</si>
  <si>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</si>
  <si>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</si>
  <si>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</si>
  <si>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</si>
  <si>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</si>
  <si>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</si>
  <si>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</si>
  <si>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</si>
  <si>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</si>
  <si>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</si>
  <si>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</si>
  <si>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</si>
  <si>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</si>
  <si>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</si>
  <si>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</si>
  <si>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</si>
  <si>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</si>
  <si>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</si>
  <si>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</si>
  <si>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</si>
  <si>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</si>
  <si>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</si>
  <si>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</si>
  <si>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</si>
  <si>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</si>
  <si>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</si>
  <si>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</si>
  <si>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</si>
  <si>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</si>
  <si>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</si>
  <si>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</si>
  <si>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</si>
  <si>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</si>
  <si>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</si>
  <si>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</si>
  <si>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</si>
  <si>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</si>
  <si>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</si>
  <si>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</si>
  <si>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</si>
  <si>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</si>
  <si>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</si>
  <si>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</si>
  <si>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</si>
  <si>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</si>
  <si>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</si>
  <si>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</si>
  <si>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</si>
  <si>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</si>
  <si>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</si>
  <si>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</si>
  <si>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</si>
  <si>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</si>
  <si>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</si>
  <si>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</si>
  <si>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</si>
  <si>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</si>
  <si>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</si>
  <si>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</si>
  <si>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</si>
  <si>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</si>
  <si>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</si>
  <si>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</si>
  <si>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</si>
  <si>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</si>
  <si>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</si>
  <si>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</si>
  <si>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</si>
  <si>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</si>
  <si>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</si>
  <si>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</si>
  <si>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</si>
  <si>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</si>
  <si>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</si>
  <si>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</si>
  <si>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</si>
  <si>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</si>
  <si>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</si>
  <si>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</si>
  <si>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</si>
  <si>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</si>
  <si>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</si>
  <si>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</si>
  <si>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</si>
  <si>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</si>
  <si>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</si>
  <si>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</si>
  <si>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</si>
  <si>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</si>
  <si>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</si>
  <si>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</si>
  <si>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</si>
  <si>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</si>
  <si>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</si>
  <si>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</si>
  <si>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</si>
  <si>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</si>
  <si>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</si>
  <si>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</si>
  <si>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</si>
  <si>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</si>
  <si>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</si>
  <si>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</si>
  <si>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</si>
  <si>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</si>
  <si>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</si>
  <si>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</si>
  <si>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</si>
  <si>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</si>
  <si>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</si>
  <si>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</si>
  <si>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</si>
  <si>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</si>
  <si>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</si>
  <si>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</si>
  <si>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</si>
  <si>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</si>
  <si>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</si>
  <si>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</si>
  <si>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</si>
  <si>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</si>
  <si>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</si>
  <si>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</si>
  <si>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</si>
  <si>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</si>
  <si>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</si>
  <si>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</si>
  <si>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</si>
  <si>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</si>
  <si>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</si>
  <si>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</si>
  <si>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</si>
  <si>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</si>
  <si>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</si>
  <si>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</si>
  <si>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</si>
  <si>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</si>
  <si>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</si>
  <si>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</si>
  <si>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</si>
  <si>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</si>
  <si>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</si>
  <si>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</si>
  <si>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</si>
  <si>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</si>
  <si>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</si>
  <si>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</si>
  <si>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</si>
  <si>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</si>
  <si>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</si>
  <si>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</si>
  <si>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</si>
  <si>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</si>
  <si>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</si>
  <si>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</si>
  <si>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</si>
  <si>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</si>
  <si>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</si>
  <si>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</si>
  <si>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</si>
  <si>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</si>
  <si>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</si>
  <si>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</si>
  <si>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</si>
  <si>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</si>
  <si>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</si>
  <si>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</si>
  <si>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</si>
  <si>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</si>
  <si>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</si>
  <si>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</si>
  <si>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</si>
  <si>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</si>
  <si>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</si>
  <si>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</si>
  <si>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</si>
  <si>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</si>
  <si>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</si>
  <si>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</si>
  <si>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</si>
  <si>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</si>
  <si>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</si>
  <si>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</si>
  <si>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</si>
  <si>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</si>
  <si>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</si>
  <si>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</si>
  <si>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</si>
  <si>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</si>
  <si>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</si>
  <si>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</si>
  <si>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</si>
  <si>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</si>
  <si>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</si>
  <si>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</si>
  <si>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</si>
  <si>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</si>
  <si>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</si>
  <si>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</si>
  <si>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</si>
  <si>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</si>
  <si>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</si>
  <si>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</si>
  <si>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</si>
  <si>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</si>
  <si>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</si>
  <si>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</si>
  <si>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</si>
  <si>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</si>
  <si>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</si>
  <si>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</si>
  <si>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</si>
  <si>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</si>
  <si>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</si>
  <si>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</si>
  <si>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</si>
  <si>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</si>
  <si>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</si>
  <si>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</si>
  <si>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</si>
  <si>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</si>
  <si>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</si>
  <si>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</si>
  <si>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</si>
  <si>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</si>
  <si>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</si>
  <si>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</si>
  <si>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</si>
  <si>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</si>
  <si>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</si>
  <si>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</si>
  <si>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</si>
  <si>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</si>
  <si>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</si>
  <si>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</si>
  <si>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</si>
  <si>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</si>
  <si>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</si>
  <si>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</si>
  <si>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</si>
  <si>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</si>
  <si>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</si>
  <si>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</si>
  <si>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</si>
  <si>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</si>
  <si>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</si>
  <si>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</si>
  <si>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</si>
  <si>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</si>
  <si>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</si>
  <si>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</si>
  <si>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</si>
  <si>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</si>
  <si>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</si>
  <si>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</si>
  <si>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</si>
  <si>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</si>
  <si>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</si>
  <si>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</si>
  <si>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</si>
  <si>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</si>
  <si>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</si>
  <si>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</si>
  <si>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</si>
  <si>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</si>
  <si>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</si>
  <si>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</si>
  <si>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</si>
  <si>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</si>
  <si>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</si>
  <si>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</si>
  <si>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</si>
  <si>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</si>
  <si>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</si>
  <si>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</si>
  <si>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</si>
  <si>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</si>
  <si>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</si>
  <si>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</si>
  <si>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</si>
  <si>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</si>
  <si>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</si>
  <si>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</si>
  <si>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</si>
  <si>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</si>
  <si>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</si>
  <si>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</si>
  <si>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</si>
  <si>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</si>
  <si>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</si>
  <si>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</si>
  <si>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</si>
  <si>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</si>
  <si>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</si>
  <si>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</si>
  <si>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</si>
  <si>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</si>
  <si>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</si>
  <si>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</si>
  <si>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</si>
  <si>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</si>
  <si>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</si>
  <si>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</si>
  <si>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</si>
  <si>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</si>
  <si>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</si>
  <si>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</si>
  <si>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</si>
  <si>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</si>
  <si>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</si>
  <si>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</si>
  <si>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</si>
  <si>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</si>
  <si>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</si>
  <si>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</si>
  <si>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</si>
  <si>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</si>
  <si>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</si>
  <si>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</si>
  <si>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</si>
  <si>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</si>
  <si>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</si>
  <si>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</si>
  <si>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</si>
  <si>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</si>
  <si>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</si>
  <si>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</si>
  <si>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</si>
  <si>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</si>
  <si>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</si>
  <si>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</si>
  <si>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</si>
  <si>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</si>
  <si>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</si>
  <si>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</si>
  <si>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</si>
  <si>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</si>
  <si>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</si>
  <si>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</si>
  <si>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</si>
  <si>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</si>
  <si>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</si>
  <si>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</si>
  <si>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</si>
  <si>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</si>
  <si>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</si>
  <si>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</si>
  <si>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</si>
  <si>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</si>
  <si>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</si>
  <si>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</si>
  <si>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</si>
  <si>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</si>
  <si>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</si>
  <si>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</si>
  <si>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</si>
  <si>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</si>
  <si>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</si>
  <si>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</si>
  <si>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</si>
  <si>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</si>
  <si>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</si>
  <si>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</si>
  <si>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</si>
  <si>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</si>
  <si>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</si>
  <si>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</si>
  <si>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</si>
  <si>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</si>
  <si>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</si>
  <si>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</si>
  <si>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</si>
  <si>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</si>
  <si>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</si>
  <si>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</si>
  <si>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</si>
  <si>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</si>
  <si>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</si>
  <si>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</si>
  <si>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</si>
  <si>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</si>
  <si>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</si>
  <si>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</si>
  <si>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</si>
  <si>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</si>
  <si>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</si>
  <si>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</si>
  <si>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</si>
  <si>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</si>
  <si>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</si>
  <si>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</si>
  <si>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</si>
  <si>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</si>
  <si>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</si>
  <si>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</si>
  <si>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</si>
  <si>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</si>
  <si>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</si>
  <si>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</si>
  <si>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</si>
  <si>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</si>
  <si>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</si>
  <si>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</si>
  <si>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</si>
  <si>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</si>
  <si>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</si>
  <si>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</si>
  <si>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</si>
  <si>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</si>
  <si>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</si>
  <si>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</si>
  <si>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</si>
  <si>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</si>
  <si>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</si>
  <si>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</si>
  <si>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</si>
  <si>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</si>
  <si>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</si>
  <si>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</si>
  <si>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</si>
  <si>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</si>
  <si>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</si>
  <si>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</si>
  <si>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</si>
  <si>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</si>
  <si>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</si>
  <si>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</si>
  <si>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</si>
  <si>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</si>
  <si>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</si>
  <si>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</si>
  <si>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</si>
  <si>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</si>
  <si>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</si>
  <si>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</si>
  <si>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</si>
  <si>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</si>
  <si>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</si>
  <si>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</si>
  <si>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</si>
  <si>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</si>
  <si>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</si>
  <si>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</si>
  <si>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</si>
  <si>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</si>
  <si>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</si>
  <si>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</si>
  <si>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</si>
  <si>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</si>
  <si>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</si>
  <si>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</si>
  <si>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</si>
  <si>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</si>
  <si>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</si>
  <si>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</si>
  <si>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</si>
  <si>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</si>
  <si>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</si>
  <si>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</si>
  <si>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</si>
  <si>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</si>
  <si>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</si>
  <si>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</si>
  <si>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</si>
  <si>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</si>
  <si>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</si>
  <si>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</si>
  <si>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</si>
  <si>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</si>
  <si>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土地证</t>
    <phoneticPr fontId="140" type="noConversion"/>
  </si>
  <si>
    <t>产权人</t>
    <phoneticPr fontId="140" type="noConversion"/>
  </si>
  <si>
    <t>坐落</t>
    <phoneticPr fontId="140" type="noConversion"/>
  </si>
  <si>
    <t>用途</t>
    <phoneticPr fontId="140" type="noConversion"/>
  </si>
  <si>
    <t>土地面积</t>
    <phoneticPr fontId="140" type="noConversion"/>
  </si>
  <si>
    <t>京兴国用（2007出）第00076号</t>
    <phoneticPr fontId="140" type="noConversion"/>
  </si>
  <si>
    <t>大兴区黄村卫星城前高米店村北侧</t>
    <phoneticPr fontId="140" type="noConversion"/>
  </si>
  <si>
    <t>配套</t>
  </si>
  <si>
    <t>配套</t>
    <phoneticPr fontId="140" type="noConversion"/>
  </si>
  <si>
    <t>终止日期</t>
    <phoneticPr fontId="140" type="noConversion"/>
  </si>
  <si>
    <t>房产证</t>
    <phoneticPr fontId="140" type="noConversion"/>
  </si>
  <si>
    <t>X京房权证兴字第023137号</t>
    <phoneticPr fontId="140" type="noConversion"/>
  </si>
  <si>
    <t>北京兴悦港房地产咨询有限公司</t>
    <phoneticPr fontId="140" type="noConversion"/>
  </si>
  <si>
    <t>大兴区兴华大街2号1幢</t>
    <phoneticPr fontId="140" type="noConversion"/>
  </si>
  <si>
    <t>建筑面积</t>
    <phoneticPr fontId="140" type="noConversion"/>
  </si>
  <si>
    <t>首佳6月评估</t>
    <phoneticPr fontId="140" type="noConversion"/>
  </si>
  <si>
    <t>2.5亿</t>
    <phoneticPr fontId="140" type="noConversion"/>
  </si>
  <si>
    <t>净值2.24亿</t>
    <phoneticPr fontId="140" type="noConversion"/>
  </si>
  <si>
    <t>建成年代</t>
    <phoneticPr fontId="140" type="noConversion"/>
  </si>
  <si>
    <t>现状</t>
    <phoneticPr fontId="140" type="noConversion"/>
  </si>
  <si>
    <t>1-2层为底商，2-6为酒店、局部办公。B1为酒店配套餐厅、宿舍、设备用房。</t>
    <phoneticPr fontId="140" type="noConversion"/>
  </si>
  <si>
    <t>汽车库，设备用房，综合楼</t>
    <phoneticPr fontId="140" type="noConversion"/>
  </si>
  <si>
    <t>租赁情况：</t>
    <phoneticPr fontId="140" type="noConversion"/>
  </si>
  <si>
    <t>承租人</t>
    <phoneticPr fontId="140" type="noConversion"/>
  </si>
  <si>
    <t>租赁面积</t>
    <phoneticPr fontId="140" type="noConversion"/>
  </si>
  <si>
    <t>租赁期限</t>
    <phoneticPr fontId="140" type="noConversion"/>
  </si>
  <si>
    <t>北京鼎千福达物业管理有限公司</t>
    <phoneticPr fontId="140" type="noConversion"/>
  </si>
  <si>
    <t>起始租金</t>
    <phoneticPr fontId="140" type="noConversion"/>
  </si>
  <si>
    <t>每年递增5%</t>
    <phoneticPr fontId="140" type="noConversion"/>
  </si>
  <si>
    <t>押金</t>
    <phoneticPr fontId="140" type="noConversion"/>
  </si>
  <si>
    <t>50万</t>
    <phoneticPr fontId="140" type="noConversion"/>
  </si>
  <si>
    <t>花玉素（北京）建筑装饰工程设计有限公司</t>
    <phoneticPr fontId="140" type="noConversion"/>
  </si>
  <si>
    <t>2018-5-30至2028-12-31</t>
    <phoneticPr fontId="140" type="noConversion"/>
  </si>
  <si>
    <t>15万</t>
    <phoneticPr fontId="140" type="noConversion"/>
  </si>
  <si>
    <t>麦当劳</t>
    <phoneticPr fontId="140" type="noConversion"/>
  </si>
  <si>
    <t>2011-8-12至2026-8-12</t>
    <phoneticPr fontId="140" type="noConversion"/>
  </si>
  <si>
    <t>2020至2023-8-12</t>
    <phoneticPr fontId="140" type="noConversion"/>
  </si>
  <si>
    <t>2023至2026-8-13</t>
    <phoneticPr fontId="140" type="noConversion"/>
  </si>
  <si>
    <t>保底租金</t>
    <phoneticPr fontId="140" type="noConversion"/>
  </si>
  <si>
    <t>提成租金</t>
    <phoneticPr fontId="140" type="noConversion"/>
  </si>
  <si>
    <t>销售额11%</t>
    <phoneticPr fontId="140" type="noConversion"/>
  </si>
  <si>
    <t>销售额11%</t>
    <phoneticPr fontId="140" type="noConversion"/>
  </si>
  <si>
    <t>浦发银行</t>
    <phoneticPr fontId="140" type="noConversion"/>
  </si>
  <si>
    <t>2019-4-1至2024-1-31</t>
    <phoneticPr fontId="140" type="noConversion"/>
  </si>
  <si>
    <t>押金三个月</t>
    <phoneticPr fontId="140" type="noConversion"/>
  </si>
  <si>
    <t>北京鑫润捷商贸有限责任公司</t>
    <phoneticPr fontId="140" type="noConversion"/>
  </si>
  <si>
    <t>2017年11-30至2030年12-31</t>
    <phoneticPr fontId="140" type="noConversion"/>
  </si>
  <si>
    <t>终止日期</t>
    <phoneticPr fontId="140" type="noConversion"/>
  </si>
  <si>
    <t>2021-9-1至2031-8-31</t>
    <phoneticPr fontId="140" type="noConversion"/>
  </si>
  <si>
    <t>租约期内</t>
    <phoneticPr fontId="140" type="noConversion"/>
  </si>
  <si>
    <t>出让</t>
  </si>
  <si>
    <t>年</t>
    <phoneticPr fontId="140" type="noConversion"/>
  </si>
  <si>
    <t>2022年租金</t>
    <phoneticPr fontId="140" type="noConversion"/>
  </si>
  <si>
    <t>抵押</t>
  </si>
  <si>
    <t>房地产抵押价值</t>
  </si>
  <si>
    <t>北京市</t>
  </si>
  <si>
    <t>企业</t>
  </si>
  <si>
    <r>
      <rPr>
        <sz val="10"/>
        <color theme="9" tint="-0.249977111117893"/>
        <rFont val="宋体"/>
        <family val="3"/>
        <charset val="134"/>
      </rPr>
      <t>大兴区兴华大街</t>
    </r>
    <r>
      <rPr>
        <sz val="10"/>
        <color theme="9" tint="-0.249977111117893"/>
        <rFont val="Arial"/>
        <family val="2"/>
      </rPr>
      <t>2</t>
    </r>
    <r>
      <rPr>
        <sz val="10"/>
        <color theme="9" tint="-0.249977111117893"/>
        <rFont val="宋体"/>
        <family val="3"/>
        <charset val="134"/>
      </rPr>
      <t>号</t>
    </r>
    <phoneticPr fontId="6" type="noConversion"/>
  </si>
  <si>
    <t>是</t>
  </si>
  <si>
    <t>地上</t>
  </si>
  <si>
    <t>独立商业</t>
  </si>
  <si>
    <t>地下</t>
  </si>
  <si>
    <t>配套</t>
    <phoneticPr fontId="7" type="noConversion"/>
  </si>
  <si>
    <t>成新度</t>
  </si>
  <si>
    <t>直线</t>
    <phoneticPr fontId="3" type="noConversion"/>
  </si>
  <si>
    <t>观察</t>
    <phoneticPr fontId="3" type="noConversion"/>
  </si>
  <si>
    <t>综合</t>
    <phoneticPr fontId="3" type="noConversion"/>
  </si>
  <si>
    <t>押三</t>
  </si>
  <si>
    <t>按租金收入计税</t>
  </si>
  <si>
    <t>钢混</t>
  </si>
  <si>
    <t>非生产用房</t>
  </si>
  <si>
    <t>收益法</t>
  </si>
  <si>
    <t>成本法</t>
  </si>
  <si>
    <t>利息：取LPR加浮动点数</t>
  </si>
  <si>
    <t>Ⅵ-兴1</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</si>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</sst>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FF000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vertical="center" wrapText="1"/>
    </xf>
    <xf numFmtId="0" fontId="255" fillId="0" borderId="0" xfId="0" applyFont="1" applyAlignment="1">
      <alignment vertical="center" wrapText="1"/>
    </xf>
    <xf numFmtId="0" fontId="256" fillId="0" borderId="0" xfId="0" applyFont="1" applyAlignment="1">
      <alignment vertical="center" wrapText="1"/>
    </xf>
    <xf numFmtId="14" fontId="111" fillId="0" borderId="0" xfId="0" applyNumberFormat="1" applyFont="1" applyAlignment="1">
      <alignment vertical="center" wrapText="1"/>
    </xf>
    <xf numFmtId="14" fontId="111" fillId="0" borderId="0" xfId="0" applyNumberFormat="1" applyFont="1" applyAlignment="1" applyProtection="1">
      <alignment vertical="center" wrapText="1"/>
      <protection locked="0"/>
    </xf>
    <xf numFmtId="14" fontId="255" fillId="0" borderId="0" xfId="0" applyNumberFormat="1" applyFont="1" applyAlignment="1">
      <alignment vertical="center" wrapText="1"/>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111" fillId="0" borderId="0" xfId="0" applyFont="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370743</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57143" cy="3457143"/>
        </a:xfrm>
        <a:prstGeom prst="rect">
          <a:avLst/>
        </a:prstGeom>
      </xdr:spPr>
    </xdr:pic>
    <xdr:clientData/>
  </xdr:twoCellAnchor>
  <xdr:twoCellAnchor editAs="oneCell">
    <xdr:from>
      <xdr:col>9</xdr:col>
      <xdr:colOff>9525</xdr:colOff>
      <xdr:row>1</xdr:row>
      <xdr:rowOff>9525</xdr:rowOff>
    </xdr:from>
    <xdr:to>
      <xdr:col>15</xdr:col>
      <xdr:colOff>675411</xdr:colOff>
      <xdr:row>18</xdr:row>
      <xdr:rowOff>123960</xdr:rowOff>
    </xdr:to>
    <xdr:pic>
      <xdr:nvPicPr>
        <xdr:cNvPr id="3" name="图片 2"/>
        <xdr:cNvPicPr>
          <a:picLocks noChangeAspect="1"/>
        </xdr:cNvPicPr>
      </xdr:nvPicPr>
      <xdr:blipFill>
        <a:blip xmlns:r="http://schemas.openxmlformats.org/officeDocument/2006/relationships" r:embed="rId2"/>
        <a:stretch>
          <a:fillRect/>
        </a:stretch>
      </xdr:blipFill>
      <xdr:spPr>
        <a:xfrm>
          <a:off x="6181725" y="180975"/>
          <a:ext cx="4780686" cy="3029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52;&#24742;&#28207;&#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8">
          <cell r="V18">
            <v>5894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北京市大兴区兴华大街2号房地产抵押价值预评估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受贵公司委托，我公司对北京市大兴区兴华大街2号房地产抵押价值进行了预评估。</v>
      </c>
    </row>
    <row r="7" spans="1:2" s="1318" customFormat="1">
      <c r="A7" s="1316" t="s">
        <v>991</v>
      </c>
      <c r="B7" s="1317" t="str">
        <f>'预评函-1'!A7</f>
        <v>估价对象为北京市大兴区兴华大街2号房地产，为所有。根据《国有土地使用证》[]，估价对象（分摊）出让国有建设用地使用权面积为2392平方米，建筑面积为9934.45平方米。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估价对象为北京市大兴区兴华大街2号房地产,属开发建设的，该项目尚在开发建设中。根据《国有土地使用证》[]，估价对象（分摊）出让国有建设用地使用权面积为2392平方米，规划建筑面积为9934.45平方米。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2022年11月7日</v>
      </c>
    </row>
    <row r="13" spans="1:2" s="1318" customFormat="1">
      <c r="A13" s="1316" t="s">
        <v>954</v>
      </c>
      <c r="B13" s="1317"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13144</v>
      </c>
    </row>
    <row r="21" spans="1:2" s="1318" customFormat="1">
      <c r="A21" s="1316" t="s">
        <v>962</v>
      </c>
      <c r="B21" s="1317">
        <f ca="1">'预评函-2'!D7</f>
        <v>13231</v>
      </c>
    </row>
    <row r="22" spans="1:2" s="1318" customFormat="1">
      <c r="A22" s="1316" t="s">
        <v>963</v>
      </c>
      <c r="B22" s="1317" t="str">
        <f ca="1">'预评函-2'!D6</f>
        <v>壹亿叁仟壹佰肆拾肆万元整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13144</v>
      </c>
    </row>
    <row r="31" spans="1:2" s="1318" customFormat="1">
      <c r="A31" s="1316" t="s">
        <v>1001</v>
      </c>
      <c r="B31" s="1317">
        <f ca="1">'预评函-2'!D15</f>
        <v>13231</v>
      </c>
    </row>
    <row r="32" spans="1:2" s="1318" customFormat="1">
      <c r="A32" s="1316" t="s">
        <v>968</v>
      </c>
      <c r="B32" s="1317" t="str">
        <f ca="1">'预评函-2'!D14</f>
        <v>壹亿叁仟壹佰肆拾肆万元整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北京市大兴区兴华大街2号房地产</v>
      </c>
    </row>
    <row r="42" spans="1:2" s="1318" customFormat="1">
      <c r="A42" s="1316" t="s">
        <v>1015</v>
      </c>
      <c r="B42" s="1317" t="str">
        <f>'预评函-3'!B2</f>
        <v>建筑面积</v>
      </c>
    </row>
    <row r="43" spans="1:2" s="1318" customFormat="1">
      <c r="A43" s="1316" t="s">
        <v>1016</v>
      </c>
      <c r="B43" s="1317">
        <f>'预评函-3'!B4</f>
        <v>9934.4500000000007</v>
      </c>
    </row>
    <row r="44" spans="1:2" s="1318" customFormat="1">
      <c r="A44" s="1316" t="s">
        <v>1000</v>
      </c>
      <c r="B44" s="1317" t="str">
        <f>'预评函-3'!C2</f>
        <v>(分摊)土地面积</v>
      </c>
    </row>
    <row r="45" spans="1:2" s="1318" customFormat="1">
      <c r="A45" s="1316" t="s">
        <v>972</v>
      </c>
      <c r="B45" s="1317">
        <f>'预评函-3'!C4</f>
        <v>2392</v>
      </c>
    </row>
    <row r="46" spans="1:2" s="1318" customFormat="1">
      <c r="A46" s="1316" t="s">
        <v>998</v>
      </c>
      <c r="B46" s="1317" t="str">
        <f>'预评函-3'!D2</f>
        <v>出让国有建设用地使用权价值</v>
      </c>
    </row>
    <row r="47" spans="1:2" s="1318" customFormat="1">
      <c r="A47" s="1316" t="s">
        <v>973</v>
      </c>
      <c r="B47" s="1317">
        <f ca="1">'预评函-3'!D4</f>
        <v>8780</v>
      </c>
    </row>
    <row r="48" spans="1:2" s="1318" customFormat="1">
      <c r="A48" s="1316" t="s">
        <v>974</v>
      </c>
      <c r="B48" s="1317">
        <f ca="1">'预评函-3'!E4</f>
        <v>8838</v>
      </c>
    </row>
    <row r="49" spans="1:2" s="1318" customFormat="1">
      <c r="A49" s="1316" t="s">
        <v>975</v>
      </c>
      <c r="B49" s="1317" t="str">
        <f ca="1">'预评函-3'!D5</f>
        <v>捌仟柒佰捌拾万元整</v>
      </c>
    </row>
    <row r="50" spans="1:2" s="1318" customFormat="1">
      <c r="A50" s="1316" t="s">
        <v>999</v>
      </c>
      <c r="B50" s="1317" t="str">
        <f>'预评函-3'!F2</f>
        <v>在建建筑物价值</v>
      </c>
    </row>
    <row r="51" spans="1:2" s="1318" customFormat="1">
      <c r="A51" s="1316" t="s">
        <v>976</v>
      </c>
      <c r="B51" s="1317">
        <f ca="1">'预评函-3'!F4</f>
        <v>4364</v>
      </c>
    </row>
    <row r="52" spans="1:2" s="1318" customFormat="1">
      <c r="A52" s="1316" t="s">
        <v>977</v>
      </c>
      <c r="B52" s="1317">
        <f ca="1">'预评函-3'!G4</f>
        <v>4393</v>
      </c>
    </row>
    <row r="53" spans="1:2" s="1318" customFormat="1">
      <c r="A53" s="1316" t="s">
        <v>1005</v>
      </c>
      <c r="B53" s="1317" t="str">
        <f ca="1">'预评函-3'!F5</f>
        <v>肆仟叁佰陆拾肆万元整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P40" sqref="P40"/>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0" t="str">
        <f>IF(B10="北京市","北京市",C10)&amp;F10&amp;IF(结果表!G1="在建","出让国有建设用地使用权及在建建筑物",IF(结果表!G1="土地","出让国有建设用地使用权",))&amp;B9&amp;"预评估"</f>
        <v>北京市大兴区兴华大街2号房地产抵押价值预评估</v>
      </c>
      <c r="C1" s="3291"/>
      <c r="D1" s="3291"/>
      <c r="E1" s="3291"/>
      <c r="F1" s="3291"/>
      <c r="G1" s="3291"/>
      <c r="H1" s="3291"/>
      <c r="I1" s="329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北京市大兴区兴华大街2号房地产抵押价值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北京市大兴区兴华大街2号房地产</v>
      </c>
      <c r="T2" s="1882"/>
      <c r="U2" s="1882"/>
      <c r="V2" s="1882"/>
      <c r="W2" s="1882"/>
      <c r="X2" s="1882"/>
      <c r="Y2" s="1882"/>
      <c r="Z2" s="1882"/>
      <c r="AA2" s="1882"/>
      <c r="AB2" s="1882"/>
    </row>
    <row r="3" spans="1:28">
      <c r="A3" s="308" t="s">
        <v>2671</v>
      </c>
      <c r="B3" s="2547"/>
      <c r="C3" s="2548" t="s">
        <v>2672</v>
      </c>
      <c r="D3" s="2547">
        <v>44872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3228</v>
      </c>
      <c r="C8" s="2564"/>
      <c r="D8" s="3293" t="s">
        <v>2678</v>
      </c>
      <c r="E8" s="2565" t="s">
        <v>3229</v>
      </c>
      <c r="F8" s="2566"/>
      <c r="G8" s="2840"/>
      <c r="H8" s="2840"/>
      <c r="I8" s="2840"/>
      <c r="J8" s="2615"/>
      <c r="K8" s="2790"/>
      <c r="L8" s="2789"/>
      <c r="M8" s="2789"/>
      <c r="N8" s="2615"/>
      <c r="O8" s="2626"/>
      <c r="P8" s="2615"/>
      <c r="Q8" s="2615"/>
      <c r="R8" s="2615"/>
    </row>
    <row r="9" spans="1:28" ht="13.5" thickBot="1">
      <c r="A9" s="2567" t="s">
        <v>2679</v>
      </c>
      <c r="B9" s="2568" t="s">
        <v>3229</v>
      </c>
      <c r="C9" s="2569"/>
      <c r="D9" s="3294"/>
      <c r="E9" s="2568"/>
      <c r="F9" s="2570"/>
      <c r="G9" s="2842"/>
      <c r="H9" s="2842"/>
      <c r="I9" s="2842"/>
      <c r="J9" s="2615"/>
      <c r="K9" s="2792"/>
      <c r="L9" s="2789"/>
      <c r="M9" s="2789"/>
      <c r="N9" s="2615"/>
      <c r="O9" s="2626"/>
      <c r="P9" s="2615"/>
      <c r="Q9" s="2615"/>
      <c r="R9" s="2615"/>
    </row>
    <row r="10" spans="1:28" ht="13.5" thickTop="1">
      <c r="A10" s="2571" t="s">
        <v>2680</v>
      </c>
      <c r="B10" s="2572" t="s">
        <v>3230</v>
      </c>
      <c r="C10" s="2573"/>
      <c r="D10" s="2556"/>
      <c r="E10" s="2574" t="s">
        <v>2681</v>
      </c>
      <c r="F10" s="2843" t="s">
        <v>3232</v>
      </c>
      <c r="G10" s="2844"/>
      <c r="H10" s="2845"/>
      <c r="I10" s="2846"/>
      <c r="J10" s="2615"/>
      <c r="K10" s="2792"/>
      <c r="L10" s="2789"/>
      <c r="M10" s="2789"/>
      <c r="N10" s="2615"/>
      <c r="O10" s="2626"/>
      <c r="P10" s="2615"/>
      <c r="Q10" s="2615"/>
      <c r="R10" s="2615"/>
    </row>
    <row r="11" spans="1:28">
      <c r="A11" s="2575" t="s">
        <v>2682</v>
      </c>
      <c r="B11" s="2576" t="s">
        <v>3231</v>
      </c>
      <c r="C11" s="2577"/>
      <c r="D11" s="2578"/>
      <c r="E11" s="2544"/>
      <c r="F11" s="2544"/>
      <c r="G11" s="2544"/>
      <c r="H11" s="2544"/>
      <c r="I11" s="2544"/>
      <c r="J11" s="2615"/>
      <c r="K11" s="2792"/>
      <c r="L11" s="2789"/>
      <c r="M11" s="2789"/>
      <c r="N11" s="2615"/>
      <c r="O11" s="2626"/>
      <c r="P11" s="2615"/>
      <c r="Q11" s="2615"/>
      <c r="R11" s="2615"/>
    </row>
    <row r="12" spans="1:28">
      <c r="A12" s="2579" t="s">
        <v>2683</v>
      </c>
      <c r="B12" s="2576" t="s">
        <v>3225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3235">
        <f>面积表!F3</f>
        <v>49500</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12.67</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0"/>
      <c r="C16" s="3301"/>
      <c r="D16" s="3302"/>
      <c r="E16" s="2589" t="s">
        <v>2695</v>
      </c>
      <c r="F16" s="3303"/>
      <c r="G16" s="3304"/>
      <c r="H16" s="3304"/>
      <c r="I16" s="3305"/>
      <c r="J16" s="2615"/>
      <c r="K16" s="2794"/>
      <c r="L16" s="2627"/>
      <c r="M16" s="2627"/>
      <c r="N16" s="2685"/>
      <c r="O16" s="2627"/>
      <c r="P16" s="2685"/>
      <c r="Q16" s="2615"/>
      <c r="R16" s="2615"/>
    </row>
    <row r="17" spans="1:28">
      <c r="A17" s="319" t="s">
        <v>2696</v>
      </c>
      <c r="B17" s="308" t="s">
        <v>2697</v>
      </c>
      <c r="C17" s="11">
        <f>'数据-汇总表'!E3</f>
        <v>9934.4500000000007</v>
      </c>
      <c r="D17" s="2496" t="s">
        <v>2698</v>
      </c>
      <c r="E17" s="3306" t="s">
        <v>2699</v>
      </c>
      <c r="F17" s="3307"/>
      <c r="G17" s="3307"/>
      <c r="H17" s="3307"/>
      <c r="I17" s="3308"/>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2392</v>
      </c>
      <c r="D18" s="1205" t="s">
        <v>2702</v>
      </c>
      <c r="E18" s="3309" t="s">
        <v>2703</v>
      </c>
      <c r="F18" s="3310"/>
      <c r="G18" s="3310"/>
      <c r="H18" s="3310"/>
      <c r="I18" s="3311"/>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6" t="s">
        <v>2707</v>
      </c>
      <c r="C20" s="3297"/>
      <c r="D20" s="3298" t="s">
        <v>2708</v>
      </c>
      <c r="E20" s="3299"/>
      <c r="F20" s="2824" t="s">
        <v>1501</v>
      </c>
      <c r="G20" s="2841"/>
      <c r="H20" s="2841"/>
      <c r="I20" s="2841"/>
      <c r="J20" s="2615"/>
      <c r="K20" s="329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3"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3"/>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3"/>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4"/>
      <c r="B30" s="308" t="s">
        <v>2719</v>
      </c>
      <c r="C30" s="3285"/>
      <c r="D30" s="3286"/>
      <c r="E30" s="2841"/>
      <c r="F30" s="2841"/>
      <c r="G30" s="2841"/>
      <c r="H30" s="2841"/>
      <c r="I30" s="2841"/>
      <c r="J30" s="2615"/>
      <c r="K30" s="2792"/>
      <c r="L30" s="2789"/>
      <c r="M30" s="2789"/>
      <c r="N30" s="2615"/>
      <c r="O30" s="2626"/>
      <c r="P30" s="2615"/>
      <c r="Q30" s="2615"/>
      <c r="R30" s="2615"/>
      <c r="S30" s="2615"/>
      <c r="T30" s="2615"/>
      <c r="U30" s="2615"/>
      <c r="V30" s="2615"/>
    </row>
    <row r="31" spans="1:28">
      <c r="A31" s="3287"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82" t="s">
        <v>2729</v>
      </c>
      <c r="T34" s="2604" t="str">
        <f>NUMBERSTRING(7-K34,1)&amp;"通"</f>
        <v>七通</v>
      </c>
      <c r="U34" s="2615"/>
      <c r="V34" s="2615"/>
    </row>
    <row r="35" spans="1:30">
      <c r="A35" s="2605"/>
      <c r="B35" s="3289" t="s">
        <v>2730</v>
      </c>
      <c r="C35" s="3289"/>
      <c r="D35" s="3289"/>
      <c r="E35" s="328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56</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3249</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P37"/>
  <sheetViews>
    <sheetView topLeftCell="A19" workbookViewId="0">
      <selection activeCell="H10" sqref="H10"/>
    </sheetView>
  </sheetViews>
  <sheetFormatPr defaultRowHeight="12"/>
  <cols>
    <col min="1" max="2" width="9" style="3231"/>
    <col min="3" max="3" width="9.375" style="3231" bestFit="1" customWidth="1"/>
    <col min="4" max="6" width="10.25" style="3231" bestFit="1" customWidth="1"/>
    <col min="7" max="7" width="11.25" style="3231" bestFit="1" customWidth="1"/>
    <col min="8" max="8" width="10.25" style="3231" bestFit="1" customWidth="1"/>
    <col min="9" max="11" width="11.25" style="3231" bestFit="1" customWidth="1"/>
    <col min="12" max="12" width="10.25" style="3231" bestFit="1" customWidth="1"/>
    <col min="13" max="14" width="11.25" style="3231" bestFit="1" customWidth="1"/>
    <col min="15" max="16384" width="9" style="3231"/>
  </cols>
  <sheetData>
    <row r="2" spans="1:15">
      <c r="A2" s="3231" t="s">
        <v>3175</v>
      </c>
      <c r="B2" s="3231" t="s">
        <v>3176</v>
      </c>
      <c r="C2" s="3231" t="s">
        <v>3177</v>
      </c>
      <c r="D2" s="3231" t="s">
        <v>3178</v>
      </c>
      <c r="E2" s="3231" t="s">
        <v>3179</v>
      </c>
      <c r="F2" s="3231" t="s">
        <v>3184</v>
      </c>
    </row>
    <row r="3" spans="1:15" ht="36">
      <c r="A3" s="3231" t="s">
        <v>3180</v>
      </c>
      <c r="B3" s="3231" t="s">
        <v>3187</v>
      </c>
      <c r="C3" s="3231" t="s">
        <v>3181</v>
      </c>
      <c r="D3" s="3231" t="s">
        <v>3183</v>
      </c>
      <c r="E3" s="3231">
        <v>2392</v>
      </c>
      <c r="F3" s="3236">
        <v>49500</v>
      </c>
    </row>
    <row r="5" spans="1:15">
      <c r="A5" s="3231" t="s">
        <v>3185</v>
      </c>
      <c r="B5" s="3231" t="s">
        <v>3176</v>
      </c>
      <c r="C5" s="3231" t="s">
        <v>3177</v>
      </c>
      <c r="D5" s="3231" t="s">
        <v>3178</v>
      </c>
      <c r="E5" s="3231" t="s">
        <v>3189</v>
      </c>
      <c r="F5" s="3231" t="s">
        <v>3193</v>
      </c>
    </row>
    <row r="6" spans="1:15" ht="36">
      <c r="A6" s="3231" t="s">
        <v>3186</v>
      </c>
      <c r="B6" s="3231" t="s">
        <v>3187</v>
      </c>
      <c r="C6" s="3231" t="s">
        <v>3188</v>
      </c>
      <c r="D6" s="3231" t="s">
        <v>3196</v>
      </c>
      <c r="E6" s="3231">
        <v>9934.4500000000007</v>
      </c>
      <c r="F6" s="3231">
        <v>2009</v>
      </c>
    </row>
    <row r="9" spans="1:15" ht="30.75" customHeight="1">
      <c r="A9" s="3231" t="s">
        <v>3194</v>
      </c>
      <c r="B9" s="3312" t="s">
        <v>3195</v>
      </c>
      <c r="C9" s="3312"/>
      <c r="D9" s="3312"/>
      <c r="E9" s="3312"/>
      <c r="F9" s="3312"/>
    </row>
    <row r="11" spans="1:15" ht="24">
      <c r="A11" s="3231" t="s">
        <v>3190</v>
      </c>
      <c r="B11" s="3231" t="s">
        <v>3191</v>
      </c>
      <c r="C11" s="3231" t="s">
        <v>3192</v>
      </c>
    </row>
    <row r="13" spans="1:15">
      <c r="D13" s="3231" t="s">
        <v>3202</v>
      </c>
    </row>
    <row r="14" spans="1:15" ht="24">
      <c r="A14" s="3233" t="s">
        <v>3197</v>
      </c>
      <c r="D14" s="3231">
        <v>2021</v>
      </c>
      <c r="E14" s="3231">
        <v>2022</v>
      </c>
      <c r="F14" s="3231">
        <v>2023</v>
      </c>
      <c r="G14" s="3231">
        <v>2024</v>
      </c>
      <c r="H14" s="3231">
        <v>2025</v>
      </c>
      <c r="I14" s="3231">
        <v>2026</v>
      </c>
      <c r="J14" s="3231">
        <v>2027</v>
      </c>
      <c r="K14" s="3231">
        <v>2028</v>
      </c>
      <c r="L14" s="3231">
        <v>2029</v>
      </c>
      <c r="M14" s="3231">
        <v>2030</v>
      </c>
    </row>
    <row r="15" spans="1:15">
      <c r="A15" s="3231" t="s">
        <v>3198</v>
      </c>
      <c r="B15" s="3231" t="s">
        <v>3199</v>
      </c>
      <c r="C15" s="3231" t="s">
        <v>3200</v>
      </c>
      <c r="D15" s="3231">
        <v>8403395</v>
      </c>
      <c r="E15" s="3231">
        <v>8823564.75</v>
      </c>
      <c r="F15" s="3231">
        <v>9264742.9900000002</v>
      </c>
      <c r="G15" s="3231">
        <v>9727980.1400000006</v>
      </c>
      <c r="H15" s="3231">
        <v>10214379.140000001</v>
      </c>
      <c r="I15" s="3231">
        <v>10725098.1</v>
      </c>
      <c r="J15" s="3231">
        <v>11261353.01</v>
      </c>
      <c r="K15" s="3231">
        <v>11824420.66</v>
      </c>
      <c r="L15" s="3231">
        <v>12415641.689999999</v>
      </c>
      <c r="M15" s="3231">
        <v>13036423.77</v>
      </c>
      <c r="O15" s="3231" t="s">
        <v>3204</v>
      </c>
    </row>
    <row r="16" spans="1:15" ht="36">
      <c r="A16" s="3231" t="s">
        <v>3201</v>
      </c>
      <c r="B16" s="3231">
        <v>6578</v>
      </c>
      <c r="C16" s="3231" t="s">
        <v>3223</v>
      </c>
      <c r="D16" s="3231">
        <f t="shared" ref="D16:L16" si="0">ROUND(D15/$B$16/365,1)</f>
        <v>3.5</v>
      </c>
      <c r="E16" s="3232">
        <f t="shared" si="0"/>
        <v>3.7</v>
      </c>
      <c r="F16" s="3231">
        <f t="shared" si="0"/>
        <v>3.9</v>
      </c>
      <c r="G16" s="3231">
        <f t="shared" si="0"/>
        <v>4.0999999999999996</v>
      </c>
      <c r="H16" s="3231">
        <f t="shared" si="0"/>
        <v>4.3</v>
      </c>
      <c r="I16" s="3231">
        <f t="shared" si="0"/>
        <v>4.5</v>
      </c>
      <c r="J16" s="3231">
        <f t="shared" si="0"/>
        <v>4.7</v>
      </c>
      <c r="K16" s="3231">
        <f t="shared" si="0"/>
        <v>4.9000000000000004</v>
      </c>
      <c r="L16" s="3231">
        <f t="shared" si="0"/>
        <v>5.2</v>
      </c>
      <c r="M16" s="3231">
        <f>ROUND(M15/$B$16/365,1)</f>
        <v>5.4</v>
      </c>
      <c r="N16" s="3231" t="s">
        <v>3203</v>
      </c>
      <c r="O16" s="3231" t="s">
        <v>3205</v>
      </c>
    </row>
    <row r="17" spans="1:16">
      <c r="D17" s="3231">
        <v>2018</v>
      </c>
      <c r="E17" s="3231">
        <v>2019</v>
      </c>
      <c r="F17" s="3231">
        <v>2020</v>
      </c>
      <c r="G17" s="3231">
        <v>2021</v>
      </c>
      <c r="H17" s="3231">
        <v>2022</v>
      </c>
      <c r="I17" s="3231">
        <v>2023</v>
      </c>
      <c r="J17" s="3231">
        <v>2024</v>
      </c>
      <c r="K17" s="3231">
        <v>2025</v>
      </c>
      <c r="L17" s="3231">
        <v>2026</v>
      </c>
      <c r="M17" s="3231">
        <v>2027</v>
      </c>
      <c r="N17" s="3231">
        <v>2028</v>
      </c>
    </row>
    <row r="18" spans="1:16">
      <c r="D18" s="3231">
        <v>1241000</v>
      </c>
      <c r="E18" s="3231">
        <v>1303050</v>
      </c>
      <c r="F18" s="3231">
        <v>1368202.5</v>
      </c>
      <c r="G18" s="3231">
        <v>1436612.63</v>
      </c>
      <c r="H18" s="3231">
        <v>1508443.26</v>
      </c>
      <c r="I18" s="3231">
        <v>1583865.42</v>
      </c>
      <c r="J18" s="3231">
        <v>1663058.69</v>
      </c>
      <c r="K18" s="3231">
        <v>1746211.62</v>
      </c>
      <c r="L18" s="3231">
        <v>1833522.21</v>
      </c>
      <c r="M18" s="3231">
        <v>1925198.32</v>
      </c>
      <c r="N18" s="3231">
        <v>1179183.97</v>
      </c>
      <c r="P18" s="3231" t="s">
        <v>3204</v>
      </c>
    </row>
    <row r="19" spans="1:16" ht="48">
      <c r="A19" s="3231" t="s">
        <v>3206</v>
      </c>
      <c r="B19" s="3231">
        <v>850</v>
      </c>
      <c r="C19" s="3231" t="s">
        <v>3207</v>
      </c>
      <c r="D19" s="3231">
        <f>ROUND(D18/$B$19/365,1)</f>
        <v>4</v>
      </c>
      <c r="E19" s="3231">
        <f t="shared" ref="E19:K19" si="1">ROUND(E18/$B$19/365,1)</f>
        <v>4.2</v>
      </c>
      <c r="F19" s="3231">
        <f t="shared" si="1"/>
        <v>4.4000000000000004</v>
      </c>
      <c r="G19" s="3231">
        <f t="shared" si="1"/>
        <v>4.5999999999999996</v>
      </c>
      <c r="H19" s="3232">
        <f t="shared" si="1"/>
        <v>4.9000000000000004</v>
      </c>
      <c r="I19" s="3231">
        <f t="shared" si="1"/>
        <v>5.0999999999999996</v>
      </c>
      <c r="J19" s="3231">
        <f t="shared" si="1"/>
        <v>5.4</v>
      </c>
      <c r="K19" s="3231">
        <f t="shared" si="1"/>
        <v>5.6</v>
      </c>
      <c r="L19" s="3231">
        <f t="shared" ref="L19" si="2">ROUND(L18/$B$19/365,1)</f>
        <v>5.9</v>
      </c>
      <c r="M19" s="3231">
        <f t="shared" ref="M19" si="3">ROUND(M18/$B$19/365,1)</f>
        <v>6.2</v>
      </c>
      <c r="N19" s="3231">
        <f>ROUND(N18/$B$19/214,1)</f>
        <v>6.5</v>
      </c>
      <c r="O19" s="3231" t="s">
        <v>3203</v>
      </c>
      <c r="P19" s="3231" t="s">
        <v>3208</v>
      </c>
    </row>
    <row r="20" spans="1:16" ht="24">
      <c r="D20" s="3231" t="s">
        <v>3211</v>
      </c>
      <c r="E20" s="3231" t="s">
        <v>3212</v>
      </c>
      <c r="P20" s="3231" t="s">
        <v>3204</v>
      </c>
    </row>
    <row r="21" spans="1:16">
      <c r="C21" s="3231" t="s">
        <v>3213</v>
      </c>
      <c r="D21" s="3231">
        <v>848720</v>
      </c>
      <c r="E21" s="3231">
        <v>874182</v>
      </c>
      <c r="P21" s="3231" t="s">
        <v>3208</v>
      </c>
    </row>
    <row r="22" spans="1:16" ht="36">
      <c r="A22" s="3231" t="s">
        <v>3209</v>
      </c>
      <c r="B22" s="3231">
        <v>381.7</v>
      </c>
      <c r="C22" s="3231" t="s">
        <v>3210</v>
      </c>
      <c r="D22" s="3232">
        <f>ROUND(D21/B22/3/365,1)</f>
        <v>2</v>
      </c>
      <c r="E22" s="3231">
        <f>ROUND(E21/B22/3/365,1)</f>
        <v>2.1</v>
      </c>
    </row>
    <row r="23" spans="1:16">
      <c r="C23" s="3231" t="s">
        <v>3214</v>
      </c>
      <c r="D23" s="3231" t="s">
        <v>3216</v>
      </c>
      <c r="E23" s="3231" t="s">
        <v>3215</v>
      </c>
    </row>
    <row r="25" spans="1:16">
      <c r="D25" s="3231">
        <v>2019</v>
      </c>
      <c r="E25" s="3231">
        <v>2020</v>
      </c>
      <c r="F25" s="3231">
        <v>2021</v>
      </c>
      <c r="G25" s="3231">
        <v>2022</v>
      </c>
      <c r="H25" s="3231">
        <v>2023</v>
      </c>
    </row>
    <row r="26" spans="1:16">
      <c r="D26" s="3231">
        <v>2162175.9500000002</v>
      </c>
      <c r="E26" s="3231">
        <f>ROUND(D26*1.05,2)</f>
        <v>2270284.75</v>
      </c>
      <c r="F26" s="3231">
        <f t="shared" ref="F26:H26" si="4">ROUND(E26*1.05,2)</f>
        <v>2383798.9900000002</v>
      </c>
      <c r="G26" s="3231">
        <f t="shared" si="4"/>
        <v>2502988.94</v>
      </c>
      <c r="H26" s="3231">
        <f t="shared" si="4"/>
        <v>2628138.39</v>
      </c>
    </row>
    <row r="27" spans="1:16" ht="24">
      <c r="A27" s="3231" t="s">
        <v>3217</v>
      </c>
      <c r="B27" s="3231">
        <v>1212.5</v>
      </c>
      <c r="C27" s="3231" t="s">
        <v>3218</v>
      </c>
      <c r="D27" s="3231">
        <f>ROUND(D26/$B$27/365,1)</f>
        <v>4.9000000000000004</v>
      </c>
      <c r="E27" s="3231">
        <f t="shared" ref="E27:H27" si="5">ROUND(E26/$B$27/365,1)</f>
        <v>5.0999999999999996</v>
      </c>
      <c r="F27" s="3231">
        <f t="shared" si="5"/>
        <v>5.4</v>
      </c>
      <c r="G27" s="3232">
        <f t="shared" si="5"/>
        <v>5.7</v>
      </c>
      <c r="H27" s="3231">
        <f t="shared" si="5"/>
        <v>5.9</v>
      </c>
      <c r="I27" s="3231" t="s">
        <v>3203</v>
      </c>
      <c r="J27" s="3231" t="s">
        <v>3219</v>
      </c>
    </row>
    <row r="30" spans="1:16">
      <c r="D30" s="3231">
        <v>2017</v>
      </c>
      <c r="E30" s="3231">
        <v>2018</v>
      </c>
      <c r="F30" s="3231">
        <v>2019</v>
      </c>
      <c r="G30" s="3231">
        <v>2020</v>
      </c>
      <c r="H30" s="3231">
        <v>2021</v>
      </c>
      <c r="I30" s="3231">
        <v>2022</v>
      </c>
      <c r="J30" s="3231">
        <v>2023</v>
      </c>
    </row>
    <row r="31" spans="1:16">
      <c r="D31" s="3231">
        <v>788400</v>
      </c>
      <c r="E31" s="3231">
        <f>ROUND(D31*1.05,2)</f>
        <v>827820</v>
      </c>
      <c r="F31" s="3231">
        <f t="shared" ref="F31:J31" si="6">ROUND(E31*1.05,2)</f>
        <v>869211</v>
      </c>
      <c r="G31" s="3231">
        <f t="shared" si="6"/>
        <v>912671.55</v>
      </c>
      <c r="H31" s="3231">
        <f t="shared" si="6"/>
        <v>958305.13</v>
      </c>
      <c r="I31" s="3231">
        <f t="shared" si="6"/>
        <v>1006220.39</v>
      </c>
      <c r="J31" s="3231">
        <f t="shared" si="6"/>
        <v>1056531.4099999999</v>
      </c>
    </row>
    <row r="32" spans="1:16" ht="36">
      <c r="A32" s="3231" t="s">
        <v>3220</v>
      </c>
      <c r="B32" s="3231">
        <v>540</v>
      </c>
      <c r="C32" s="3231" t="s">
        <v>3221</v>
      </c>
      <c r="D32" s="3231">
        <f>ROUND(D31/$B$32/365,1)</f>
        <v>4</v>
      </c>
      <c r="E32" s="3231">
        <f t="shared" ref="E32:J32" si="7">ROUND(E31/$B$32/365,1)</f>
        <v>4.2</v>
      </c>
      <c r="F32" s="3231">
        <f t="shared" si="7"/>
        <v>4.4000000000000004</v>
      </c>
      <c r="G32" s="3231">
        <f t="shared" si="7"/>
        <v>4.5999999999999996</v>
      </c>
      <c r="H32" s="3231">
        <f t="shared" si="7"/>
        <v>4.9000000000000004</v>
      </c>
      <c r="I32" s="3232">
        <f t="shared" si="7"/>
        <v>5.0999999999999996</v>
      </c>
      <c r="J32" s="3231">
        <f t="shared" si="7"/>
        <v>5.4</v>
      </c>
    </row>
    <row r="35" spans="2:4">
      <c r="B35" s="3231" t="s">
        <v>3222</v>
      </c>
      <c r="C35" s="3234">
        <v>48091</v>
      </c>
    </row>
    <row r="36" spans="2:4">
      <c r="B36" s="3231" t="s">
        <v>3224</v>
      </c>
      <c r="C36" s="3231">
        <v>8.81</v>
      </c>
      <c r="D36" s="3231" t="s">
        <v>3226</v>
      </c>
    </row>
    <row r="37" spans="2:4">
      <c r="B37" s="3231" t="s">
        <v>3227</v>
      </c>
      <c r="C37" s="3231">
        <f>ROUND((E16*B16+H19*B19+D22*B22+G27*B27+I32*B32)/E6,1)</f>
        <v>3.9</v>
      </c>
    </row>
  </sheetData>
  <mergeCells count="1">
    <mergeCell ref="B9:F9"/>
  </mergeCells>
  <phoneticPr fontId="140"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面积表!E3</f>
        <v>2392</v>
      </c>
      <c r="B3" s="14">
        <f>IF(C3="否",G5-AT5,G5)</f>
        <v>9934.4500000000007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9934.4500000000007</v>
      </c>
      <c r="H5" s="16">
        <f t="shared" ref="H5:AT5" si="0">SUM(H13:H656)</f>
        <v>9934.4500000000007</v>
      </c>
      <c r="I5" s="16">
        <f t="shared" si="0"/>
        <v>8515.24</v>
      </c>
      <c r="J5" s="16">
        <f t="shared" si="0"/>
        <v>0</v>
      </c>
      <c r="K5" s="16">
        <f t="shared" si="0"/>
        <v>1419.2100000000009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9934.4500000000007</v>
      </c>
      <c r="BA5" s="18">
        <f t="shared" si="1"/>
        <v>9934.4500000000007</v>
      </c>
      <c r="BB5" s="18">
        <f t="shared" si="1"/>
        <v>8515.24</v>
      </c>
      <c r="BC5" s="18">
        <f t="shared" si="1"/>
        <v>1419.2100000000009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2392</v>
      </c>
      <c r="F6" s="16" t="s">
        <v>1</v>
      </c>
      <c r="G6" s="16" t="s">
        <v>2</v>
      </c>
      <c r="H6" s="20">
        <f>SUMIF(I$12:AB$12,"总值",I6:AB6)</f>
        <v>2392</v>
      </c>
      <c r="I6" s="16">
        <f t="shared" ref="I6:AB6" si="2">ROUND($A$3*I5/$B$3,2)</f>
        <v>2050.29</v>
      </c>
      <c r="J6" s="16">
        <f t="shared" si="2"/>
        <v>0</v>
      </c>
      <c r="K6" s="16">
        <f t="shared" si="2"/>
        <v>341.71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2392</v>
      </c>
      <c r="AZ6" s="16" t="s">
        <v>3</v>
      </c>
      <c r="BA6" s="16">
        <f>ROUND($AY$6*BA5/$AZ$5,2)</f>
        <v>2392</v>
      </c>
      <c r="BB6" s="16">
        <f>ROUND($AY$6*BB5/$AZ$5,2)</f>
        <v>2050.29</v>
      </c>
      <c r="BC6" s="16">
        <f t="shared" ref="BC6:BH6" si="4">ROUND($AY$6*BC5/$AZ$5,2)</f>
        <v>341.71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3234</v>
      </c>
      <c r="J9" s="899"/>
      <c r="K9" s="1739" t="s">
        <v>3236</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3235</v>
      </c>
      <c r="J11" s="1751"/>
      <c r="K11" s="1750" t="s">
        <v>3235</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3233</v>
      </c>
      <c r="E13" s="16">
        <f>IF($C$3="是",ROUND($A$3*G13/$B$3,2),ROUND($A$3*(G13-AT13)/$B$3,2))</f>
        <v>2392</v>
      </c>
      <c r="F13" s="32"/>
      <c r="G13" s="33">
        <f>H13+AC13+AT13</f>
        <v>9934.4500000000007</v>
      </c>
      <c r="H13" s="20">
        <f>SUMIF(I$12:AB$12,"总值",I13:AB13)</f>
        <v>9934.4500000000007</v>
      </c>
      <c r="I13" s="1762">
        <f>ROUND(面积表!E6/7*6,2)</f>
        <v>8515.24</v>
      </c>
      <c r="J13" s="1762"/>
      <c r="K13" s="1762">
        <f>面积表!E6-'数据-基础表'!I13</f>
        <v>1419.2100000000009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2392</v>
      </c>
      <c r="AZ13" s="16">
        <f>BA13+BL13</f>
        <v>9934.4500000000007</v>
      </c>
      <c r="BA13" s="16">
        <f>SUM(BB13:BK13)</f>
        <v>9934.4500000000007</v>
      </c>
      <c r="BB13" s="16">
        <f>IF($D13="是",I13-J13,0)</f>
        <v>8515.24</v>
      </c>
      <c r="BC13" s="16">
        <f>IF($D13="是",K13-L13,0)</f>
        <v>1419.2100000000009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3" t="s">
        <v>0</v>
      </c>
      <c r="B1" s="3313" t="s">
        <v>4</v>
      </c>
      <c r="C1" s="3313" t="s">
        <v>5</v>
      </c>
      <c r="D1" s="3314" t="s">
        <v>53</v>
      </c>
      <c r="E1" s="3314" t="s">
        <v>54</v>
      </c>
      <c r="F1" s="3314"/>
      <c r="G1" s="3314"/>
      <c r="H1" s="3314"/>
      <c r="I1" s="3314"/>
      <c r="J1" s="3314"/>
      <c r="K1" s="3314"/>
      <c r="L1" s="3314"/>
      <c r="M1" s="3314"/>
    </row>
    <row r="2" spans="1:13" ht="27" customHeight="1">
      <c r="A2" s="3313"/>
      <c r="B2" s="3313"/>
      <c r="C2" s="3313"/>
      <c r="D2" s="3314"/>
      <c r="E2" s="3314" t="s">
        <v>37</v>
      </c>
      <c r="F2" s="3314" t="s">
        <v>38</v>
      </c>
      <c r="G2" s="3314"/>
      <c r="H2" s="3314"/>
      <c r="I2" s="3314"/>
      <c r="J2" s="3314" t="s">
        <v>39</v>
      </c>
      <c r="K2" s="3314"/>
      <c r="L2" s="3314"/>
      <c r="M2" s="3314"/>
    </row>
    <row r="3" spans="1:13" ht="28.5">
      <c r="A3" s="3313"/>
      <c r="B3" s="3313"/>
      <c r="C3" s="3313"/>
      <c r="D3" s="3314"/>
      <c r="E3" s="33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4" t="s">
        <v>55</v>
      </c>
      <c r="B9" s="3314"/>
      <c r="C9" s="33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G24" sqref="G2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4" t="s">
        <v>1576</v>
      </c>
      <c r="B2" s="3324"/>
      <c r="C2" s="3324"/>
      <c r="D2" s="885" t="s">
        <v>1552</v>
      </c>
      <c r="E2" s="1775" t="s">
        <v>1553</v>
      </c>
      <c r="F2" s="2836"/>
      <c r="G2" s="2827"/>
      <c r="H2" s="2828"/>
      <c r="I2" s="2499" t="s">
        <v>1577</v>
      </c>
      <c r="J2" s="2836"/>
      <c r="K2" s="2836"/>
      <c r="L2" s="2836"/>
      <c r="M2" s="2836"/>
      <c r="N2" s="2838"/>
      <c r="O2" s="2836"/>
      <c r="P2" s="2836"/>
    </row>
    <row r="3" spans="1:16" ht="15.75" thickBot="1">
      <c r="A3" s="3325" t="s">
        <v>1550</v>
      </c>
      <c r="B3" s="3325"/>
      <c r="C3" s="3325"/>
      <c r="D3" s="46">
        <f>'数据-基础表'!AY6</f>
        <v>2392</v>
      </c>
      <c r="E3" s="46">
        <f>'数据-基础表'!AZ5</f>
        <v>9934.4500000000007</v>
      </c>
      <c r="F3" s="2836"/>
      <c r="G3" s="1260"/>
      <c r="H3" s="1138" t="s">
        <v>1551</v>
      </c>
      <c r="I3" s="945">
        <f>ROUND('数据-基础表'!B3/'数据-基础表'!A3,2)</f>
        <v>4.1500000000000004</v>
      </c>
      <c r="J3" s="2836"/>
      <c r="K3" s="2836"/>
      <c r="L3" s="2836"/>
      <c r="M3" s="2836"/>
      <c r="N3" s="2838"/>
      <c r="O3" s="2836"/>
      <c r="P3" s="2836"/>
    </row>
    <row r="4" spans="1:16" ht="15">
      <c r="A4" s="3326"/>
      <c r="B4" s="3327"/>
      <c r="C4" s="3328"/>
      <c r="D4" s="1777" t="s">
        <v>1552</v>
      </c>
      <c r="E4" s="1778" t="s">
        <v>1553</v>
      </c>
      <c r="F4" s="2836"/>
      <c r="G4" s="2829" t="s">
        <v>1578</v>
      </c>
      <c r="H4" s="1138" t="s">
        <v>1558</v>
      </c>
      <c r="I4" s="945">
        <f>ROUND(SUMIF('数据-基础表'!I9:AS9,"地上",'数据-基础表'!I5:AS5)/'数据-基础表'!A3,2)</f>
        <v>3.56</v>
      </c>
      <c r="J4" s="2836"/>
      <c r="K4" s="2836"/>
      <c r="L4" s="2836"/>
      <c r="M4" s="2836"/>
      <c r="N4" s="2838"/>
      <c r="O4" s="2836"/>
      <c r="P4" s="2836"/>
    </row>
    <row r="5" spans="1:16">
      <c r="A5" s="47" t="s">
        <v>1554</v>
      </c>
      <c r="B5" s="3329" t="s">
        <v>1555</v>
      </c>
      <c r="C5" s="3329"/>
      <c r="D5" s="48">
        <f>ROUND($D$3*E5/$E$3,2)</f>
        <v>0</v>
      </c>
      <c r="E5" s="49">
        <f>SUMIF('数据-基础表'!$11:$11,"住宅",'数据-基础表'!$5:$5)</f>
        <v>0</v>
      </c>
      <c r="F5" s="2836"/>
      <c r="G5" s="1260"/>
      <c r="H5" s="1138" t="s">
        <v>1551</v>
      </c>
      <c r="I5" s="945">
        <f>ROUND(E31/D31,2)</f>
        <v>4.1500000000000004</v>
      </c>
      <c r="J5" s="2836"/>
      <c r="K5" s="2836"/>
      <c r="L5" s="2836"/>
      <c r="M5" s="2836"/>
      <c r="N5" s="2836"/>
      <c r="O5" s="2836"/>
      <c r="P5" s="2836"/>
    </row>
    <row r="6" spans="1:16" ht="15" thickBot="1">
      <c r="A6" s="1780"/>
      <c r="B6" s="3329" t="s">
        <v>1556</v>
      </c>
      <c r="C6" s="3329"/>
      <c r="D6" s="48">
        <f>ROUND($D$3*E6/$E$3,2)</f>
        <v>2392</v>
      </c>
      <c r="E6" s="49">
        <f>E3-E5</f>
        <v>9934.4500000000007</v>
      </c>
      <c r="F6" s="2836"/>
      <c r="G6" s="2830" t="s">
        <v>1557</v>
      </c>
      <c r="H6" s="1261" t="s">
        <v>1558</v>
      </c>
      <c r="I6" s="2831">
        <f>ROUND(F31/D31,2)</f>
        <v>3.56</v>
      </c>
      <c r="J6" s="2836"/>
      <c r="K6" s="2836"/>
      <c r="L6" s="2836"/>
      <c r="M6" s="2836"/>
      <c r="N6" s="2836"/>
      <c r="O6" s="2836"/>
      <c r="P6" s="2836"/>
    </row>
    <row r="7" spans="1:16" ht="15.75" thickBot="1">
      <c r="A7" s="3321"/>
      <c r="B7" s="3322"/>
      <c r="C7" s="3323"/>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2050.29</v>
      </c>
      <c r="E8" s="51">
        <f>SUMIF('数据-基础表'!BB10:BK10,"地上",'数据-基础表'!BB5:BK5)</f>
        <v>8515.24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341.71</v>
      </c>
      <c r="E10" s="51">
        <f>SUMPRODUCT(('数据-基础表'!BB10:BK10="地下")*('数据-基础表'!BB11:BK11="商业")*('数据-基础表'!BB5:BK5))</f>
        <v>1419.2100000000009</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2392</v>
      </c>
      <c r="E16" s="53">
        <f>SUM(E8:E15)</f>
        <v>9934.4500000000007</v>
      </c>
      <c r="F16" s="2836"/>
      <c r="G16" s="2837"/>
      <c r="H16" s="1784" t="s">
        <v>1580</v>
      </c>
      <c r="I16" s="1785"/>
      <c r="J16" s="1254"/>
      <c r="K16" s="3318" t="s">
        <v>1580</v>
      </c>
      <c r="L16" s="3319"/>
      <c r="M16" s="3319"/>
      <c r="N16" s="3319"/>
      <c r="O16" s="3319"/>
      <c r="P16" s="3320"/>
    </row>
    <row r="17" spans="1:19" ht="15">
      <c r="A17" s="1786" t="s">
        <v>1581</v>
      </c>
      <c r="B17" s="1787" t="s">
        <v>1582</v>
      </c>
      <c r="C17" s="1788" t="s">
        <v>1583</v>
      </c>
      <c r="D17" s="1789" t="s">
        <v>1571</v>
      </c>
      <c r="E17" s="1790" t="s">
        <v>1572</v>
      </c>
      <c r="F17" s="1791"/>
      <c r="G17" s="1792"/>
      <c r="H17" s="1793" t="s">
        <v>1584</v>
      </c>
      <c r="I17" s="1794" t="s">
        <v>1569</v>
      </c>
      <c r="J17" s="1254"/>
      <c r="K17" s="3315" t="s">
        <v>1585</v>
      </c>
      <c r="L17" s="3316"/>
      <c r="M17" s="3317"/>
      <c r="N17" s="3315" t="s">
        <v>1586</v>
      </c>
      <c r="O17" s="3316"/>
      <c r="P17" s="331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7" t="s">
        <v>3237</v>
      </c>
      <c r="D19" s="48">
        <f>ROUND($D$3*E19/$E$3,2)</f>
        <v>2392</v>
      </c>
      <c r="E19" s="56">
        <f t="shared" ref="E19:E26" si="1">SUM(F19:G19)</f>
        <v>9934.4500000000007</v>
      </c>
      <c r="F19" s="2976">
        <f>'数据-基础表'!I13</f>
        <v>8515.24</v>
      </c>
      <c r="G19" s="2977">
        <f>'数据-基础表'!K13</f>
        <v>1419.2100000000009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2392</v>
      </c>
      <c r="S19" s="1139">
        <f t="shared" si="5"/>
        <v>9934.4500000000007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2392</v>
      </c>
      <c r="E27" s="1256">
        <f>IF(SUM(E19:E26)='数据-基础表'!BA5,SUM(E19:E26),IF(F27="地上面积有误","面积有误","地下面积有误"))</f>
        <v>9934.4500000000007</v>
      </c>
      <c r="F27" s="1255">
        <f>IF(SUM(F19:F26)=E8,SUM(F19:F26),"地上面积有误")</f>
        <v>8515.24</v>
      </c>
      <c r="G27" s="1257">
        <f>SUM(G19:G26)</f>
        <v>1419.2100000000009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2392</v>
      </c>
      <c r="S27" s="1138">
        <f>IF(SUM(S19:S26)=$E$3,SUM(S19:S26),SUM(S19:S26)&amp;"误差"&amp;ROUND(SUM(S19:S26)-E3,2))</f>
        <v>9934.4500000000007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2392</v>
      </c>
      <c r="E31" s="685">
        <f>E27+E30</f>
        <v>9934.4500000000007</v>
      </c>
      <c r="F31" s="686">
        <f>F27+F30</f>
        <v>8515.24</v>
      </c>
      <c r="G31" s="687">
        <f>G27+G30</f>
        <v>1419.2100000000009</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44872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3238</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配套</v>
      </c>
      <c r="B6" s="1850" t="str">
        <f>IF(A6=0,"","经营性")</f>
        <v>经营性</v>
      </c>
      <c r="C6" s="1851" t="s">
        <v>1102</v>
      </c>
      <c r="D6" s="948">
        <f>SUMIF(项目基本情况!D$12:I$12,C6,项目基本情况!D$14:I$14)</f>
        <v>40</v>
      </c>
      <c r="E6" s="947">
        <f>IF(B6="","",SUMIF(项目基本情况!D$12:I$12,C6,项目基本情况!D$13:I$13))</f>
        <v>49500</v>
      </c>
      <c r="F6" s="68">
        <f>SUMIF(项目基本情况!D$12:I$12,C6,项目基本情况!D$15:I$15)</f>
        <v>12.67</v>
      </c>
      <c r="G6" s="69">
        <f>IF(ISERROR(ROUND(POWER(1+H6,D6-F6)*(POWER(1+H6,F6)-1)/(POWER(1+H6,D6)-1),3)),0,ROUND(POWER(1+H6,D6-F6)*(POWER(1+H6,F6)-1)/(POWER(1+H6,D6)-1),3))</f>
        <v>0.53700000000000003</v>
      </c>
      <c r="H6" s="741">
        <v>0.05</v>
      </c>
      <c r="I6" s="741">
        <v>5.5E-2</v>
      </c>
      <c r="J6" s="70">
        <v>7.0000000000000007E-2</v>
      </c>
      <c r="K6" s="1142">
        <f>SUMIF('数据-汇总表'!C$19:C$33,A6,'数据-汇总表'!E$19:E$33)</f>
        <v>9934.4500000000007</v>
      </c>
      <c r="L6" s="742">
        <v>3500</v>
      </c>
      <c r="M6" s="71">
        <f t="shared" ref="M6:M14" si="0">ROUND(K6*L6/10000,0)</f>
        <v>3477</v>
      </c>
      <c r="N6" s="740">
        <f>N20</f>
        <v>0.84</v>
      </c>
      <c r="O6" s="71" t="str">
        <f>IF($N$5="成新度","——",ROUND(M6*N6,0))</f>
        <v>——</v>
      </c>
      <c r="P6" s="72" t="str">
        <f>IF($N$5="成新度","——",M6-O6)</f>
        <v>——</v>
      </c>
      <c r="Q6" s="743">
        <v>0.2</v>
      </c>
      <c r="R6" s="73">
        <f ca="1">SUMIF('数据-汇总表'!C$19:C$33,A6,'数据-汇总表'!R$19:R$27)</f>
        <v>2392</v>
      </c>
      <c r="S6" s="54">
        <f>IF('数据-汇总表'!$I$17="按面积比例",SUMIF('数据-汇总表'!C$19:C$33,A6,'数据-汇总表'!K$19:K$33),SUMIF('数据-汇总表'!C$19:C$33,A6,'数据-汇总表'!N$19:N$33))</f>
        <v>0</v>
      </c>
      <c r="T6" s="1287">
        <f>ROUND($L$14*S6/10000,0)</f>
        <v>0</v>
      </c>
      <c r="U6" s="74">
        <f>面积表!C37</f>
        <v>3.9</v>
      </c>
      <c r="V6" s="75">
        <v>0.05</v>
      </c>
      <c r="W6" s="75">
        <v>0</v>
      </c>
      <c r="X6" s="1152"/>
      <c r="Y6" s="76">
        <f>N6</f>
        <v>0.84</v>
      </c>
      <c r="Z6" s="77">
        <f>ROUND(3.5*(1+AA6)^面积表!C36,1)</f>
        <v>4.5</v>
      </c>
      <c r="AA6" s="70">
        <v>0.03</v>
      </c>
      <c r="AB6" s="70">
        <v>0.1</v>
      </c>
      <c r="AC6" s="1152"/>
      <c r="AD6" s="78">
        <f>AA20</f>
        <v>0.77</v>
      </c>
      <c r="AE6" s="1153">
        <f ca="1">IF(AN6="",0,SUMIF(INDIRECT("'"&amp;AN6&amp;"'"&amp;"!E:E"),$AE$5,INDIRECT("'"&amp;AN6&amp;"'"&amp;"!F:F")))</f>
        <v>12.67</v>
      </c>
      <c r="AF6" s="1483"/>
      <c r="AG6" s="143">
        <f>IF(AF6="",0,AE6-AF6)</f>
        <v>0</v>
      </c>
      <c r="AH6" s="79"/>
      <c r="AI6" s="81">
        <v>365</v>
      </c>
      <c r="AJ6" s="82"/>
      <c r="AK6" s="83">
        <v>0.01</v>
      </c>
      <c r="AL6" s="84">
        <v>1.5E-3</v>
      </c>
      <c r="AM6" s="85">
        <v>0.01</v>
      </c>
      <c r="AN6" s="1852" t="s">
        <v>3246</v>
      </c>
      <c r="AO6" s="55">
        <f ca="1">SUMIF(INDIRECT("'"&amp;AN6&amp;"'"&amp;"!A:A"),"总价",INDIRECT("'"&amp;AN6&amp;"'"&amp;"!B:B"))</f>
        <v>12968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0.53700000000000003</v>
      </c>
      <c r="H16" s="95">
        <f>ROUND(SUMPRODUCT(H6:H13,K6:K13)/SUMPRODUCT((H6:H13&gt;0)*(K6:K13)),3)</f>
        <v>0.05</v>
      </c>
      <c r="I16" s="96"/>
      <c r="J16" s="96"/>
      <c r="K16" s="97">
        <f>SUM(K6:K15)</f>
        <v>9934.4500000000007</v>
      </c>
      <c r="L16" s="98">
        <f>ROUND(M16*10000/SUM(K6:K14),0)</f>
        <v>3500</v>
      </c>
      <c r="M16" s="98">
        <f>SUM(M6:M14)</f>
        <v>3477</v>
      </c>
      <c r="N16" s="99">
        <f>ROUND(SUMPRODUCT(M6:M14,N6:N14)/M16,3)</f>
        <v>0.84</v>
      </c>
      <c r="O16" s="98">
        <f>SUM(O6:O14)</f>
        <v>0</v>
      </c>
      <c r="P16" s="98">
        <f>SUM(P6:P14)</f>
        <v>0</v>
      </c>
      <c r="Q16" s="100">
        <f>ROUND(SUMPRODUCT(Q6:Q13,K6:K13)/SUMPRODUCT((Q6:Q13&gt;0)*(K6:K13)),2)</f>
        <v>0.2</v>
      </c>
      <c r="R16" s="1146">
        <f ca="1">SUM(R6:R13)</f>
        <v>2392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3238" t="s">
        <v>3239</v>
      </c>
      <c r="N18" s="2850">
        <f>ROUND(1-(2022-2009)/60,2)</f>
        <v>0.78</v>
      </c>
      <c r="O18" s="2850"/>
      <c r="P18" s="2850"/>
      <c r="Q18" s="2850"/>
      <c r="R18" s="2850"/>
      <c r="S18" s="2850"/>
      <c r="T18" s="2850"/>
      <c r="U18" s="2850"/>
      <c r="V18" s="2850"/>
      <c r="W18" s="2850"/>
      <c r="X18" s="2850"/>
      <c r="Y18" s="2850"/>
      <c r="Z18" s="3238" t="s">
        <v>3239</v>
      </c>
      <c r="AA18" s="2850">
        <f>ROUND(1-(2031-2009)/60,2)</f>
        <v>0.63</v>
      </c>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3238" t="s">
        <v>3240</v>
      </c>
      <c r="N19" s="2850">
        <v>0.9</v>
      </c>
      <c r="O19" s="2850"/>
      <c r="P19" s="2850"/>
      <c r="Q19" s="2850"/>
      <c r="R19" s="2850"/>
      <c r="S19" s="2850"/>
      <c r="T19" s="2850"/>
      <c r="U19" s="2850"/>
      <c r="V19" s="2850"/>
      <c r="W19" s="2850"/>
      <c r="X19" s="2850"/>
      <c r="Y19" s="2850"/>
      <c r="Z19" s="3238" t="s">
        <v>3240</v>
      </c>
      <c r="AA19" s="2850">
        <v>0.9</v>
      </c>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3238" t="s">
        <v>3241</v>
      </c>
      <c r="N20" s="2850">
        <f>ROUND((N18+N19)/2,2)</f>
        <v>0.84</v>
      </c>
      <c r="O20" s="2850"/>
      <c r="P20" s="2850"/>
      <c r="Q20" s="2850"/>
      <c r="R20" s="2850"/>
      <c r="S20" s="2850"/>
      <c r="T20" s="2850"/>
      <c r="U20" s="2850"/>
      <c r="V20" s="2850"/>
      <c r="W20" s="2850"/>
      <c r="X20" s="2850"/>
      <c r="Y20" s="2850"/>
      <c r="Z20" s="3238" t="s">
        <v>3241</v>
      </c>
      <c r="AA20" s="2850">
        <f>ROUND((AA18+AA19)/2,2)</f>
        <v>0.77</v>
      </c>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3248</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522</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0" t="s">
        <v>2787</v>
      </c>
      <c r="B1" s="3331"/>
      <c r="C1" s="3331"/>
      <c r="D1" s="3331"/>
      <c r="E1" s="3331"/>
      <c r="F1" s="3331"/>
      <c r="G1" s="3331"/>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9" sqref="C19"/>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9934.4500000000007</v>
      </c>
      <c r="C1" s="2865"/>
      <c r="D1" s="2865"/>
      <c r="E1" s="2865"/>
      <c r="F1" s="2865"/>
      <c r="G1" s="2866"/>
      <c r="H1" s="2867"/>
      <c r="I1" s="2867"/>
      <c r="J1" s="2867"/>
      <c r="K1" s="2867"/>
    </row>
    <row r="2" spans="1:11" ht="16.5">
      <c r="A2" s="2688" t="s">
        <v>1078</v>
      </c>
      <c r="B2" s="2688">
        <f>SUM(C14:C23)</f>
        <v>2392</v>
      </c>
      <c r="C2" s="2865"/>
      <c r="D2" s="2865"/>
      <c r="E2" s="2865"/>
      <c r="F2" s="2865"/>
      <c r="G2" s="2866"/>
      <c r="H2" s="2867"/>
      <c r="I2" s="2867"/>
      <c r="J2" s="2867"/>
      <c r="K2" s="2867"/>
    </row>
    <row r="3" spans="1:11" ht="16.5">
      <c r="A3" s="2688" t="s">
        <v>1087</v>
      </c>
      <c r="B3" s="2690">
        <f>项目基本情况!D3</f>
        <v>44872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13144</v>
      </c>
      <c r="C5" s="2688">
        <f ca="1">ROUND(B5*10000/$B$1,0)</f>
        <v>13231</v>
      </c>
      <c r="D5" s="2688">
        <f ca="1">ROUND(B5*10000/$B$2,0)</f>
        <v>54950</v>
      </c>
      <c r="E5" s="2865"/>
      <c r="F5" s="2866"/>
      <c r="G5" s="2866"/>
      <c r="H5" s="2867"/>
      <c r="I5" s="2867"/>
      <c r="J5" s="2867"/>
      <c r="K5" s="2867"/>
    </row>
    <row r="6" spans="1:11" ht="16.5">
      <c r="A6" s="2688" t="s">
        <v>1081</v>
      </c>
      <c r="B6" s="2688">
        <f ca="1">SUM(G14:G23)</f>
        <v>13144</v>
      </c>
      <c r="C6" s="2688">
        <f ca="1">ROUND(B6*10000/$B$1,0)</f>
        <v>13231</v>
      </c>
      <c r="D6" s="2688">
        <f ca="1">ROUND(B6*10000/$B$2,0)</f>
        <v>54950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9934.4500000000007</v>
      </c>
      <c r="C14" s="2694">
        <f>结果表!C118</f>
        <v>2392</v>
      </c>
      <c r="D14" s="2694">
        <f ca="1">结果表!H118</f>
        <v>13144</v>
      </c>
      <c r="E14" s="2694">
        <f ca="1">ROUND(D14*10000/B14,0)</f>
        <v>13231</v>
      </c>
      <c r="F14" s="2694">
        <f ca="1">ROUND(D14*10000/C14,0)</f>
        <v>54950</v>
      </c>
      <c r="G14" s="2694">
        <f ca="1">结果表!D122</f>
        <v>13144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70" zoomScaleNormal="100" zoomScaleSheetLayoutView="70" zoomScalePageLayoutView="80" workbookViewId="0">
      <selection activeCell="C37" sqref="C3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6" t="str">
        <f>项目基本情况!S2</f>
        <v>北京市大兴区兴华大街2号房地产</v>
      </c>
      <c r="B2" s="3367"/>
      <c r="C2" s="3367"/>
      <c r="D2" s="3367"/>
      <c r="E2" s="3367"/>
      <c r="F2" s="3367"/>
      <c r="G2" s="3367"/>
      <c r="H2" s="3367"/>
      <c r="I2" s="3368"/>
    </row>
    <row r="3" spans="1:12" ht="12.75">
      <c r="A3" s="3370" t="s">
        <v>1709</v>
      </c>
      <c r="B3" s="3371"/>
      <c r="C3" s="3371"/>
      <c r="D3" s="3371"/>
      <c r="E3" s="3371"/>
      <c r="F3" s="3371"/>
      <c r="G3" s="3371"/>
      <c r="H3" s="3371"/>
      <c r="I3" s="3371"/>
    </row>
    <row r="4" spans="1:12" ht="14.25">
      <c r="A4" s="1891" t="s">
        <v>1710</v>
      </c>
      <c r="B4" s="1892" t="s">
        <v>1711</v>
      </c>
      <c r="C4" s="1893" t="s">
        <v>3247</v>
      </c>
      <c r="D4" s="1893" t="s">
        <v>3246</v>
      </c>
      <c r="E4" s="3372" t="s">
        <v>1712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333">
        <v>25</v>
      </c>
      <c r="C5" s="3349"/>
      <c r="D5" s="3369"/>
      <c r="E5" s="136" t="s">
        <v>1714</v>
      </c>
      <c r="F5" s="1894"/>
      <c r="G5" s="1894"/>
      <c r="H5" s="1894"/>
      <c r="I5" s="1508"/>
    </row>
    <row r="6" spans="1:12" ht="12.75">
      <c r="A6" s="3346"/>
      <c r="B6" s="3333"/>
      <c r="C6" s="3350"/>
      <c r="D6" s="3369"/>
      <c r="E6" s="136" t="s">
        <v>1715</v>
      </c>
      <c r="F6" s="1894"/>
      <c r="G6" s="1894"/>
      <c r="H6" s="1894"/>
      <c r="I6" s="1508"/>
    </row>
    <row r="7" spans="1:12" ht="12.75">
      <c r="A7" s="3346"/>
      <c r="B7" s="3333"/>
      <c r="C7" s="3351"/>
      <c r="D7" s="3369"/>
      <c r="E7" s="136" t="s">
        <v>1716</v>
      </c>
      <c r="F7" s="1894"/>
      <c r="G7" s="1894"/>
      <c r="H7" s="1894"/>
      <c r="I7" s="1508"/>
    </row>
    <row r="8" spans="1:12" ht="12.75">
      <c r="A8" s="3346" t="s">
        <v>1717</v>
      </c>
      <c r="B8" s="3333">
        <v>15</v>
      </c>
      <c r="C8" s="3349"/>
      <c r="D8" s="3369"/>
      <c r="E8" s="136" t="s">
        <v>1718</v>
      </c>
      <c r="F8" s="1894"/>
      <c r="G8" s="1894"/>
      <c r="H8" s="1894"/>
      <c r="I8" s="1508"/>
    </row>
    <row r="9" spans="1:12" ht="12.75">
      <c r="A9" s="3346"/>
      <c r="B9" s="3333"/>
      <c r="C9" s="3351"/>
      <c r="D9" s="3369"/>
      <c r="E9" s="136" t="s">
        <v>1719</v>
      </c>
      <c r="F9" s="1894"/>
      <c r="G9" s="1894"/>
      <c r="H9" s="1894"/>
      <c r="I9" s="1508"/>
    </row>
    <row r="10" spans="1:12" ht="12.75">
      <c r="A10" s="3346" t="s">
        <v>1720</v>
      </c>
      <c r="B10" s="3333">
        <v>15</v>
      </c>
      <c r="C10" s="3349"/>
      <c r="D10" s="3369"/>
      <c r="E10" s="136" t="s">
        <v>1721</v>
      </c>
      <c r="F10" s="1894"/>
      <c r="G10" s="1894"/>
      <c r="H10" s="1894"/>
      <c r="I10" s="1508"/>
    </row>
    <row r="11" spans="1:12" ht="12.75">
      <c r="A11" s="3346"/>
      <c r="B11" s="3333"/>
      <c r="C11" s="3351"/>
      <c r="D11" s="3369"/>
      <c r="E11" s="136" t="s">
        <v>1722</v>
      </c>
      <c r="F11" s="1894"/>
      <c r="G11" s="1894"/>
      <c r="H11" s="1894"/>
      <c r="I11" s="1508"/>
    </row>
    <row r="12" spans="1:12" ht="12.75">
      <c r="A12" s="3346" t="s">
        <v>1723</v>
      </c>
      <c r="B12" s="3333">
        <v>15</v>
      </c>
      <c r="C12" s="3349"/>
      <c r="D12" s="3369"/>
      <c r="E12" s="136" t="s">
        <v>1724</v>
      </c>
      <c r="F12" s="1894"/>
      <c r="G12" s="1894"/>
      <c r="H12" s="1894"/>
      <c r="I12" s="1508"/>
    </row>
    <row r="13" spans="1:12" ht="12.75">
      <c r="A13" s="3346"/>
      <c r="B13" s="3333"/>
      <c r="C13" s="3351"/>
      <c r="D13" s="3369"/>
      <c r="E13" s="136" t="s">
        <v>1725</v>
      </c>
      <c r="F13" s="1894"/>
      <c r="G13" s="1894"/>
      <c r="H13" s="1894"/>
      <c r="I13" s="1508"/>
    </row>
    <row r="14" spans="1:12" ht="12.75">
      <c r="A14" s="3346" t="s">
        <v>1726</v>
      </c>
      <c r="B14" s="3333">
        <v>30</v>
      </c>
      <c r="C14" s="3349">
        <v>5</v>
      </c>
      <c r="D14" s="3369">
        <v>5</v>
      </c>
      <c r="E14" s="136" t="s">
        <v>1727</v>
      </c>
      <c r="F14" s="1894"/>
      <c r="G14" s="1894"/>
      <c r="H14" s="1894"/>
      <c r="I14" s="1508"/>
    </row>
    <row r="15" spans="1:12" ht="12.75">
      <c r="A15" s="3346"/>
      <c r="B15" s="3333"/>
      <c r="C15" s="3350"/>
      <c r="D15" s="3369"/>
      <c r="E15" s="136" t="s">
        <v>1728</v>
      </c>
      <c r="F15" s="1894"/>
      <c r="G15" s="1894"/>
      <c r="H15" s="1894"/>
      <c r="I15" s="1508"/>
    </row>
    <row r="16" spans="1:12" ht="12.75">
      <c r="A16" s="3346"/>
      <c r="B16" s="3333"/>
      <c r="C16" s="3351"/>
      <c r="D16" s="3369"/>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6" t="s">
        <v>2632</v>
      </c>
      <c r="F18" s="3357"/>
      <c r="G18" s="3357"/>
      <c r="H18" s="3357"/>
      <c r="I18" s="3357"/>
      <c r="K18" s="308" t="s">
        <v>1734</v>
      </c>
      <c r="L18" s="308">
        <f>IF(C1="",'数据-汇总表'!E3,SUMIF(项目类型,C1,'数据-汇总表'!E17:E26)+SUMIF(项目类型,C1,'数据-汇总表'!I17:I26))</f>
        <v>9934.4500000000007</v>
      </c>
      <c r="M18" s="308">
        <f>IF(C1="",'数据-汇总表'!E3,SUMIF(项目类型,C1,'数据-汇总表'!E17:E26))</f>
        <v>9934.4500000000007</v>
      </c>
    </row>
    <row r="19" spans="1:36" ht="15">
      <c r="A19" s="1898" t="s">
        <v>1735</v>
      </c>
      <c r="B19" s="1899" t="s">
        <v>1736</v>
      </c>
      <c r="C19" s="139">
        <f ca="1">SUMIF(INDIRECT("'"&amp;C4&amp;"'"&amp;"!A:A"),结果表!B19,INDIRECT("'"&amp;C4&amp;"'"&amp;"!B:B"))</f>
        <v>13319</v>
      </c>
      <c r="D19" s="140">
        <f ca="1">SUMIF(INDIRECT("'"&amp;D4&amp;"'"&amp;"!A:A"),结果表!B19,INDIRECT("'"&amp;D4&amp;"'"&amp;"!B:B"))</f>
        <v>12968</v>
      </c>
      <c r="E19" s="1898" t="s">
        <v>1737</v>
      </c>
      <c r="F19" s="1899" t="s">
        <v>1736</v>
      </c>
      <c r="G19" s="141">
        <f ca="1">ROUND(C19*$C$18+D19*$D$18,0)</f>
        <v>13144</v>
      </c>
      <c r="H19" s="1900" t="s">
        <v>1738</v>
      </c>
      <c r="I19" s="134"/>
      <c r="K19" s="308" t="s">
        <v>1739</v>
      </c>
      <c r="L19" s="308">
        <f>IF(C1="",'数据-汇总表'!D3,SUMIF(项目类型,C1,'数据-汇总表'!D17:D26)+SUMIF(项目类型,C1,'数据-汇总表'!H17:H27))</f>
        <v>2392</v>
      </c>
      <c r="M19" s="308">
        <f>IF(C1="",'数据-汇总表'!D3,SUMIF(项目类型,C1,'数据-汇总表'!D17:D26))</f>
        <v>2392</v>
      </c>
    </row>
    <row r="20" spans="1:36" ht="15">
      <c r="A20" s="1901"/>
      <c r="B20" s="1138" t="s">
        <v>1740</v>
      </c>
      <c r="C20" s="142">
        <f ca="1">SUMIF(INDIRECT("'"&amp;C4&amp;"'"&amp;"!A:A"),结果表!B20,INDIRECT("'"&amp;C4&amp;"'"&amp;"!B:B"))</f>
        <v>13407</v>
      </c>
      <c r="D20" s="143">
        <f ca="1">SUMIF(INDIRECT("'"&amp;D4&amp;"'"&amp;"!A:A"),结果表!B20,INDIRECT("'"&amp;D4&amp;"'"&amp;"!B:B"))</f>
        <v>13054</v>
      </c>
      <c r="E20" s="1901"/>
      <c r="F20" s="1138" t="s">
        <v>1740</v>
      </c>
      <c r="G20" s="144">
        <f ca="1">ROUND(C20*$C$18+D20*$D$18,0)</f>
        <v>13231</v>
      </c>
      <c r="H20" s="898" t="s">
        <v>1741</v>
      </c>
      <c r="I20" s="134"/>
    </row>
    <row r="21" spans="1:36" ht="15" customHeight="1" thickBot="1">
      <c r="A21" s="918"/>
      <c r="B21" s="1902" t="s">
        <v>1742</v>
      </c>
      <c r="C21" s="728">
        <f ca="1">ROUND(C19*10000/L19,0)</f>
        <v>55681</v>
      </c>
      <c r="D21" s="729">
        <f ca="1">ROUND(D19*10000/L19,0)</f>
        <v>54214</v>
      </c>
      <c r="E21" s="918"/>
      <c r="F21" s="1902" t="s">
        <v>1742</v>
      </c>
      <c r="G21" s="145">
        <f ca="1">ROUND(G19*10000/L19,0)</f>
        <v>54950</v>
      </c>
      <c r="H21" s="1903" t="s">
        <v>1741</v>
      </c>
      <c r="I21" s="134"/>
    </row>
    <row r="22" spans="1:36" ht="15" thickBot="1">
      <c r="A22" s="1825" t="s">
        <v>1743</v>
      </c>
      <c r="B22" s="1904"/>
      <c r="C22" s="1905"/>
      <c r="D22" s="730">
        <f ca="1">IF(C19&lt;D19,D19/C19-1,C19/D19-1)</f>
        <v>2.7066625539790223E-2</v>
      </c>
      <c r="E22" s="134"/>
      <c r="F22" s="134"/>
      <c r="G22" s="134"/>
      <c r="H22" s="134"/>
      <c r="I22" s="134"/>
    </row>
    <row r="23" spans="1:36" ht="13.5" thickBot="1">
      <c r="A23" s="1884"/>
      <c r="B23" s="1884"/>
      <c r="C23" s="1884"/>
      <c r="D23" s="1884"/>
      <c r="E23" s="134"/>
      <c r="F23" s="134"/>
      <c r="G23" s="134"/>
      <c r="H23" s="134"/>
      <c r="I23" s="134"/>
    </row>
    <row r="24" spans="1:36" ht="14.25">
      <c r="A24" s="3340" t="s">
        <v>1744</v>
      </c>
      <c r="B24" s="1899" t="s">
        <v>1736</v>
      </c>
      <c r="C24" s="141">
        <f>IF(B30=0,0,D30)</f>
        <v>0</v>
      </c>
      <c r="D24" s="1906"/>
      <c r="E24" s="134"/>
      <c r="F24" s="134"/>
      <c r="G24" s="134"/>
      <c r="H24" s="134"/>
      <c r="I24" s="134"/>
    </row>
    <row r="25" spans="1:36" ht="14.25">
      <c r="A25" s="334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13144</v>
      </c>
      <c r="D32" s="1912" t="s">
        <v>3253</v>
      </c>
      <c r="E32" s="134"/>
      <c r="F32" s="134"/>
      <c r="G32" s="134"/>
      <c r="H32" s="134"/>
      <c r="I32" s="134"/>
    </row>
    <row r="33" spans="1:15" ht="15">
      <c r="A33" s="875" t="s">
        <v>1751</v>
      </c>
      <c r="B33" s="1913"/>
      <c r="C33" s="1914" t="s">
        <v>3254</v>
      </c>
      <c r="D33" s="1915" t="s">
        <v>3247</v>
      </c>
      <c r="E33" s="1916" t="s">
        <v>1752</v>
      </c>
      <c r="F33" s="1917" t="str">
        <f>IF(D32="楼面单价","取值（单价）","取值（总价）")</f>
        <v>取值（总价）</v>
      </c>
      <c r="G33" s="134"/>
      <c r="H33" s="134"/>
      <c r="I33" s="134"/>
    </row>
    <row r="34" spans="1:15" ht="15">
      <c r="A34" s="1918"/>
      <c r="B34" s="1919" t="s">
        <v>1753</v>
      </c>
      <c r="C34" s="153">
        <f ca="1">IF(C33="自定义",F34,C32-C35)</f>
        <v>8780</v>
      </c>
      <c r="D34" s="951">
        <f ca="1">IF(C33="自定义",ROUND(C34/C32,3),IF(C33="收益比率",SUMIF(INDIRECT("'"&amp;D33&amp;"'"&amp;"!b:b"),"土地收益比率",INDIRECT("'"&amp;D33&amp;"'"&amp;"!c:c")),SUMIF(INDIRECT("'"&amp;D33&amp;"'"&amp;"!b:b"),"土地成本比率",INDIRECT("'"&amp;D33&amp;"'"&amp;"!c:c"))))</f>
        <v>0.66799999999999993</v>
      </c>
      <c r="E34" s="1920" t="s">
        <v>1754</v>
      </c>
      <c r="F34" s="1451"/>
      <c r="G34" s="134"/>
      <c r="H34" s="134"/>
      <c r="I34" s="134"/>
    </row>
    <row r="35" spans="1:15" ht="15.75" thickBot="1">
      <c r="A35" s="1921"/>
      <c r="B35" s="1922" t="s">
        <v>1755</v>
      </c>
      <c r="C35" s="1285">
        <f ca="1">IF(C33="自定义",F35,ROUND(C32*D35,0))</f>
        <v>4364</v>
      </c>
      <c r="D35" s="1286">
        <f ca="1">IF(C33="自定义",ROUND(C35/C32,3),IF(C33="收益比率",SUMIF(INDIRECT("'"&amp;D33&amp;"'"&amp;"!b:b"),"建筑物收益比率",INDIRECT("'"&amp;D33&amp;"'"&amp;"!c:c")),SUMIF(INDIRECT("'"&amp;D33&amp;"'"&amp;"!b:b"),"建筑物成本比率",INDIRECT("'"&amp;D33&amp;"'"&amp;"!c:c"))))</f>
        <v>0.33200000000000002</v>
      </c>
      <c r="E35" s="1923" t="s">
        <v>1756</v>
      </c>
      <c r="F35" s="159"/>
      <c r="G35" s="134"/>
      <c r="H35" s="134"/>
      <c r="I35" s="134"/>
    </row>
    <row r="36" spans="1:15" ht="15.75" thickBot="1">
      <c r="A36" s="3360" t="s">
        <v>1757</v>
      </c>
      <c r="B36" s="1924" t="s">
        <v>1758</v>
      </c>
      <c r="C36" s="150"/>
      <c r="D36" s="1925"/>
      <c r="E36" s="1926"/>
      <c r="F36" s="1927"/>
      <c r="G36" s="134"/>
      <c r="H36" s="134"/>
      <c r="I36" s="134"/>
    </row>
    <row r="37" spans="1:15" ht="15.75" thickBot="1">
      <c r="A37" s="3361"/>
      <c r="B37" s="1811" t="s">
        <v>1759</v>
      </c>
      <c r="C37" s="152"/>
      <c r="D37" s="1254"/>
      <c r="E37" s="1254"/>
      <c r="F37" s="1927"/>
      <c r="G37" s="134"/>
      <c r="H37" s="134"/>
      <c r="I37" s="134"/>
    </row>
    <row r="38" spans="1:15" ht="15.75" thickBot="1">
      <c r="A38" s="336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7" t="s">
        <v>1771</v>
      </c>
      <c r="B45" s="3338"/>
      <c r="C45" s="3339"/>
      <c r="D45" s="160">
        <f ca="1">ROUND(H101*F45,0)</f>
        <v>13144</v>
      </c>
      <c r="E45" s="161" t="s">
        <v>1772</v>
      </c>
      <c r="F45" s="162">
        <v>1</v>
      </c>
      <c r="G45" s="163" t="s">
        <v>1773</v>
      </c>
      <c r="H45" s="134"/>
      <c r="I45" s="134"/>
      <c r="J45" s="3418" t="s">
        <v>1774</v>
      </c>
      <c r="K45" s="3418"/>
      <c r="L45" s="3418"/>
      <c r="M45" s="3418"/>
      <c r="N45" s="3418"/>
      <c r="O45" s="3418"/>
    </row>
    <row r="46" spans="1:15" ht="14.25" customHeight="1">
      <c r="A46" s="3334" t="s">
        <v>1775</v>
      </c>
      <c r="B46" s="3335"/>
      <c r="C46" s="3335"/>
      <c r="D46" s="3335"/>
      <c r="E46" s="3335"/>
      <c r="F46" s="3335"/>
      <c r="G46" s="3336"/>
      <c r="H46" s="1943"/>
      <c r="I46" s="164"/>
      <c r="J46" s="2699">
        <v>1</v>
      </c>
      <c r="K46" s="3399" t="s">
        <v>1776</v>
      </c>
      <c r="L46" s="3399"/>
      <c r="M46" s="3419"/>
      <c r="N46" s="3419"/>
      <c r="O46" s="3419"/>
    </row>
    <row r="47" spans="1:15" ht="12" customHeight="1">
      <c r="A47" s="165" t="s">
        <v>1777</v>
      </c>
      <c r="B47" s="166"/>
      <c r="C47" s="167"/>
      <c r="D47" s="1200" t="s">
        <v>1778</v>
      </c>
      <c r="E47" s="308" t="s">
        <v>1779</v>
      </c>
      <c r="F47" s="168" t="s">
        <v>1780</v>
      </c>
      <c r="G47" s="2722" t="s">
        <v>1781</v>
      </c>
      <c r="H47" s="2723"/>
      <c r="I47" s="164"/>
      <c r="J47" s="2699">
        <v>2</v>
      </c>
      <c r="K47" s="3399" t="s">
        <v>1782</v>
      </c>
      <c r="L47" s="3399"/>
      <c r="M47" s="3420">
        <f>'数据-取费表'!B2</f>
        <v>44872</v>
      </c>
      <c r="N47" s="3420"/>
      <c r="O47" s="3420"/>
    </row>
    <row r="48" spans="1:15" ht="25.5">
      <c r="A48" s="3365" t="s">
        <v>1783</v>
      </c>
      <c r="B48" s="3348"/>
      <c r="C48" s="334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9" t="s">
        <v>1785</v>
      </c>
      <c r="L48" s="3399"/>
      <c r="M48" s="3421">
        <f ca="1">H101</f>
        <v>13144</v>
      </c>
      <c r="N48" s="3421"/>
      <c r="O48" s="3421"/>
    </row>
    <row r="49" spans="1:35" ht="25.5" customHeight="1">
      <c r="A49" s="2507" t="s">
        <v>1786</v>
      </c>
      <c r="B49" s="3332" t="s">
        <v>1787</v>
      </c>
      <c r="C49" s="3332"/>
      <c r="D49" s="1726">
        <v>0</v>
      </c>
      <c r="E49" s="330" t="s">
        <v>1788</v>
      </c>
      <c r="F49" s="2600" t="s">
        <v>34</v>
      </c>
      <c r="G49" s="3405"/>
      <c r="H49" s="2479" t="s">
        <v>2635</v>
      </c>
      <c r="I49" s="2480"/>
      <c r="J49" s="2699">
        <v>4</v>
      </c>
      <c r="K49" s="3399" t="str">
        <f>IF(项目基本情况!E8="房地产抵押价值","房地产抵押价值","抵押担保权已注销时的房地产抵押价值")</f>
        <v>房地产抵押价值</v>
      </c>
      <c r="L49" s="3399"/>
      <c r="M49" s="3421">
        <f ca="1">IF(项目基本情况!E8="房地产抵押价值",H107,H109)</f>
        <v>13144</v>
      </c>
      <c r="N49" s="3421"/>
      <c r="O49" s="3421"/>
    </row>
    <row r="50" spans="1:35" ht="25.5" customHeight="1">
      <c r="A50" s="2727"/>
      <c r="B50" s="3332" t="s">
        <v>1789</v>
      </c>
      <c r="C50" s="3332"/>
      <c r="D50" s="2728"/>
      <c r="E50" s="338"/>
      <c r="F50" s="2600"/>
      <c r="G50" s="3406"/>
      <c r="H50" s="2481" t="s">
        <v>2636</v>
      </c>
      <c r="I50" s="2480"/>
      <c r="J50" s="3418" t="s">
        <v>1790</v>
      </c>
      <c r="K50" s="3418"/>
      <c r="L50" s="3418"/>
      <c r="M50" s="3418"/>
      <c r="N50" s="3418"/>
      <c r="O50" s="3418"/>
    </row>
    <row r="51" spans="1:35" ht="20.45" customHeight="1">
      <c r="A51" s="2729"/>
      <c r="B51" s="3332" t="s">
        <v>1791</v>
      </c>
      <c r="C51" s="3332"/>
      <c r="D51" s="1200"/>
      <c r="E51" s="333"/>
      <c r="F51" s="2600"/>
      <c r="G51" s="3407"/>
      <c r="H51" s="2481" t="s">
        <v>2637</v>
      </c>
      <c r="I51" s="2480"/>
      <c r="J51" s="2700" t="s">
        <v>1792</v>
      </c>
      <c r="K51" s="3399" t="s">
        <v>1793</v>
      </c>
      <c r="L51" s="3399"/>
      <c r="M51" s="2700" t="s">
        <v>1794</v>
      </c>
      <c r="N51" s="2700" t="s">
        <v>1795</v>
      </c>
      <c r="O51" s="2700" t="s">
        <v>1796</v>
      </c>
    </row>
    <row r="52" spans="1:35" ht="24" customHeight="1">
      <c r="A52" s="2509" t="s">
        <v>1797</v>
      </c>
      <c r="B52" s="3332" t="s">
        <v>1798</v>
      </c>
      <c r="C52" s="3332"/>
      <c r="D52" s="1200">
        <f ca="1">ROUND(D45*'数据-取费表'!B41/(1+'数据-取费表'!C42),0)</f>
        <v>688</v>
      </c>
      <c r="E52" s="2508" t="s">
        <v>1799</v>
      </c>
      <c r="F52" s="2730">
        <f>'数据-取费表'!B41</f>
        <v>5.5000000000000007E-2</v>
      </c>
      <c r="G52" s="2731"/>
      <c r="H52" s="2720"/>
      <c r="I52" s="1944"/>
      <c r="J52" s="2699">
        <v>1</v>
      </c>
      <c r="K52" s="3400" t="s">
        <v>1800</v>
      </c>
      <c r="L52" s="3400"/>
      <c r="M52" s="2701" t="b">
        <f>D48</f>
        <v>0</v>
      </c>
      <c r="N52" s="2699" t="str">
        <f>E48</f>
        <v>销售额×税（费）率</v>
      </c>
      <c r="O52" s="2702">
        <f>F48</f>
        <v>5.5000000000000007E-2</v>
      </c>
    </row>
    <row r="53" spans="1:35" ht="12" customHeight="1">
      <c r="A53" s="2509" t="s">
        <v>1801</v>
      </c>
      <c r="B53" s="3358" t="s">
        <v>2792</v>
      </c>
      <c r="C53" s="3359"/>
      <c r="D53" s="1200">
        <f ca="1">ROUND(D45*'数据-取费表'!B41/(1+'数据-取费表'!C42),0)</f>
        <v>688</v>
      </c>
      <c r="E53" s="2508" t="s">
        <v>1799</v>
      </c>
      <c r="F53" s="2730">
        <f>'数据-取费表'!B41</f>
        <v>5.5000000000000007E-2</v>
      </c>
      <c r="G53" s="2731"/>
      <c r="H53" s="2720"/>
      <c r="I53" s="1944"/>
      <c r="J53" s="2699">
        <v>2</v>
      </c>
      <c r="K53" s="3400" t="s">
        <v>1802</v>
      </c>
      <c r="L53" s="3400"/>
      <c r="M53" s="2701">
        <f t="shared" ref="M53:O54" ca="1" si="0">D55</f>
        <v>7</v>
      </c>
      <c r="N53" s="2699" t="str">
        <f t="shared" si="0"/>
        <v>销售额×税（费）率</v>
      </c>
      <c r="O53" s="2702" t="str">
        <f t="shared" si="0"/>
        <v>免征</v>
      </c>
    </row>
    <row r="54" spans="1:35" ht="12" customHeight="1">
      <c r="A54" s="2509" t="s">
        <v>1803</v>
      </c>
      <c r="B54" s="3358" t="s">
        <v>2793</v>
      </c>
      <c r="C54" s="3359"/>
      <c r="D54" s="1200">
        <f ca="1">C68</f>
        <v>688</v>
      </c>
      <c r="E54" s="333" t="s">
        <v>1804</v>
      </c>
      <c r="F54" s="2730">
        <f>'数据-取费表'!B41</f>
        <v>5.5000000000000007E-2</v>
      </c>
      <c r="G54" s="2731"/>
      <c r="H54" s="2732"/>
      <c r="I54" s="1944"/>
      <c r="J54" s="2699">
        <v>3</v>
      </c>
      <c r="K54" s="3400" t="s">
        <v>1805</v>
      </c>
      <c r="L54" s="3400"/>
      <c r="M54" s="2701">
        <f t="shared" ca="1" si="0"/>
        <v>7451</v>
      </c>
      <c r="N54" s="2699" t="str">
        <f t="shared" si="0"/>
        <v>增值额×税（费）率</v>
      </c>
      <c r="O54" s="2703" t="str">
        <f t="shared" si="0"/>
        <v>免征</v>
      </c>
    </row>
    <row r="55" spans="1:35" ht="24" customHeight="1">
      <c r="A55" s="3347" t="s">
        <v>1806</v>
      </c>
      <c r="B55" s="3348"/>
      <c r="C55" s="3348"/>
      <c r="D55" s="2498">
        <f ca="1">IF(H55="个人住宅",0,ROUND(D45*I55,0))</f>
        <v>7</v>
      </c>
      <c r="E55" s="2508" t="s">
        <v>1807</v>
      </c>
      <c r="F55" s="2730" t="str">
        <f>IF(H55="正常",I55,"免征")</f>
        <v>免征</v>
      </c>
      <c r="G55" s="2731"/>
      <c r="H55" s="2726"/>
      <c r="I55" s="170">
        <f>'数据-取费表'!B49</f>
        <v>5.0000000000000001E-4</v>
      </c>
      <c r="J55" s="2699">
        <f>IF(H59="非个人房产","",4)</f>
        <v>4</v>
      </c>
      <c r="K55" s="3400" t="str">
        <f>IF(H59="非个人房产","——","个人所得税")</f>
        <v>个人所得税</v>
      </c>
      <c r="L55" s="3400"/>
      <c r="M55" s="2704">
        <f ca="1">D59</f>
        <v>125</v>
      </c>
      <c r="N55" s="2179" t="str">
        <f>E59</f>
        <v>差额计税</v>
      </c>
      <c r="O55" s="2705">
        <f>F59</f>
        <v>0.01</v>
      </c>
    </row>
    <row r="56" spans="1:35" ht="24.75">
      <c r="A56" s="3347" t="s">
        <v>1808</v>
      </c>
      <c r="B56" s="3348"/>
      <c r="C56" s="3348"/>
      <c r="D56" s="2498">
        <f ca="1">IF(H56="个人住宅",D57,D58)</f>
        <v>7451</v>
      </c>
      <c r="E56" s="2508" t="s">
        <v>1809</v>
      </c>
      <c r="F56" s="2730" t="str">
        <f>IF(H56="正常",F58,"免征")</f>
        <v>免征</v>
      </c>
      <c r="G56" s="2733" t="s">
        <v>1810</v>
      </c>
      <c r="H56" s="2734"/>
      <c r="I56" s="1945"/>
      <c r="J56" s="2699" t="str">
        <f>IF(项目基本情况!K6="上海银行",IF(J55="",4,J55+1),"")</f>
        <v/>
      </c>
      <c r="K56" s="3423" t="str">
        <f>IF(项目基本情况!K6="上海银行","其他处置费用","")</f>
        <v/>
      </c>
      <c r="L56" s="3424"/>
      <c r="M56" s="2701" t="str">
        <f>IF(项目基本情况!K6="上海银行",M69,"")</f>
        <v/>
      </c>
      <c r="N56" s="3423" t="str">
        <f>IF(项目基本情况!K6="上海银行","包含处置中涉及的律师、诉讼、拍卖、评估等费用","")</f>
        <v/>
      </c>
      <c r="O56" s="3426"/>
    </row>
    <row r="57" spans="1:35" ht="12.75">
      <c r="A57" s="2509" t="s">
        <v>1786</v>
      </c>
      <c r="B57" s="3358" t="s">
        <v>1811</v>
      </c>
      <c r="C57" s="3359"/>
      <c r="D57" s="1726">
        <v>0</v>
      </c>
      <c r="E57" s="330" t="s">
        <v>1788</v>
      </c>
      <c r="F57" s="308"/>
      <c r="G57" s="2731"/>
      <c r="H57" s="2735"/>
      <c r="I57" s="1945"/>
      <c r="J57" s="3400">
        <f>IF(AND(J55="",J56=""),4,IF(项目基本情况!K6="上海银行",结果表!J56+1,结果表!J55+1))</f>
        <v>5</v>
      </c>
      <c r="K57" s="3400" t="s">
        <v>1812</v>
      </c>
      <c r="L57" s="2706" t="s">
        <v>1813</v>
      </c>
      <c r="M57" s="2707"/>
      <c r="N57" s="2708">
        <f ca="1">SUMIF(M52:M56,"&lt;9e307")</f>
        <v>7583</v>
      </c>
      <c r="O57" s="2709"/>
      <c r="P57" s="2869">
        <f ca="1">N57/M49</f>
        <v>0.57691722458916617</v>
      </c>
    </row>
    <row r="58" spans="1:35" ht="24.75">
      <c r="A58" s="2509" t="s">
        <v>1797</v>
      </c>
      <c r="B58" s="3358" t="s">
        <v>1814</v>
      </c>
      <c r="C58" s="3332"/>
      <c r="D58" s="2498">
        <f ca="1">IF(H58="转让取得",C81,C97)</f>
        <v>7451</v>
      </c>
      <c r="E58" s="2508" t="s">
        <v>1809</v>
      </c>
      <c r="F58" s="308" t="s">
        <v>34</v>
      </c>
      <c r="G58" s="2731"/>
      <c r="H58" s="2734"/>
      <c r="I58" s="1945"/>
      <c r="J58" s="3400"/>
      <c r="K58" s="3400"/>
      <c r="L58" s="2706" t="s">
        <v>1815</v>
      </c>
      <c r="M58" s="2710"/>
      <c r="N58" s="2711" t="str">
        <f ca="1">NUMBERSTRING(INT(N57*10000),2)&amp;"元整"</f>
        <v>柒仟伍佰捌拾叁万元整</v>
      </c>
      <c r="O58" s="2712"/>
    </row>
    <row r="59" spans="1:35" ht="24.75" thickBot="1">
      <c r="A59" s="3403" t="s">
        <v>1816</v>
      </c>
      <c r="B59" s="3404"/>
      <c r="C59" s="3404"/>
      <c r="D59" s="2736">
        <f ca="1">IF(H59="非个人房产","——",IF(H59="个人住宅（满五唯一有凭证）",0,IF(H59="个人其他（无凭证）",ROUND(D45*F59,0),ROUND(C67*F59,0))))</f>
        <v>125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1">
        <f>J57+1</f>
        <v>6</v>
      </c>
      <c r="K59" s="3400" t="s">
        <v>1817</v>
      </c>
      <c r="L59" s="2699" t="s">
        <v>1813</v>
      </c>
      <c r="M59" s="2713"/>
      <c r="N59" s="2714">
        <f ca="1">M49-N57</f>
        <v>5561</v>
      </c>
      <c r="O59" s="2715"/>
    </row>
    <row r="60" spans="1:35" ht="12" customHeight="1">
      <c r="A60" s="1946"/>
      <c r="B60" s="1884"/>
      <c r="C60" s="1884"/>
      <c r="D60" s="1884"/>
      <c r="E60" s="1714"/>
      <c r="F60" s="1945"/>
      <c r="G60" s="1945"/>
      <c r="H60" s="1947"/>
      <c r="I60" s="134"/>
      <c r="J60" s="3402"/>
      <c r="K60" s="3400"/>
      <c r="L60" s="2706" t="s">
        <v>1815</v>
      </c>
      <c r="M60" s="2710"/>
      <c r="N60" s="2711" t="str">
        <f ca="1">NUMBERSTRING(INT(N59*10000),2)&amp;"元整"</f>
        <v>伍仟伍佰陆拾壹万元整</v>
      </c>
      <c r="O60" s="2712"/>
    </row>
    <row r="61" spans="1:35" ht="13.5" thickBot="1">
      <c r="A61" s="3345" t="s">
        <v>1818</v>
      </c>
      <c r="B61" s="3345"/>
      <c r="C61" s="3345"/>
      <c r="D61" s="3345"/>
      <c r="E61" s="3345"/>
      <c r="F61" s="1945"/>
      <c r="G61" s="1945"/>
      <c r="H61" s="1947"/>
      <c r="I61" s="134"/>
      <c r="J61" s="2699">
        <f>J59+1</f>
        <v>7</v>
      </c>
      <c r="K61" s="3400" t="s">
        <v>1819</v>
      </c>
      <c r="L61" s="3400"/>
      <c r="M61" s="2716"/>
      <c r="N61" s="2717">
        <f ca="1">ROUND(N59*10000/'数据-汇总表'!E3,0)</f>
        <v>5598</v>
      </c>
      <c r="O61" s="2718"/>
    </row>
    <row r="62" spans="1:35" ht="12.75">
      <c r="A62" s="3363" t="s">
        <v>1820</v>
      </c>
      <c r="B62" s="3364"/>
      <c r="C62" s="2160"/>
      <c r="D62" s="2160" t="s">
        <v>1821</v>
      </c>
      <c r="E62" s="171" t="s">
        <v>1822</v>
      </c>
      <c r="F62" s="1945"/>
      <c r="G62" s="1945"/>
      <c r="H62" s="1947"/>
      <c r="I62" s="134"/>
    </row>
    <row r="63" spans="1:35" ht="12.75">
      <c r="A63" s="178" t="s">
        <v>594</v>
      </c>
      <c r="B63" s="172" t="s">
        <v>1823</v>
      </c>
      <c r="C63" s="2740">
        <f ca="1">ROUND((C64+C65)/(1+'数据-取费表'!C42),0)</f>
        <v>12518</v>
      </c>
      <c r="D63" s="172"/>
      <c r="E63" s="173"/>
      <c r="F63" s="1945"/>
      <c r="G63" s="1945"/>
      <c r="H63" s="1947"/>
      <c r="I63" s="134"/>
      <c r="J63" s="3425" t="s">
        <v>1824</v>
      </c>
      <c r="K63" s="1453" t="s">
        <v>1825</v>
      </c>
      <c r="L63" s="1453">
        <f ca="1">IF(M49&gt;10000,M49*0.5%,IF(AND(M49&gt;1000,M49&lt;=10000),M49*1%,IF(AND(M49&gt;100,M49&lt;=1000),M49*3%,IF(AND(M49&gt;10,M49&lt;=100),M49*5%,M49*8%))))</f>
        <v>65.72</v>
      </c>
      <c r="M63" s="308">
        <f ca="1">ROUND(L63,1)</f>
        <v>65.7</v>
      </c>
      <c r="N63" s="2719"/>
      <c r="Z63" s="1889"/>
      <c r="AI63" s="1890"/>
    </row>
    <row r="64" spans="1:35" ht="14.25" customHeight="1">
      <c r="A64" s="174" t="s">
        <v>589</v>
      </c>
      <c r="B64" s="175" t="s">
        <v>1826</v>
      </c>
      <c r="C64" s="2741">
        <f ca="1">D45</f>
        <v>13144</v>
      </c>
      <c r="D64" s="175" t="s">
        <v>32</v>
      </c>
      <c r="E64" s="177"/>
      <c r="F64" s="1945"/>
      <c r="G64" s="1945"/>
      <c r="H64" s="1947"/>
      <c r="I64" s="134"/>
      <c r="J64" s="3425"/>
      <c r="K64" s="1453" t="s">
        <v>1827</v>
      </c>
      <c r="L64" s="1453">
        <f ca="1">IF(M49&gt;2000,M49*0.5%,IF(AND(M49&gt;1000,M49&lt;=2000),M49*0.6%,IF(AND(M49&gt;500,M49&lt;=1000),M49*0.7%,IF(AND(M49&gt;200,M49&lt;=500),M49*0.8%,IF(AND(M49&gt;100,M49&lt;=200),M49*0.9%,IF(AND(M49&gt;50,M49&lt;=100),M49*1%,IF(AND(M49&gt;20,M49&lt;=50),M49*1.5%,IF(AND(M49&gt;10,M49&lt;=20),M49*2%,IF(AND(M49&gt;1,M49&lt;=10),M49*2.5%)))))))))</f>
        <v>65.72</v>
      </c>
      <c r="M64" s="308">
        <f t="shared" ref="M64:M65" ca="1" si="1">ROUND(L64,1)</f>
        <v>65.7</v>
      </c>
      <c r="N64" s="2720" t="s">
        <v>1828</v>
      </c>
      <c r="Z64" s="1889"/>
      <c r="AI64" s="1890"/>
    </row>
    <row r="65" spans="1:35" ht="14.25" customHeight="1">
      <c r="A65" s="174" t="s">
        <v>590</v>
      </c>
      <c r="B65" s="175" t="s">
        <v>1829</v>
      </c>
      <c r="C65" s="2742"/>
      <c r="D65" s="175"/>
      <c r="E65" s="177"/>
      <c r="F65" s="1945"/>
      <c r="G65" s="1945"/>
      <c r="H65" s="1947"/>
      <c r="I65" s="134"/>
      <c r="J65" s="3425"/>
      <c r="K65" s="1453" t="s">
        <v>1830</v>
      </c>
      <c r="L65" s="1453">
        <f ca="1">IF(M49&gt;1000,M49*0.1%,IF(AND(M49&gt;500,M49&lt;=1000),M49*0.5%,IF(AND(M49&gt;50,M49&lt;=500),M49*1%,IF(AND(M49&gt;1,M49&lt;=50),M49*1.5%))))</f>
        <v>13.144</v>
      </c>
      <c r="M65" s="308">
        <f t="shared" ca="1" si="1"/>
        <v>13.1</v>
      </c>
      <c r="N65" s="2720" t="s">
        <v>1828</v>
      </c>
      <c r="Z65" s="1889"/>
      <c r="AI65" s="1890"/>
    </row>
    <row r="66" spans="1:35" ht="14.25" customHeight="1">
      <c r="A66" s="178" t="s">
        <v>591</v>
      </c>
      <c r="B66" s="179" t="s">
        <v>1831</v>
      </c>
      <c r="C66" s="2743"/>
      <c r="D66" s="179" t="s">
        <v>32</v>
      </c>
      <c r="E66" s="1460" t="s">
        <v>1096</v>
      </c>
      <c r="F66" s="1945"/>
      <c r="G66" s="1945"/>
      <c r="H66" s="1947"/>
      <c r="I66" s="134"/>
      <c r="J66" s="3425"/>
      <c r="K66" s="1453" t="s">
        <v>1832</v>
      </c>
      <c r="L66" s="1453">
        <f ca="1">M49*0.5%</f>
        <v>65.72</v>
      </c>
      <c r="M66" s="308">
        <f ca="1">IF(L66&gt;0.5,0.5,ROUND(L66,0))</f>
        <v>0.5</v>
      </c>
      <c r="N66" s="2720" t="s">
        <v>1833</v>
      </c>
      <c r="Z66" s="1889"/>
      <c r="AI66" s="1890"/>
    </row>
    <row r="67" spans="1:35" ht="14.25" customHeight="1">
      <c r="A67" s="178" t="s">
        <v>592</v>
      </c>
      <c r="B67" s="179" t="s">
        <v>1834</v>
      </c>
      <c r="C67" s="2744">
        <f ca="1">C63-C66</f>
        <v>12518</v>
      </c>
      <c r="D67" s="175" t="s">
        <v>32</v>
      </c>
      <c r="E67" s="177"/>
      <c r="F67" s="1945"/>
      <c r="G67" s="1945"/>
      <c r="H67" s="1947"/>
      <c r="I67" s="134"/>
      <c r="J67" s="3425"/>
      <c r="K67" s="1453" t="s">
        <v>1835</v>
      </c>
      <c r="L67" s="1453">
        <f ca="1">IF(M49&gt;=10000,(8.25+(M49-10000)*0.01%),IF(AND(M49&gt;=8000,M49&lt;10000),(7.85+(M49-8000)*0.02%),IF(AND(M49&gt;=5000,M49&lt;8000),(6.65+(M49-5000)*0.04%),IF(AND(M49&gt;=2000,M49&lt;5000),(4.25+(PM49-2000)*0.08%),IF(AND(M49&gt;=1000,M49&lt;2000),(2.75+(M49-1000)*0.15%),IF(AND(M49&gt;=100,M49&lt;1000),(0.5+(M49-100)*0.25%),IF(AND(M49&gt;0,M49&lt;100),M49*0.5%)))))))</f>
        <v>8.5643999999999991</v>
      </c>
      <c r="M67" s="308">
        <f ca="1">ROUND(L67*0.9,1)</f>
        <v>7.7</v>
      </c>
      <c r="N67" s="2719"/>
      <c r="Z67" s="1889"/>
      <c r="AI67" s="1890"/>
    </row>
    <row r="68" spans="1:35" ht="14.25" customHeight="1" thickBot="1">
      <c r="A68" s="181" t="s">
        <v>593</v>
      </c>
      <c r="B68" s="182" t="s">
        <v>1836</v>
      </c>
      <c r="C68" s="2745">
        <f ca="1">IF(C67&lt;=0,0,ROUND(C67*D68,0))</f>
        <v>688</v>
      </c>
      <c r="D68" s="2746">
        <f>'数据-取费表'!B41</f>
        <v>5.5000000000000007E-2</v>
      </c>
      <c r="E68" s="184"/>
      <c r="F68" s="1945"/>
      <c r="G68" s="1945"/>
      <c r="H68" s="1947"/>
      <c r="I68" s="134"/>
      <c r="J68" s="3425"/>
      <c r="K68" s="1453" t="s">
        <v>1837</v>
      </c>
      <c r="L68" s="1453">
        <f ca="1">IF(M49&gt;10000,M49*0.5%,IF(AND(M49&gt;5000,M49&lt;=10000),M49*1%,IF(AND(M49&gt;1000,M49&lt;=5000),M49*2%,IF(AND(M49&gt;200,M49&lt;=1000),M49*3%,M49*5%))))</f>
        <v>65.72</v>
      </c>
      <c r="M68" s="308">
        <f ca="1">ROUND(L68,1)</f>
        <v>65.7</v>
      </c>
      <c r="N68" s="2719"/>
      <c r="Z68" s="1889"/>
      <c r="AI68" s="1890"/>
    </row>
    <row r="69" spans="1:35" s="1909" customFormat="1" ht="16.5" customHeight="1">
      <c r="A69" s="1948"/>
      <c r="B69" s="1949"/>
      <c r="C69" s="1950"/>
      <c r="D69" s="1951"/>
      <c r="E69" s="1952"/>
      <c r="F69" s="1714"/>
      <c r="G69" s="1714"/>
      <c r="H69" s="1713"/>
      <c r="I69" s="1884"/>
      <c r="J69" s="3425"/>
      <c r="K69" s="1453" t="s">
        <v>1838</v>
      </c>
      <c r="L69" s="1453"/>
      <c r="M69" s="308">
        <f ca="1">ROUND(SUM(M63:M68),0)</f>
        <v>218</v>
      </c>
      <c r="N69" s="2721">
        <f ca="1">M69/M49</f>
        <v>1.6585514303104079E-2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1839</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3" t="s">
        <v>1820</v>
      </c>
      <c r="B71" s="336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12518</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8" t="s">
        <v>1847</v>
      </c>
      <c r="F76" s="3332"/>
      <c r="G76" s="3332"/>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63</v>
      </c>
      <c r="D78" s="2753">
        <f>'数据-取费表'!B43</f>
        <v>5.000000000000001E-3</v>
      </c>
      <c r="E78" s="3342" t="s">
        <v>1851</v>
      </c>
      <c r="F78" s="3343"/>
      <c r="G78" s="3343"/>
      <c r="H78" s="335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12455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197.69841269841271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7451</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3" t="s">
        <v>1820</v>
      </c>
      <c r="B84" s="336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12518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7" t="s">
        <v>2630</v>
      </c>
      <c r="H90" s="342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2" t="s">
        <v>1864</v>
      </c>
      <c r="F91" s="3343"/>
      <c r="G91" s="334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2" t="s">
        <v>1867</v>
      </c>
      <c r="F92" s="3343"/>
      <c r="G92" s="3343"/>
      <c r="H92" s="335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63</v>
      </c>
      <c r="D93" s="2753">
        <f>'数据-取费表'!B43</f>
        <v>5.000000000000001E-3</v>
      </c>
      <c r="E93" s="3342" t="s">
        <v>1851</v>
      </c>
      <c r="F93" s="3343"/>
      <c r="G93" s="3343"/>
      <c r="H93" s="335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3" t="s">
        <v>1871</v>
      </c>
      <c r="F94" s="3354"/>
      <c r="G94" s="3354"/>
      <c r="H94" s="335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12455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197.69841269841271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7451</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6" t="s">
        <v>1873</v>
      </c>
      <c r="B100" s="3327"/>
      <c r="C100" s="3327"/>
      <c r="D100" s="3344"/>
      <c r="E100" s="3327" t="s">
        <v>1874</v>
      </c>
      <c r="F100" s="3327"/>
      <c r="G100" s="3327"/>
      <c r="H100" s="3344"/>
      <c r="I100" s="134"/>
    </row>
    <row r="101" spans="1:35" ht="18.75" customHeight="1">
      <c r="A101" s="3408" t="s">
        <v>1875</v>
      </c>
      <c r="B101" s="3409"/>
      <c r="C101" s="2761" t="str">
        <f>C4</f>
        <v>成本法</v>
      </c>
      <c r="D101" s="2762" t="str">
        <f>D4</f>
        <v>收益法</v>
      </c>
      <c r="E101" s="3422" t="s">
        <v>1876</v>
      </c>
      <c r="F101" s="3376"/>
      <c r="G101" s="1964" t="s">
        <v>1877</v>
      </c>
      <c r="H101" s="2771">
        <f ca="1">H118</f>
        <v>13144</v>
      </c>
      <c r="I101" s="134"/>
    </row>
    <row r="102" spans="1:35" ht="18.75" customHeight="1">
      <c r="A102" s="3378" t="s">
        <v>1878</v>
      </c>
      <c r="B102" s="2760" t="s">
        <v>1877</v>
      </c>
      <c r="C102" s="2761">
        <f ca="1">C19</f>
        <v>13319</v>
      </c>
      <c r="D102" s="2762">
        <f ca="1">D19</f>
        <v>12968</v>
      </c>
      <c r="E102" s="3422"/>
      <c r="F102" s="3376"/>
      <c r="G102" s="1964" t="s">
        <v>1879</v>
      </c>
      <c r="H102" s="2731">
        <f ca="1">I118</f>
        <v>13231</v>
      </c>
      <c r="I102" s="134"/>
    </row>
    <row r="103" spans="1:35" ht="42.75" customHeight="1">
      <c r="A103" s="3378"/>
      <c r="B103" s="2760" t="s">
        <v>1879</v>
      </c>
      <c r="C103" s="2763">
        <f ca="1">C20</f>
        <v>13407</v>
      </c>
      <c r="D103" s="2764">
        <f ca="1">D20</f>
        <v>13054</v>
      </c>
      <c r="E103" s="3416" t="s">
        <v>1880</v>
      </c>
      <c r="F103" s="3417"/>
      <c r="G103" s="1965" t="s">
        <v>1881</v>
      </c>
      <c r="H103" s="2771">
        <f>IF(D36="正常操作",H104+H105+H106,H105+H106)</f>
        <v>0</v>
      </c>
      <c r="I103" s="134"/>
    </row>
    <row r="104" spans="1:35" ht="18.75" customHeight="1">
      <c r="A104" s="3378" t="s">
        <v>1882</v>
      </c>
      <c r="B104" s="2765" t="s">
        <v>1877</v>
      </c>
      <c r="C104" s="2766">
        <f ca="1">H118</f>
        <v>13144</v>
      </c>
      <c r="D104" s="2767"/>
      <c r="E104" s="1811" t="s">
        <v>1883</v>
      </c>
      <c r="F104" s="1802"/>
      <c r="G104" s="1965" t="s">
        <v>1881</v>
      </c>
      <c r="H104" s="2772">
        <f>IF(D36="同一抵押权人同一抵押物续贷",C36&amp;"（续贷，未扣减，详见特别提示）",C36)</f>
        <v>0</v>
      </c>
      <c r="I104" s="134"/>
    </row>
    <row r="105" spans="1:35" ht="18.75" customHeight="1" thickBot="1">
      <c r="A105" s="3379"/>
      <c r="B105" s="2768" t="s">
        <v>1879</v>
      </c>
      <c r="C105" s="2769">
        <f ca="1">I118</f>
        <v>13231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5" t="str">
        <f>IF(项目基本情况!E8="已注销","——","3.房地产抵押价值")</f>
        <v>3.房地产抵押价值</v>
      </c>
      <c r="F107" s="3376"/>
      <c r="G107" s="1964" t="s">
        <v>1877</v>
      </c>
      <c r="H107" s="2771">
        <f ca="1">IF(E107="——","——",H101-H103)</f>
        <v>13144</v>
      </c>
      <c r="I107" s="134"/>
    </row>
    <row r="108" spans="1:35" ht="18.75" customHeight="1">
      <c r="A108" s="134"/>
      <c r="B108" s="134"/>
      <c r="C108" s="134"/>
      <c r="D108" s="134"/>
      <c r="E108" s="3375"/>
      <c r="F108" s="3376"/>
      <c r="G108" s="1964" t="s">
        <v>1879</v>
      </c>
      <c r="H108" s="2731">
        <f ca="1">ROUND(H107*10000/'数据-汇总表'!E3,0)</f>
        <v>13231</v>
      </c>
      <c r="I108" s="134"/>
    </row>
    <row r="109" spans="1:35" ht="18.75" customHeight="1">
      <c r="A109" s="134"/>
      <c r="B109" s="134"/>
      <c r="C109" s="134"/>
      <c r="D109" s="134"/>
      <c r="E109" s="3375" t="str">
        <f>IF(项目基本情况!E8="已注销及未注销","4.抵押担保权已注销时的房地产抵押价值",IF(项目基本情况!E8="已注销","3.抵押担保权已注销时的房地产抵押价值","——"))</f>
        <v>——</v>
      </c>
      <c r="F109" s="3376"/>
      <c r="G109" s="1964" t="s">
        <v>1877</v>
      </c>
      <c r="H109" s="2774" t="str">
        <f>IF(E109="——","——",H101-H105-H106)</f>
        <v>——</v>
      </c>
      <c r="I109" s="134"/>
    </row>
    <row r="110" spans="1:35" ht="18.75" customHeight="1">
      <c r="A110" s="134"/>
      <c r="B110" s="134"/>
      <c r="C110" s="134"/>
      <c r="D110" s="134"/>
      <c r="E110" s="3375"/>
      <c r="F110" s="3376"/>
      <c r="G110" s="1964" t="s">
        <v>1879</v>
      </c>
      <c r="H110" s="2731" t="str">
        <f>IF(H109="——","——",ROUND(H109*10000/'数据-汇总表'!E3,0))</f>
        <v>——</v>
      </c>
      <c r="I110" s="134"/>
    </row>
    <row r="111" spans="1:35" ht="18.75" customHeight="1">
      <c r="A111" s="134"/>
      <c r="B111" s="134"/>
      <c r="C111" s="134"/>
      <c r="D111" s="134"/>
      <c r="E111" s="3410" t="str">
        <f>IF(项目基本情况!E9="抵押净值",IF(OR(项目基本情况!E8="已注销",项目基本情况!E8="房地产抵押价值"),"4.抵押净值","5.抵押净值"),"——")</f>
        <v>——</v>
      </c>
      <c r="F111" s="3377"/>
      <c r="G111" s="1964" t="s">
        <v>1877</v>
      </c>
      <c r="H111" s="2771" t="str">
        <f>IF(E111="——","——",N59)</f>
        <v>——</v>
      </c>
      <c r="I111" s="134"/>
    </row>
    <row r="112" spans="1:35" ht="18.75" customHeight="1" thickBot="1">
      <c r="A112" s="134"/>
      <c r="B112" s="134"/>
      <c r="C112" s="134"/>
      <c r="D112" s="134"/>
      <c r="E112" s="3411"/>
      <c r="F112" s="3412"/>
      <c r="G112" s="1967" t="s">
        <v>1879</v>
      </c>
      <c r="H112" s="2775" t="str">
        <f>IF(E111="——","——",N61)</f>
        <v>——</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3" t="s">
        <v>1887</v>
      </c>
      <c r="B115" s="3394"/>
      <c r="C115" s="3394"/>
      <c r="D115" s="3394"/>
      <c r="E115" s="3394"/>
      <c r="F115" s="3394"/>
      <c r="G115" s="3394"/>
      <c r="H115" s="3394"/>
      <c r="I115" s="3395"/>
    </row>
    <row r="116" spans="1:27" ht="27" customHeight="1">
      <c r="A116" s="3346" t="s">
        <v>1888</v>
      </c>
      <c r="B116" s="3381" t="s">
        <v>1889</v>
      </c>
      <c r="C116" s="3381" t="s">
        <v>1890</v>
      </c>
      <c r="D116" s="3397" t="s">
        <v>1891</v>
      </c>
      <c r="E116" s="3398"/>
      <c r="F116" s="3389" t="s">
        <v>1892</v>
      </c>
      <c r="G116" s="3389"/>
      <c r="H116" s="3346" t="s">
        <v>1893</v>
      </c>
      <c r="I116" s="3346"/>
    </row>
    <row r="117" spans="1:27" ht="18.75" customHeight="1">
      <c r="A117" s="3346"/>
      <c r="B117" s="3382"/>
      <c r="C117" s="3382"/>
      <c r="D117" s="2503" t="s">
        <v>1894</v>
      </c>
      <c r="E117" s="2503" t="s">
        <v>1895</v>
      </c>
      <c r="F117" s="2503" t="s">
        <v>1894</v>
      </c>
      <c r="G117" s="2503" t="s">
        <v>1896</v>
      </c>
      <c r="H117" s="2503" t="s">
        <v>1894</v>
      </c>
      <c r="I117" s="2503" t="s">
        <v>1896</v>
      </c>
    </row>
    <row r="118" spans="1:27" ht="24.75" customHeight="1">
      <c r="A118" s="2776" t="str">
        <f>项目基本情况!S2</f>
        <v>北京市大兴区兴华大街2号房地产</v>
      </c>
      <c r="B118" s="2503">
        <f>M18</f>
        <v>9934.4500000000007</v>
      </c>
      <c r="C118" s="2503">
        <f>M19</f>
        <v>2392</v>
      </c>
      <c r="D118" s="2503">
        <f ca="1">ROUND(IF(D32="总价",C34,E118*B118/10000),0)</f>
        <v>8780</v>
      </c>
      <c r="E118" s="2503">
        <f ca="1">ROUND(IF(C33="自定义",IF(D32="楼面单价",C34,D118*10000/B118),I118-G118),0)</f>
        <v>8838</v>
      </c>
      <c r="F118" s="2503">
        <f ca="1">ROUND(IF(D32="总价",C35,G118*B118/10000),0)</f>
        <v>4364</v>
      </c>
      <c r="G118" s="2503">
        <f ca="1">ROUND(IF(D32="楼面单价",C35,F118*10000/B118),0)</f>
        <v>4393</v>
      </c>
      <c r="H118" s="2503">
        <f ca="1">ROUND(IF(D32="总价",C32,I118*B118/10000),0)</f>
        <v>13144</v>
      </c>
      <c r="I118" s="2503">
        <f ca="1">ROUND(IF(D32="楼面单价",C32,H118*10000/B118),0)</f>
        <v>13231</v>
      </c>
    </row>
    <row r="119" spans="1:27" ht="18.75" customHeight="1">
      <c r="A119" s="3346" t="s">
        <v>1897</v>
      </c>
      <c r="B119" s="3346"/>
      <c r="C119" s="3346"/>
      <c r="D119" s="3386" t="str">
        <f ca="1">NUMBERSTRING(INT(D118*10000),2)&amp;"元整"</f>
        <v>捌仟柒佰捌拾万元整</v>
      </c>
      <c r="E119" s="3388"/>
      <c r="F119" s="3386" t="str">
        <f ca="1">NUMBERSTRING(INT(F118*10000),2)&amp;"元整"</f>
        <v>肆仟叁佰陆拾肆万元整</v>
      </c>
      <c r="G119" s="3388"/>
      <c r="H119" s="3386" t="str">
        <f ca="1">NUMBERSTRING(INT(H118*10000),2)&amp;"元整"</f>
        <v>壹亿叁仟壹佰肆拾肆万元整</v>
      </c>
      <c r="I119" s="3388"/>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0" t="s">
        <v>1897</v>
      </c>
      <c r="B121" s="3391"/>
      <c r="C121" s="3392"/>
      <c r="D121" s="3386" t="str">
        <f>IF(D120=0,"零元整",NUMBERSTRING(INT(D120*10000),2)&amp;"元整")</f>
        <v>零元整</v>
      </c>
      <c r="E121" s="3387"/>
      <c r="F121" s="3387"/>
      <c r="G121" s="3387"/>
      <c r="H121" s="3387"/>
      <c r="I121" s="3388"/>
      <c r="AA121" s="734"/>
    </row>
    <row r="122" spans="1:27" ht="18.75" customHeight="1">
      <c r="A122" s="3377" t="str">
        <f>IF(项目基本情况!B9="房地产市场价值","",MID(E107,3,LEN(E107)-2))</f>
        <v>房地产抵押价值</v>
      </c>
      <c r="B122" s="3377"/>
      <c r="C122" s="3377"/>
      <c r="D122" s="3413">
        <f ca="1">H107</f>
        <v>13144</v>
      </c>
      <c r="E122" s="3414"/>
      <c r="F122" s="3414"/>
      <c r="G122" s="3414"/>
      <c r="H122" s="3414"/>
      <c r="I122" s="3415"/>
      <c r="AA122" s="734"/>
    </row>
    <row r="123" spans="1:27" ht="18.75" customHeight="1">
      <c r="A123" s="3346" t="s">
        <v>1897</v>
      </c>
      <c r="B123" s="3346"/>
      <c r="C123" s="3346"/>
      <c r="D123" s="3386" t="str">
        <f ca="1">NUMBERSTRING(INT(D122*10000),2)&amp;"元整"</f>
        <v>壹亿叁仟壹佰肆拾肆万元整</v>
      </c>
      <c r="E123" s="3387"/>
      <c r="F123" s="3387"/>
      <c r="G123" s="3387"/>
      <c r="H123" s="3387"/>
      <c r="I123" s="3388"/>
      <c r="AA123" s="734"/>
    </row>
    <row r="124" spans="1:27" ht="18.75" customHeight="1">
      <c r="A124" s="3377" t="str">
        <f>IF(项目基本情况!B9="房地产市场价值","",MID(E109,3,LEN(E109)-2))</f>
        <v/>
      </c>
      <c r="B124" s="3377"/>
      <c r="C124" s="3377"/>
      <c r="D124" s="3413" t="str">
        <f>H109</f>
        <v>——</v>
      </c>
      <c r="E124" s="3414"/>
      <c r="F124" s="3414"/>
      <c r="G124" s="3414"/>
      <c r="H124" s="3414"/>
      <c r="I124" s="3415"/>
      <c r="AA124" s="734"/>
    </row>
    <row r="125" spans="1:27" ht="18.75" customHeight="1">
      <c r="A125" s="3346" t="s">
        <v>1897</v>
      </c>
      <c r="B125" s="3346"/>
      <c r="C125" s="3346"/>
      <c r="D125" s="3386" t="e">
        <f>NUMBERSTRING(INT(D124*10000),2)&amp;"元整"</f>
        <v>#VALUE!</v>
      </c>
      <c r="E125" s="3387"/>
      <c r="F125" s="3387"/>
      <c r="G125" s="3387"/>
      <c r="H125" s="3387"/>
      <c r="I125" s="3388"/>
      <c r="AA125" s="734"/>
    </row>
    <row r="126" spans="1:27" ht="18.75" customHeight="1">
      <c r="A126" s="3377" t="str">
        <f>IF(项目基本情况!B9="房地产市场价值","",MID(E111,3,LEN(E111)-2))</f>
        <v/>
      </c>
      <c r="B126" s="3377"/>
      <c r="C126" s="3377"/>
      <c r="D126" s="3413" t="str">
        <f>H111</f>
        <v>——</v>
      </c>
      <c r="E126" s="3414"/>
      <c r="F126" s="3414"/>
      <c r="G126" s="3414"/>
      <c r="H126" s="3414"/>
      <c r="I126" s="3415"/>
      <c r="AA126" s="734"/>
    </row>
    <row r="127" spans="1:27" ht="18.75" customHeight="1">
      <c r="A127" s="3346" t="s">
        <v>1897</v>
      </c>
      <c r="B127" s="3346"/>
      <c r="C127" s="3346"/>
      <c r="D127" s="3386" t="e">
        <f>NUMBERSTRING(INT(D126*10000),2)&amp;"元整"</f>
        <v>#VALUE!</v>
      </c>
      <c r="E127" s="3387"/>
      <c r="F127" s="3387"/>
      <c r="G127" s="3387"/>
      <c r="H127" s="3387"/>
      <c r="I127" s="3388"/>
      <c r="AA127" s="734"/>
    </row>
    <row r="128" spans="1:27" ht="21.75" customHeight="1">
      <c r="A128" s="3396" t="s">
        <v>1898</v>
      </c>
      <c r="B128" s="3396"/>
      <c r="C128" s="3396"/>
      <c r="D128" s="3396"/>
      <c r="E128" s="3396"/>
      <c r="F128" s="3396"/>
      <c r="G128" s="3396"/>
      <c r="H128" s="3396"/>
      <c r="I128" s="339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北京市大兴区兴华大街2号房地产抵押价值预评估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5" sqref="E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13319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13407</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6273</v>
      </c>
      <c r="D5" s="217" t="s">
        <v>1914</v>
      </c>
      <c r="E5" s="218" t="s">
        <v>1915</v>
      </c>
      <c r="F5" s="218" t="s">
        <v>1916</v>
      </c>
      <c r="G5" s="219"/>
    </row>
    <row r="6" spans="1:9" s="220" customFormat="1" ht="13.5" customHeight="1">
      <c r="A6" s="867" t="s">
        <v>1917</v>
      </c>
      <c r="B6" s="221" t="s">
        <v>1918</v>
      </c>
      <c r="C6" s="222">
        <f>[2]基准地价修正!$V$18</f>
        <v>5894</v>
      </c>
      <c r="D6" s="223"/>
      <c r="E6" s="224"/>
      <c r="F6" s="224"/>
      <c r="G6" s="225"/>
    </row>
    <row r="7" spans="1:9" s="220" customFormat="1" ht="13.5" customHeight="1">
      <c r="A7" s="867" t="s">
        <v>1919</v>
      </c>
      <c r="B7" s="221" t="s">
        <v>1920</v>
      </c>
      <c r="C7" s="226">
        <f>ROUND(C6*F7,0)</f>
        <v>180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199</v>
      </c>
      <c r="D8" s="228"/>
      <c r="E8" s="226"/>
      <c r="F8" s="227"/>
      <c r="G8" s="1993" t="s">
        <v>3250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3251</v>
      </c>
      <c r="H9" s="1252"/>
      <c r="I9" s="1995" t="s">
        <v>1924</v>
      </c>
    </row>
    <row r="10" spans="1:9" s="220" customFormat="1" ht="13.5" customHeight="1">
      <c r="A10" s="868" t="s">
        <v>620</v>
      </c>
      <c r="B10" s="230" t="s">
        <v>1925</v>
      </c>
      <c r="C10" s="231">
        <f ca="1">ROUND(D10*E10/10000,0)</f>
        <v>199</v>
      </c>
      <c r="D10" s="935">
        <f ca="1">IF(B1="",'数据-汇总表'!E6,IF(INDIRECT("'数据-取费表'!c"&amp;$G$1)="住宅",INDIRECT("'数据-取费表'!s"&amp;$G$1),INDIRECT("'数据-取费表'!k"&amp;$G$1)+INDIRECT("'数据-取费表'!s"&amp;$G$1)))</f>
        <v>9934.4500000000007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9934.4500000000007</v>
      </c>
      <c r="E19" s="217">
        <f>'数据-取费表'!B31</f>
        <v>200</v>
      </c>
      <c r="F19" s="237"/>
      <c r="G19" s="1993" t="s">
        <v>3252</v>
      </c>
    </row>
    <row r="20" spans="1:7" s="220" customFormat="1" ht="13.5" customHeight="1">
      <c r="A20" s="261" t="s">
        <v>1938</v>
      </c>
      <c r="B20" s="216" t="s">
        <v>1939</v>
      </c>
      <c r="C20" s="238">
        <f ca="1">ROUND((C5+C19)*F20,0)</f>
        <v>125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536</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531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1280</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1280</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8901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3832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3477</v>
      </c>
      <c r="D34" s="223"/>
      <c r="E34" s="226"/>
      <c r="F34" s="263">
        <f ca="1">IF('数据-取费表'!B24=0,1,IF(B1="",'数据-取费表'!N16,INDIRECT("'数据-取费表'!n"&amp;$G$1)))</f>
        <v>1</v>
      </c>
      <c r="G34" s="225" t="s">
        <v>1971</v>
      </c>
    </row>
    <row r="35" spans="1:7" ht="13.5" customHeight="1">
      <c r="A35" s="869" t="s">
        <v>615</v>
      </c>
      <c r="B35" s="221" t="s">
        <v>1972</v>
      </c>
      <c r="C35" s="226">
        <f ca="1">ROUND(C34*F35,0)</f>
        <v>104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199</v>
      </c>
      <c r="D37" s="223">
        <f ca="1">D19</f>
        <v>9934.4500000000007</v>
      </c>
      <c r="E37" s="255">
        <f>'数据-取费表'!B35</f>
        <v>200</v>
      </c>
      <c r="F37" s="265"/>
      <c r="G37" s="267" t="s">
        <v>1977</v>
      </c>
    </row>
    <row r="38" spans="1:7" ht="13.5" customHeight="1">
      <c r="A38" s="869" t="s">
        <v>618</v>
      </c>
      <c r="B38" s="221" t="s">
        <v>1978</v>
      </c>
      <c r="C38" s="226">
        <f ca="1">ROUND(C34*F38,0)</f>
        <v>52</v>
      </c>
      <c r="D38" s="226"/>
      <c r="E38" s="226"/>
      <c r="F38" s="265">
        <f>'数据-取费表'!B36</f>
        <v>1.4999999999999999E-2</v>
      </c>
      <c r="G38" s="225" t="s">
        <v>1973</v>
      </c>
    </row>
    <row r="39" spans="1:7" s="220" customFormat="1" ht="13.5" customHeight="1">
      <c r="A39" s="261" t="s">
        <v>1979</v>
      </c>
      <c r="B39" s="216" t="s">
        <v>1980</v>
      </c>
      <c r="C39" s="238">
        <f ca="1">ROUND(C33*F20,0)</f>
        <v>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162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159</v>
      </c>
      <c r="D42" s="244"/>
      <c r="E42" s="244"/>
      <c r="F42" s="245"/>
      <c r="G42" s="3429" t="s">
        <v>1989</v>
      </c>
    </row>
    <row r="43" spans="1:7" ht="13.5" customHeight="1">
      <c r="A43" s="869" t="s">
        <v>611</v>
      </c>
      <c r="B43" s="221" t="s">
        <v>1990</v>
      </c>
      <c r="C43" s="244">
        <f ca="1">ROUND(IF('数据-取费表'!B22&lt;=1,C39*F22*'数据-取费表'!B21/2,C39*(POWER((1+F22),'数据-取费表'!B21/2)-1)),0)</f>
        <v>3</v>
      </c>
      <c r="D43" s="244"/>
      <c r="E43" s="244"/>
      <c r="F43" s="245"/>
      <c r="G43" s="3430"/>
    </row>
    <row r="44" spans="1:7" ht="13.5" customHeight="1">
      <c r="A44" s="869" t="s">
        <v>612</v>
      </c>
      <c r="B44" s="221" t="s">
        <v>1991</v>
      </c>
      <c r="C44" s="244">
        <f ca="1">ROUND(IF('数据-取费表'!B22&lt;=1,C40*F22*'数据-取费表'!B21/2,C40*(POWER((1+F22),'数据-取费表'!B21/2)-1)),4)</f>
        <v>8.0000000000000004E-4</v>
      </c>
      <c r="D44" s="244"/>
      <c r="E44" s="244"/>
      <c r="F44" s="245"/>
      <c r="G44" s="3431"/>
    </row>
    <row r="45" spans="1:7" s="220" customFormat="1" ht="13.5" customHeight="1">
      <c r="A45" s="261" t="s">
        <v>1992</v>
      </c>
      <c r="B45" s="250" t="s">
        <v>1958</v>
      </c>
      <c r="C45" s="251">
        <f ca="1">C46</f>
        <v>782</v>
      </c>
      <c r="D45" s="241">
        <f ca="1">C47</f>
        <v>4.0000000000000001E-3</v>
      </c>
      <c r="E45" s="242" t="s">
        <v>1984</v>
      </c>
      <c r="F45" s="2488">
        <f ca="1">F27</f>
        <v>0.2</v>
      </c>
      <c r="G45" s="253" t="s">
        <v>1993</v>
      </c>
    </row>
    <row r="46" spans="1:7" s="220" customFormat="1" ht="13.5" customHeight="1">
      <c r="A46" s="869" t="s">
        <v>610</v>
      </c>
      <c r="B46" s="254" t="s">
        <v>1994</v>
      </c>
      <c r="C46" s="255">
        <f ca="1">ROUND((C33+C39)*F27,0)</f>
        <v>782</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5259</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4418</v>
      </c>
      <c r="D51" s="238"/>
      <c r="E51" s="238"/>
      <c r="F51" s="270"/>
      <c r="G51" s="240" t="s">
        <v>2005</v>
      </c>
    </row>
    <row r="52" spans="1:7" s="214" customFormat="1" ht="16.5" thickBot="1">
      <c r="A52" s="271" t="s">
        <v>2006</v>
      </c>
      <c r="B52" s="272"/>
      <c r="C52" s="273">
        <f ca="1">C31+C51</f>
        <v>13319</v>
      </c>
      <c r="D52" s="272"/>
      <c r="E52" s="272"/>
      <c r="F52" s="272"/>
      <c r="G52" s="274"/>
    </row>
    <row r="55" spans="1:7" ht="15">
      <c r="B55" s="276" t="s">
        <v>2007</v>
      </c>
      <c r="C55" s="277"/>
    </row>
    <row r="56" spans="1:7">
      <c r="B56" s="279" t="s">
        <v>1237</v>
      </c>
      <c r="C56" s="281">
        <f ca="1">1-C57</f>
        <v>0.66799999999999993</v>
      </c>
    </row>
    <row r="57" spans="1:7">
      <c r="B57" s="279" t="s">
        <v>1238</v>
      </c>
      <c r="C57" s="280">
        <f ca="1">ROUND(C51/C52,3)</f>
        <v>0.33200000000000002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4981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5014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1986890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1986890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1986890</v>
      </c>
      <c r="D10" s="935">
        <f ca="1">IF(B1="",'数据-汇总表'!E6,IF(INDIRECT("'数据-取费表'!c"&amp;$G$1)="住宅",INDIRECT("'数据-取费表'!s"&amp;$G$1),INDIRECT("'数据-取费表'!k"&amp;$G$1)+INDIRECT("'数据-取费表'!s"&amp;$G$1)))</f>
        <v>9934.4500000000007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1986890</v>
      </c>
      <c r="D19" s="939">
        <f ca="1">D9+D10</f>
        <v>9934.4500000000007</v>
      </c>
      <c r="E19" s="217">
        <f>'数据-取费表'!B31</f>
        <v>200</v>
      </c>
      <c r="F19" s="237"/>
      <c r="G19" s="1993"/>
    </row>
    <row r="20" spans="1:7" s="220" customFormat="1" ht="13.5" customHeight="1">
      <c r="A20" s="261" t="s">
        <v>2019</v>
      </c>
      <c r="B20" s="216" t="s">
        <v>2020</v>
      </c>
      <c r="C20" s="238">
        <f ca="1">ROUND((C5+C19)*F20,0)</f>
        <v>79476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339966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168334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168334</v>
      </c>
      <c r="D24" s="244"/>
      <c r="E24" s="244"/>
      <c r="F24" s="245"/>
      <c r="G24" s="246" t="s">
        <v>2031</v>
      </c>
    </row>
    <row r="25" spans="1:7" s="220" customFormat="1" ht="24">
      <c r="A25" s="869" t="s">
        <v>1921</v>
      </c>
      <c r="B25" s="221" t="s">
        <v>2032</v>
      </c>
      <c r="C25" s="1243">
        <f ca="1">ROUND(IF('数据-取费表'!B22&lt;=1,C20*F22*'数据-取费表'!B22/2,C20*(POWER((1+F22),'数据-取费表'!B22/2)-1)),0)</f>
        <v>3298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810651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810651</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5639221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38322141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34770575</v>
      </c>
      <c r="D34" s="223"/>
      <c r="E34" s="226"/>
      <c r="F34" s="263"/>
      <c r="G34" s="225"/>
    </row>
    <row r="35" spans="1:7" ht="13.5" customHeight="1">
      <c r="A35" s="869" t="s">
        <v>615</v>
      </c>
      <c r="B35" s="221" t="s">
        <v>1972</v>
      </c>
      <c r="C35" s="226">
        <f ca="1">ROUND(C34*F35,0)</f>
        <v>1043117</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1986890</v>
      </c>
      <c r="D37" s="223">
        <f ca="1">D19</f>
        <v>9934.4500000000007</v>
      </c>
      <c r="E37" s="255">
        <f>'数据-取费表'!B35</f>
        <v>200</v>
      </c>
      <c r="F37" s="265"/>
      <c r="G37" s="267"/>
    </row>
    <row r="38" spans="1:7" ht="13.5" customHeight="1">
      <c r="A38" s="869" t="s">
        <v>618</v>
      </c>
      <c r="B38" s="221" t="s">
        <v>1978</v>
      </c>
      <c r="C38" s="226">
        <f ca="1">ROUND(C34*F38,0)</f>
        <v>521559</v>
      </c>
      <c r="D38" s="226"/>
      <c r="E38" s="226"/>
      <c r="F38" s="265">
        <f>'数据-取费表'!B36</f>
        <v>1.4999999999999999E-2</v>
      </c>
      <c r="G38" s="225" t="s">
        <v>1973</v>
      </c>
    </row>
    <row r="39" spans="1:7" s="220" customFormat="1" ht="13.5" customHeight="1">
      <c r="A39" s="261" t="s">
        <v>1979</v>
      </c>
      <c r="B39" s="216" t="s">
        <v>1980</v>
      </c>
      <c r="C39" s="238">
        <f ca="1">ROUND(C33*F20,0)</f>
        <v>766443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1622176</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1590369</v>
      </c>
      <c r="D42" s="244"/>
      <c r="E42" s="244"/>
      <c r="F42" s="245"/>
      <c r="G42" s="3429" t="s">
        <v>2036</v>
      </c>
    </row>
    <row r="43" spans="1:7" ht="13.5" customHeight="1">
      <c r="A43" s="869" t="s">
        <v>611</v>
      </c>
      <c r="B43" s="221" t="s">
        <v>1990</v>
      </c>
      <c r="C43" s="244">
        <f ca="1">ROUND(IF('数据-取费表'!B22&lt;=1,C39*F22*'数据-取费表'!B20/2,C39*(POWER((1+F22),'数据-取费表'!B20/2)-1)),0)</f>
        <v>31807</v>
      </c>
      <c r="D43" s="244"/>
      <c r="E43" s="244"/>
      <c r="F43" s="245"/>
      <c r="G43" s="3430"/>
    </row>
    <row r="44" spans="1:7" ht="13.5" customHeight="1">
      <c r="A44" s="869" t="s">
        <v>612</v>
      </c>
      <c r="B44" s="221" t="s">
        <v>1991</v>
      </c>
      <c r="C44" s="244">
        <f ca="1">ROUND(IF('数据-取费表'!B22&lt;=1,C40*F22*'数据-取费表'!B20/2,C40*(POWER((1+F22),'数据-取费表'!B20/2)-1)),4)</f>
        <v>8.0000000000000004E-4</v>
      </c>
      <c r="D44" s="244"/>
      <c r="E44" s="244"/>
      <c r="F44" s="245"/>
      <c r="G44" s="3431"/>
    </row>
    <row r="45" spans="1:7" s="220" customFormat="1" ht="13.5" customHeight="1">
      <c r="A45" s="261" t="s">
        <v>1992</v>
      </c>
      <c r="B45" s="250" t="s">
        <v>1958</v>
      </c>
      <c r="C45" s="251">
        <f ca="1">C46</f>
        <v>7817717</v>
      </c>
      <c r="D45" s="241">
        <f ca="1">C47</f>
        <v>4.0000000000000001E-3</v>
      </c>
      <c r="E45" s="242" t="s">
        <v>1984</v>
      </c>
      <c r="F45" s="2488">
        <f ca="1">F27</f>
        <v>0.2</v>
      </c>
      <c r="G45" s="253" t="s">
        <v>1993</v>
      </c>
    </row>
    <row r="46" spans="1:7" s="220" customFormat="1" ht="13.5" customHeight="1">
      <c r="A46" s="869" t="s">
        <v>610</v>
      </c>
      <c r="B46" s="254" t="s">
        <v>1994</v>
      </c>
      <c r="C46" s="255">
        <f ca="1">ROUND((C33+C39)*F27,0)</f>
        <v>7817717</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52588293</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44174166</v>
      </c>
      <c r="D51" s="238"/>
      <c r="E51" s="238"/>
      <c r="F51" s="270"/>
      <c r="G51" s="240" t="s">
        <v>2005</v>
      </c>
    </row>
    <row r="52" spans="1:7" s="214" customFormat="1" ht="16.5" thickBot="1">
      <c r="A52" s="271" t="s">
        <v>2006</v>
      </c>
      <c r="B52" s="272"/>
      <c r="C52" s="273">
        <f ca="1">C31+C51</f>
        <v>49813387</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9934.4500000000007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9934.4500000000007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199</v>
      </c>
      <c r="D20" s="936">
        <f ca="1">IF(C1="",'数据-汇总表'!E6,IF(INDIRECT("'数据-取费表'!c"&amp;$K$1)="住宅",INDIRECT("'数据-取费表'!s"&amp;$K$1),INDIRECT("'数据-取费表'!k"&amp;$K$1)+INDIRECT("'数据-取费表'!s"&amp;$K$1)))</f>
        <v>9934.4500000000007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70" sqref="K7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3182</v>
      </c>
      <c r="D1" s="1497" t="s">
        <v>70</v>
      </c>
      <c r="E1" s="1498" t="s">
        <v>1111</v>
      </c>
      <c r="F1" s="1174">
        <f ca="1">J53</f>
        <v>12.67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12968</v>
      </c>
      <c r="C2" s="1522" t="s">
        <v>1240</v>
      </c>
      <c r="D2" s="1522"/>
      <c r="E2" s="1523"/>
      <c r="F2" s="1524"/>
      <c r="G2" s="2885"/>
      <c r="H2" s="2874"/>
      <c r="I2" s="2874"/>
      <c r="J2" s="2874"/>
      <c r="K2" s="2875"/>
      <c r="L2" s="2874"/>
      <c r="M2" s="2874"/>
    </row>
    <row r="3" spans="1:37" ht="18" customHeight="1" thickBot="1">
      <c r="A3" s="1525" t="s">
        <v>1241</v>
      </c>
      <c r="B3" s="1526">
        <f ca="1">IF(ISERROR(B2*10000/F43),0,ROUND(B2*10000/F43,0))</f>
        <v>13054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1419</v>
      </c>
      <c r="D5" s="1499" t="s">
        <v>1126</v>
      </c>
      <c r="E5" s="1184"/>
      <c r="F5" s="1185"/>
      <c r="G5" s="1519"/>
      <c r="H5" s="305">
        <v>1</v>
      </c>
      <c r="I5" s="306" t="s">
        <v>1125</v>
      </c>
      <c r="J5" s="1183">
        <f ca="1">J6+J10+J12</f>
        <v>1473</v>
      </c>
      <c r="K5" s="1499" t="s">
        <v>1126</v>
      </c>
      <c r="L5" s="1184"/>
      <c r="M5" s="1185"/>
    </row>
    <row r="6" spans="1:37" ht="18" customHeight="1">
      <c r="A6" s="1182" t="s">
        <v>822</v>
      </c>
      <c r="B6" s="3434" t="s">
        <v>1127</v>
      </c>
      <c r="C6" s="1187">
        <f ca="1">ROUND(F6*F8*F7*(1-F9)/10000,0)</f>
        <v>1414</v>
      </c>
      <c r="D6" s="160" t="s">
        <v>2609</v>
      </c>
      <c r="E6" s="308" t="s">
        <v>1129</v>
      </c>
      <c r="F6" s="309">
        <f ca="1">INDIRECT("'数据-取费表'!u"&amp;$G$1)</f>
        <v>3.9</v>
      </c>
      <c r="G6" s="1519"/>
      <c r="H6" s="1182" t="s">
        <v>822</v>
      </c>
      <c r="I6" s="3434" t="s">
        <v>1127</v>
      </c>
      <c r="J6" s="307">
        <f ca="1">ROUND(M6*M8*M7*(1-M9)/10000,0)</f>
        <v>1469</v>
      </c>
      <c r="K6" s="160" t="s">
        <v>2608</v>
      </c>
      <c r="L6" s="308" t="s">
        <v>1129</v>
      </c>
      <c r="M6" s="309">
        <f ca="1">INDIRECT("'数据-取费表'!z"&amp;$G$1)</f>
        <v>4.5</v>
      </c>
    </row>
    <row r="7" spans="1:37" ht="18" customHeight="1">
      <c r="A7" s="1186"/>
      <c r="B7" s="3435"/>
      <c r="C7" s="1188"/>
      <c r="D7" s="313"/>
      <c r="E7" s="1189" t="s">
        <v>1130</v>
      </c>
      <c r="F7" s="309">
        <f ca="1">IF(INDIRECT("'数据-取费表'!ah"&amp;$G$1)="",INDIRECT("'数据-取费表'!k"&amp;$G$1),INDIRECT("'数据-取费表'!ah"&amp;$G$1))</f>
        <v>9934.4500000000007</v>
      </c>
      <c r="G7" s="1519"/>
      <c r="H7" s="310"/>
      <c r="I7" s="3435"/>
      <c r="J7" s="312"/>
      <c r="K7" s="313"/>
      <c r="L7" s="308" t="s">
        <v>1130</v>
      </c>
      <c r="M7" s="309">
        <f ca="1">F7</f>
        <v>9934.4500000000007</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0.1</v>
      </c>
    </row>
    <row r="10" spans="1:37" ht="18" customHeight="1">
      <c r="A10" s="1182" t="s">
        <v>826</v>
      </c>
      <c r="B10" s="1500" t="s">
        <v>1133</v>
      </c>
      <c r="C10" s="322">
        <f ca="1">ROUND(IF(F10="押一",C6/12*F11,IF(F10="押二",C6/12*2*F11,IF(F10="押三",C6/12*3*F11,C11*F11))),0)</f>
        <v>5</v>
      </c>
      <c r="D10" s="1501" t="s">
        <v>2617</v>
      </c>
      <c r="E10" s="319" t="s">
        <v>1134</v>
      </c>
      <c r="F10" s="1229" t="s">
        <v>3242</v>
      </c>
      <c r="G10" s="1519"/>
      <c r="H10" s="1182" t="s">
        <v>826</v>
      </c>
      <c r="I10" s="1500" t="s">
        <v>1133</v>
      </c>
      <c r="J10" s="307">
        <f ca="1">ROUND(IF(M10="押一",J6/12*M11,IF(M10="押二",J6/12*2*M11,IF(M10="押三",J6/12*3*M11,J11*M11))),0)</f>
        <v>4</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4418</v>
      </c>
      <c r="D13" s="1194" t="s">
        <v>1139</v>
      </c>
      <c r="E13" s="1194" t="s">
        <v>1140</v>
      </c>
      <c r="F13" s="1195">
        <f ca="1">INDIRECT("'数据-取费表'!y"&amp;$G$1)</f>
        <v>0.84</v>
      </c>
      <c r="G13" s="1519"/>
      <c r="H13" s="1192">
        <v>2</v>
      </c>
      <c r="I13" s="1193" t="s">
        <v>1138</v>
      </c>
      <c r="J13" s="1181">
        <f ca="1">ROUND(J14*J15,0)</f>
        <v>4049</v>
      </c>
      <c r="K13" s="1200" t="s">
        <v>1139</v>
      </c>
      <c r="L13" s="1527"/>
      <c r="M13" s="1528"/>
    </row>
    <row r="14" spans="1:37" ht="18" customHeight="1">
      <c r="A14" s="1094" t="s">
        <v>821</v>
      </c>
      <c r="B14" s="308" t="s">
        <v>1141</v>
      </c>
      <c r="C14" s="324">
        <f ca="1">INDIRECT("'数据-取费表'!m"&amp;$G$1)+INDIRECT("'数据-取费表'!t"&amp;$G$1)</f>
        <v>3477</v>
      </c>
      <c r="D14" s="1480" t="s">
        <v>1142</v>
      </c>
      <c r="E14" s="1477"/>
      <c r="F14" s="325"/>
      <c r="G14" s="1519"/>
      <c r="H14" s="1094" t="s">
        <v>822</v>
      </c>
      <c r="I14" s="308" t="s">
        <v>1143</v>
      </c>
      <c r="J14" s="24">
        <f ca="1">C29</f>
        <v>5259</v>
      </c>
      <c r="K14" s="15"/>
      <c r="L14" s="897"/>
      <c r="M14" s="898"/>
    </row>
    <row r="15" spans="1:37" s="1532" customFormat="1" ht="18" customHeight="1" thickBot="1">
      <c r="A15" s="1094" t="s">
        <v>823</v>
      </c>
      <c r="B15" s="308" t="s">
        <v>1144</v>
      </c>
      <c r="C15" s="24">
        <f ca="1">ROUND(C14*F15,0)</f>
        <v>104</v>
      </c>
      <c r="D15" s="326" t="s">
        <v>1145</v>
      </c>
      <c r="E15" s="326" t="s">
        <v>1146</v>
      </c>
      <c r="F15" s="327">
        <f>'数据-取费表'!B33</f>
        <v>0.03</v>
      </c>
      <c r="G15" s="1531"/>
      <c r="H15" s="1202" t="s">
        <v>826</v>
      </c>
      <c r="I15" s="1203" t="s">
        <v>1140</v>
      </c>
      <c r="J15" s="1212">
        <f ca="1">INDIRECT("'数据-取费表'!ad"&amp;$G$1)</f>
        <v>0.77</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195</v>
      </c>
      <c r="K16" s="1200" t="s">
        <v>1149</v>
      </c>
      <c r="L16" s="1201"/>
      <c r="M16" s="1185"/>
    </row>
    <row r="17" spans="1:37" s="1532" customFormat="1" ht="18" customHeight="1">
      <c r="A17" s="1094" t="s">
        <v>1114</v>
      </c>
      <c r="B17" s="308" t="s">
        <v>1150</v>
      </c>
      <c r="C17" s="24">
        <f ca="1">ROUND(F17*(F43+INDIRECT("'数据-取费表'!S"&amp;$G$1))/10000,0)</f>
        <v>199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52</v>
      </c>
      <c r="D18" s="308" t="s">
        <v>1145</v>
      </c>
      <c r="E18" s="308" t="s">
        <v>1146</v>
      </c>
      <c r="F18" s="328">
        <f>'数据-取费表'!B36</f>
        <v>1.4999999999999999E-2</v>
      </c>
      <c r="G18" s="1531"/>
      <c r="H18" s="1094" t="s">
        <v>821</v>
      </c>
      <c r="I18" s="308" t="s">
        <v>1157</v>
      </c>
      <c r="J18" s="24">
        <f ca="1">ROUND(J6*M18/(1+'数据-取费表'!C42),2)</f>
        <v>76.95</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3832</v>
      </c>
      <c r="D19" s="136" t="s">
        <v>1160</v>
      </c>
      <c r="E19" s="1495"/>
      <c r="F19" s="26"/>
      <c r="G19" s="1519"/>
      <c r="H19" s="1094" t="s">
        <v>823</v>
      </c>
      <c r="I19" s="308" t="s">
        <v>1161</v>
      </c>
      <c r="J19" s="24">
        <f ca="1">IF(K19="按租金收入计税",ROUND(J6*M19/(1+'数据-取费表'!C42),2),ROUND(C29*M19*0.7,2))</f>
        <v>44.18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v>
      </c>
      <c r="D20" s="329" t="s">
        <v>1164</v>
      </c>
      <c r="E20" s="308" t="s">
        <v>1146</v>
      </c>
      <c r="F20" s="328">
        <f>'数据-取费表'!B37</f>
        <v>0.02</v>
      </c>
      <c r="G20" s="1531"/>
      <c r="H20" s="1094" t="s">
        <v>1113</v>
      </c>
      <c r="I20" s="160" t="s">
        <v>1165</v>
      </c>
      <c r="J20" s="25">
        <f ca="1">ROUND(M20*M21/10000,2)</f>
        <v>0.72</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2392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52.6</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6.1</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14.7</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1278</v>
      </c>
      <c r="K25" s="1208" t="s">
        <v>1188</v>
      </c>
      <c r="L25" s="1209"/>
      <c r="M25" s="1210"/>
    </row>
    <row r="26" spans="1:37">
      <c r="A26" s="1094" t="s">
        <v>821</v>
      </c>
      <c r="B26" s="308" t="s">
        <v>1189</v>
      </c>
      <c r="C26" s="24">
        <f ca="1">ROUND((C19+C20)*F26,0)</f>
        <v>782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0.03</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5259</v>
      </c>
      <c r="D29" s="1205"/>
      <c r="E29" s="1203"/>
      <c r="F29" s="1206"/>
      <c r="G29" s="1531"/>
      <c r="H29" s="340" t="s">
        <v>820</v>
      </c>
      <c r="I29" s="341" t="s">
        <v>1203</v>
      </c>
      <c r="J29" s="342">
        <f ca="1">ROUND(J26/(1+F40)^F41,0)</f>
        <v>0</v>
      </c>
      <c r="K29" s="343" t="s">
        <v>1204</v>
      </c>
      <c r="L29" s="344"/>
      <c r="M29" s="345">
        <f ca="1">INDIRECT("'数据-取费表'!k"&amp;$G$1)</f>
        <v>9934.4500000000007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309</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236</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74.069999999999993</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161.6</v>
      </c>
      <c r="D33" s="1505" t="s">
        <v>3243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0.72</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2392</v>
      </c>
      <c r="G35" s="1519"/>
      <c r="H35" s="2876"/>
      <c r="I35" s="1533"/>
      <c r="J35" s="1534"/>
      <c r="K35" s="2880"/>
      <c r="L35" s="2879"/>
      <c r="M35" s="2879"/>
    </row>
    <row r="36" spans="1:18" ht="18" customHeight="1">
      <c r="A36" s="1215" t="s">
        <v>826</v>
      </c>
      <c r="B36" s="308" t="s">
        <v>1173</v>
      </c>
      <c r="C36" s="24">
        <f ca="1">ROUND(C29*F36,1)</f>
        <v>52.6</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6.6</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14.2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1110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12968</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12.67</v>
      </c>
      <c r="G41" s="1519"/>
      <c r="H41" s="1306"/>
      <c r="I41" s="1533"/>
      <c r="J41" s="1534"/>
      <c r="K41" s="2720"/>
      <c r="L41" s="1306"/>
      <c r="M41" s="1306"/>
    </row>
    <row r="42" spans="1:18" ht="18" customHeight="1">
      <c r="A42" s="314"/>
      <c r="B42" s="315"/>
      <c r="C42" s="316"/>
      <c r="D42" s="333"/>
      <c r="E42" s="308" t="s">
        <v>1201</v>
      </c>
      <c r="F42" s="318">
        <f ca="1">INDIRECT("'数据-取费表'!v"&amp;$G$1)</f>
        <v>0.05</v>
      </c>
      <c r="G42" s="1519"/>
      <c r="H42" s="1306"/>
      <c r="I42" s="1533"/>
      <c r="J42" s="1534"/>
      <c r="K42" s="2720"/>
      <c r="L42" s="1306"/>
      <c r="M42" s="1306"/>
    </row>
    <row r="43" spans="1:18" ht="18" customHeight="1" thickBot="1">
      <c r="A43" s="340" t="s">
        <v>820</v>
      </c>
      <c r="B43" s="341" t="s">
        <v>1211</v>
      </c>
      <c r="C43" s="342">
        <f ca="1">ROUND(C40*10000/F43,0)</f>
        <v>13054</v>
      </c>
      <c r="D43" s="343" t="s">
        <v>1212</v>
      </c>
      <c r="E43" s="344" t="s">
        <v>1213</v>
      </c>
      <c r="F43" s="345">
        <f ca="1">INDIRECT("'数据-取费表'!k"&amp;$G$1)</f>
        <v>9934.4500000000007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-17455</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3244</v>
      </c>
      <c r="K47" s="1551" t="s">
        <v>1251</v>
      </c>
      <c r="L47" s="1552">
        <f ca="1">INDIRECT("'数据-取费表'!d"&amp;$G$1)</f>
        <v>40</v>
      </c>
      <c r="M47" s="1515" t="str">
        <f>IF(ISNUMBER(FIND("住宅",C1)),"住宅","非住宅")</f>
        <v>非住宅</v>
      </c>
      <c r="O47" s="1553" t="s">
        <v>827</v>
      </c>
      <c r="P47" s="1554" t="s">
        <v>1252</v>
      </c>
      <c r="Q47" s="1555">
        <f ca="1">C40+J29</f>
        <v>12968</v>
      </c>
      <c r="R47" s="1555" t="s">
        <v>1253</v>
      </c>
    </row>
    <row r="48" spans="1:18" s="1519" customFormat="1" ht="28.5" thickBot="1">
      <c r="A48" s="1223" t="s">
        <v>863</v>
      </c>
      <c r="B48" s="306" t="s">
        <v>1125</v>
      </c>
      <c r="C48" s="1494">
        <f ca="1">C49+C53+C55</f>
        <v>0</v>
      </c>
      <c r="D48" s="1225"/>
      <c r="E48" s="1226"/>
      <c r="F48" s="1074"/>
      <c r="G48" s="731"/>
      <c r="H48" s="732"/>
      <c r="I48" s="1556" t="s">
        <v>1254</v>
      </c>
      <c r="J48" s="1557" t="s">
        <v>3245</v>
      </c>
      <c r="K48" s="1558" t="s">
        <v>1255</v>
      </c>
      <c r="L48" s="1559">
        <f ca="1">INDIRECT("'数据-取费表'!f"&amp;$G$1)</f>
        <v>12.67</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2009</v>
      </c>
      <c r="K49" s="1558" t="s">
        <v>1259</v>
      </c>
      <c r="L49" s="1562"/>
      <c r="O49" s="1563" t="s">
        <v>829</v>
      </c>
      <c r="P49" s="1554" t="s">
        <v>1260</v>
      </c>
      <c r="Q49" s="1555">
        <f ca="1">C29</f>
        <v>5259</v>
      </c>
      <c r="R49" s="1555" t="s">
        <v>1253</v>
      </c>
    </row>
    <row r="50" spans="1:18" s="1519" customFormat="1" ht="13.5" thickBot="1">
      <c r="A50" s="1088"/>
      <c r="B50" s="1091"/>
      <c r="C50" s="1231"/>
      <c r="D50" s="1065"/>
      <c r="E50" s="1168" t="s">
        <v>1130</v>
      </c>
      <c r="F50" s="1169">
        <f ca="1">F7</f>
        <v>9934.4500000000007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47</v>
      </c>
      <c r="K51" s="1569" t="s">
        <v>1265</v>
      </c>
      <c r="L51" s="1570">
        <f ca="1">ROUND(-PV(INDIRECT("'数据-取费表'!h"&amp;$G$1),J51,(C39-C13*C76),0),0)</f>
        <v>14398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12.67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12.67</v>
      </c>
      <c r="K53" s="3432" t="s">
        <v>1272</v>
      </c>
      <c r="L53" s="3433"/>
      <c r="O53" s="1553" t="s">
        <v>833</v>
      </c>
      <c r="P53" s="1554" t="s">
        <v>1273</v>
      </c>
      <c r="Q53" s="1555">
        <f ca="1">Q47+Q48</f>
        <v>12968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4418</v>
      </c>
      <c r="D56" s="1582"/>
      <c r="E56" s="1583"/>
      <c r="F56" s="1575"/>
      <c r="I56" s="1584" t="s">
        <v>1278</v>
      </c>
      <c r="J56" s="1585" t="s">
        <v>3233</v>
      </c>
      <c r="K56" s="1556" t="s">
        <v>1279</v>
      </c>
      <c r="L56" s="1559" t="str">
        <f ca="1">IF(L48&lt;J51,"——",L48-J53)</f>
        <v>——</v>
      </c>
      <c r="O56" s="1553" t="s">
        <v>827</v>
      </c>
      <c r="P56" s="1554" t="s">
        <v>1252</v>
      </c>
      <c r="Q56" s="1555">
        <f ca="1">C40+J29</f>
        <v>12968</v>
      </c>
      <c r="R56" s="1555" t="s">
        <v>1253</v>
      </c>
    </row>
    <row r="57" spans="1:18" s="1519" customFormat="1" ht="24.75" thickBot="1">
      <c r="A57" s="1586"/>
      <c r="B57" s="1062" t="s">
        <v>1202</v>
      </c>
      <c r="C57" s="244">
        <f ca="1">C29</f>
        <v>5259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501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442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441.76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0.72</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12968</v>
      </c>
      <c r="R62" s="1555" t="s">
        <v>834</v>
      </c>
    </row>
    <row r="63" spans="1:18" s="1519" customFormat="1" ht="13.5" thickBot="1">
      <c r="A63" s="332"/>
      <c r="B63" s="1068"/>
      <c r="C63" s="29"/>
      <c r="D63" s="1078"/>
      <c r="E63" s="1062" t="s">
        <v>1223</v>
      </c>
      <c r="F63" s="309">
        <f t="shared" ca="1" si="0"/>
        <v>2392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52.6</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6.6</v>
      </c>
      <c r="D65" s="1076" t="s">
        <v>1178</v>
      </c>
      <c r="E65" s="1062" t="s">
        <v>1179</v>
      </c>
      <c r="F65" s="336">
        <f t="shared" ca="1" si="0"/>
        <v>1.5E-3</v>
      </c>
      <c r="I65" s="1597" t="s">
        <v>1303</v>
      </c>
      <c r="J65" s="1598">
        <v>40</v>
      </c>
      <c r="K65" s="1598">
        <v>30</v>
      </c>
      <c r="L65" s="1598">
        <v>50</v>
      </c>
      <c r="M65" s="1600">
        <v>0.02</v>
      </c>
      <c r="O65" s="1553" t="s">
        <v>827</v>
      </c>
      <c r="P65" s="1554" t="s">
        <v>1304</v>
      </c>
      <c r="Q65" s="1555">
        <f ca="1">C40+J29</f>
        <v>12968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-501</v>
      </c>
      <c r="D67" s="1075" t="s">
        <v>1188</v>
      </c>
      <c r="E67" s="1080"/>
      <c r="F67" s="1081"/>
      <c r="O67" s="1563" t="s">
        <v>829</v>
      </c>
      <c r="P67" s="1554" t="s">
        <v>1286</v>
      </c>
      <c r="Q67" s="1601">
        <f ca="1">L51</f>
        <v>14398</v>
      </c>
      <c r="R67" s="1555" t="s">
        <v>1306</v>
      </c>
    </row>
    <row r="68" spans="1:18" s="1519" customFormat="1" ht="16.5" thickBot="1">
      <c r="A68" s="1059" t="s">
        <v>819</v>
      </c>
      <c r="B68" s="1060" t="s">
        <v>1209</v>
      </c>
      <c r="C68" s="307">
        <f ca="1">ROUND(C67*(1-((1+F70)/(1+F68))^F69)/(F68-F70),0)</f>
        <v>-4487</v>
      </c>
      <c r="D68" s="1077" t="s">
        <v>1193</v>
      </c>
      <c r="E68" s="1062" t="s">
        <v>1194</v>
      </c>
      <c r="F68" s="318">
        <f ca="1">F40</f>
        <v>5.5E-2</v>
      </c>
      <c r="O68" s="1563" t="s">
        <v>830</v>
      </c>
      <c r="P68" s="1602" t="s">
        <v>1307</v>
      </c>
      <c r="Q68" s="1555">
        <f ca="1">ROUND(Q69-Q70*Q71,0)</f>
        <v>801</v>
      </c>
      <c r="R68" s="1555" t="s">
        <v>838</v>
      </c>
    </row>
    <row r="69" spans="1:18" s="1519" customFormat="1" ht="13.5" thickBot="1">
      <c r="A69" s="1063"/>
      <c r="B69" s="1064"/>
      <c r="C69" s="312"/>
      <c r="D69" s="1082" t="s">
        <v>1197</v>
      </c>
      <c r="E69" s="1062" t="s">
        <v>1198</v>
      </c>
      <c r="F69" s="339">
        <f ca="1">F41</f>
        <v>12.67</v>
      </c>
      <c r="O69" s="1563" t="s">
        <v>835</v>
      </c>
      <c r="P69" s="1602" t="s">
        <v>1308</v>
      </c>
      <c r="Q69" s="1555">
        <f ca="1">C39</f>
        <v>1110</v>
      </c>
      <c r="R69" s="1555" t="s">
        <v>1253</v>
      </c>
    </row>
    <row r="70" spans="1:18" s="1519" customFormat="1" ht="13.5" thickBot="1">
      <c r="A70" s="1066"/>
      <c r="B70" s="1067"/>
      <c r="C70" s="316"/>
      <c r="D70" s="1078"/>
      <c r="E70" s="1062" t="s">
        <v>1201</v>
      </c>
      <c r="F70" s="1166"/>
      <c r="O70" s="1563" t="s">
        <v>836</v>
      </c>
      <c r="P70" s="1602" t="s">
        <v>1309</v>
      </c>
      <c r="Q70" s="1555">
        <f ca="1">C13</f>
        <v>4418</v>
      </c>
      <c r="R70" s="1555" t="s">
        <v>1253</v>
      </c>
    </row>
    <row r="71" spans="1:18" s="1519" customFormat="1" ht="13.5" thickBot="1">
      <c r="A71" s="1083" t="s">
        <v>820</v>
      </c>
      <c r="B71" s="1084" t="s">
        <v>1211</v>
      </c>
      <c r="C71" s="342">
        <f ca="1">ROUND(C68*10000/F71,0)</f>
        <v>-4517</v>
      </c>
      <c r="D71" s="1085" t="s">
        <v>1212</v>
      </c>
      <c r="E71" s="1086" t="s">
        <v>1213</v>
      </c>
      <c r="F71" s="345">
        <f ca="1">F43</f>
        <v>9934.4500000000007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309</v>
      </c>
      <c r="D75" s="1519"/>
      <c r="E75" s="1519"/>
      <c r="F75" s="1519"/>
      <c r="K75" s="1537"/>
      <c r="L75" s="1519"/>
      <c r="O75" s="1553" t="s">
        <v>833</v>
      </c>
      <c r="P75" s="1554" t="s">
        <v>1273</v>
      </c>
      <c r="Q75" s="1555">
        <f ca="1">Q65+Q66</f>
        <v>12968</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0.72199999999999998</v>
      </c>
    </row>
    <row r="80" spans="1:18">
      <c r="B80" s="346" t="s">
        <v>1235</v>
      </c>
      <c r="C80" s="280">
        <f ca="1">ROUND(C75/C39,3)</f>
        <v>0.27800000000000002</v>
      </c>
    </row>
    <row r="81" spans="2:3">
      <c r="B81" s="276" t="s">
        <v>1236</v>
      </c>
      <c r="C81" s="244"/>
    </row>
    <row r="82" spans="2:3">
      <c r="B82" s="279" t="s">
        <v>1237</v>
      </c>
      <c r="C82" s="281">
        <f ca="1">1-C83</f>
        <v>0.65900000000000003</v>
      </c>
    </row>
    <row r="83" spans="2:3">
      <c r="B83" s="279" t="s">
        <v>1238</v>
      </c>
      <c r="C83" s="280">
        <f ca="1">ROUND(C13/C40,3)</f>
        <v>0.34100000000000003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4" t="s">
        <v>1127</v>
      </c>
      <c r="C6" s="1187">
        <f ca="1">ROUND(F6*F8*F7*(1-F9),0)</f>
        <v>0</v>
      </c>
      <c r="D6" s="160" t="s">
        <v>2606</v>
      </c>
      <c r="E6" s="308" t="s">
        <v>1129</v>
      </c>
      <c r="F6" s="309">
        <f ca="1">INDIRECT("'数据-取费表'!u"&amp;$G$1)</f>
        <v>0</v>
      </c>
      <c r="G6" s="1519"/>
      <c r="H6" s="1182" t="s">
        <v>822</v>
      </c>
      <c r="I6" s="3434" t="s">
        <v>1127</v>
      </c>
      <c r="J6" s="307">
        <f ca="1">ROUND(M6*M8*M7*(1-M9),0)</f>
        <v>0</v>
      </c>
      <c r="K6" s="1511" t="s">
        <v>2607</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80" sqref="Q80"/>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3" t="s">
        <v>2822</v>
      </c>
      <c r="K2" s="3444"/>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5" t="s">
        <v>2832</v>
      </c>
      <c r="K3" s="3446"/>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5" t="s">
        <v>2834</v>
      </c>
      <c r="K4" s="3446"/>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51" t="s">
        <v>2838</v>
      </c>
      <c r="B6" s="3452"/>
      <c r="C6" s="3453"/>
      <c r="D6" s="3051"/>
      <c r="E6" s="3052"/>
      <c r="F6" s="3053"/>
      <c r="G6" s="3054"/>
      <c r="H6" s="3029"/>
      <c r="I6" s="3030"/>
      <c r="J6" s="3437">
        <v>1</v>
      </c>
      <c r="K6" s="3438"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7"/>
      <c r="K7" s="3439"/>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4" t="s">
        <v>2852</v>
      </c>
      <c r="C8" s="3455"/>
      <c r="D8" s="3070" t="s">
        <v>2853</v>
      </c>
      <c r="E8" s="3071" t="s">
        <v>2854</v>
      </c>
      <c r="F8" s="3072" t="s">
        <v>2855</v>
      </c>
      <c r="G8" s="3073"/>
      <c r="H8" s="3029"/>
      <c r="I8" s="3030"/>
      <c r="J8" s="3437"/>
      <c r="K8" s="3439"/>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4" t="s">
        <v>2858</v>
      </c>
      <c r="C9" s="3455"/>
      <c r="D9" s="3070">
        <f>ROUND(D6*E9,0)</f>
        <v>0</v>
      </c>
      <c r="E9" s="3074"/>
      <c r="F9" s="3075" t="s">
        <v>2859</v>
      </c>
      <c r="G9" s="3054"/>
      <c r="H9" s="3029"/>
      <c r="I9" s="3030"/>
      <c r="J9" s="3437"/>
      <c r="K9" s="3439"/>
      <c r="L9" s="3064" t="s">
        <v>2860</v>
      </c>
      <c r="M9" s="3065"/>
      <c r="N9" s="3041"/>
      <c r="O9" s="3066"/>
      <c r="P9" s="3066"/>
      <c r="Q9" s="3067">
        <v>365</v>
      </c>
      <c r="R9" s="3068">
        <f t="shared" si="0"/>
        <v>0</v>
      </c>
      <c r="S9" s="3022"/>
      <c r="T9" s="3022"/>
      <c r="U9" s="3022"/>
      <c r="V9" s="3030"/>
    </row>
    <row r="10" spans="1:22" s="3034" customFormat="1" ht="13.15" customHeight="1">
      <c r="A10" s="3069">
        <v>2</v>
      </c>
      <c r="B10" s="3454" t="s">
        <v>2861</v>
      </c>
      <c r="C10" s="3455"/>
      <c r="D10" s="3070">
        <f>ROUND(D6*E10,0)</f>
        <v>0</v>
      </c>
      <c r="E10" s="3074"/>
      <c r="F10" s="3075" t="s">
        <v>2862</v>
      </c>
      <c r="G10" s="3054"/>
      <c r="H10" s="3029"/>
      <c r="I10" s="3030"/>
      <c r="J10" s="3437"/>
      <c r="K10" s="3439"/>
      <c r="L10" s="3064" t="s">
        <v>2863</v>
      </c>
      <c r="M10" s="3065"/>
      <c r="N10" s="3041"/>
      <c r="O10" s="3066"/>
      <c r="P10" s="3066"/>
      <c r="Q10" s="3067">
        <v>365</v>
      </c>
      <c r="R10" s="3068">
        <f t="shared" si="0"/>
        <v>0</v>
      </c>
      <c r="S10" s="3022"/>
      <c r="T10" s="3022"/>
      <c r="U10" s="3022"/>
      <c r="V10" s="3030"/>
    </row>
    <row r="11" spans="1:22" s="3034" customFormat="1" ht="13.15" customHeight="1">
      <c r="A11" s="3069">
        <v>3</v>
      </c>
      <c r="B11" s="3454" t="s">
        <v>2864</v>
      </c>
      <c r="C11" s="3455"/>
      <c r="D11" s="3070">
        <f>D12+D14+D15+D16</f>
        <v>0</v>
      </c>
      <c r="E11" s="3076" t="e">
        <f>D11/D6</f>
        <v>#DIV/0!</v>
      </c>
      <c r="F11" s="3072"/>
      <c r="G11" s="3073"/>
      <c r="H11" s="3029"/>
      <c r="I11" s="3030"/>
      <c r="J11" s="3437"/>
      <c r="K11" s="3439"/>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7" t="s">
        <v>2867</v>
      </c>
      <c r="C12" s="3448"/>
      <c r="D12" s="3078">
        <f>ROUND(D13*1.2%*(1-30%),0)</f>
        <v>0</v>
      </c>
      <c r="E12" s="3079">
        <v>1.2E-2</v>
      </c>
      <c r="F12" s="3072" t="s">
        <v>2868</v>
      </c>
      <c r="G12" s="3073"/>
      <c r="H12" s="3029"/>
      <c r="I12" s="3030"/>
      <c r="J12" s="3437"/>
      <c r="K12" s="3439"/>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7"/>
      <c r="K13" s="3439"/>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7" t="s">
        <v>2873</v>
      </c>
      <c r="C14" s="3448"/>
      <c r="D14" s="3078">
        <f>ROUND(E14*B5/10000,0)</f>
        <v>0</v>
      </c>
      <c r="E14" s="3067"/>
      <c r="F14" s="3072" t="s">
        <v>2874</v>
      </c>
      <c r="G14" s="3073"/>
      <c r="H14" s="3029"/>
      <c r="I14" s="3030"/>
      <c r="J14" s="3437"/>
      <c r="K14" s="3440"/>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7" t="s">
        <v>2877</v>
      </c>
      <c r="C15" s="3448"/>
      <c r="D15" s="3078">
        <f>ROUND(D6*E15,0)</f>
        <v>0</v>
      </c>
      <c r="E15" s="3079">
        <v>5.5E-2</v>
      </c>
      <c r="F15" s="3072" t="s">
        <v>2878</v>
      </c>
      <c r="G15" s="3054"/>
      <c r="H15" s="3029"/>
      <c r="I15" s="3030"/>
      <c r="J15" s="3437">
        <v>2</v>
      </c>
      <c r="K15" s="3438"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7" t="s">
        <v>2886</v>
      </c>
      <c r="C16" s="3448"/>
      <c r="D16" s="3089">
        <f>D6*E16</f>
        <v>0</v>
      </c>
      <c r="E16" s="3090"/>
      <c r="F16" s="3075" t="s">
        <v>2887</v>
      </c>
      <c r="G16" s="3054"/>
      <c r="H16" s="3029"/>
      <c r="I16" s="3030"/>
      <c r="J16" s="3437"/>
      <c r="K16" s="3439"/>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9" t="s">
        <v>2889</v>
      </c>
      <c r="C17" s="3450"/>
      <c r="D17" s="3092">
        <f>ROUND(D6*E17,0)</f>
        <v>0</v>
      </c>
      <c r="E17" s="3093"/>
      <c r="F17" s="3094" t="s">
        <v>2890</v>
      </c>
      <c r="G17" s="3054"/>
      <c r="H17" s="3029"/>
      <c r="I17" s="3030"/>
      <c r="J17" s="3437"/>
      <c r="K17" s="3439"/>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7"/>
      <c r="K18" s="3439"/>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7"/>
      <c r="K19" s="3440"/>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7">
        <v>3</v>
      </c>
      <c r="K20" s="3438"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7"/>
      <c r="K21" s="3439"/>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7"/>
      <c r="K22" s="3439"/>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7"/>
      <c r="K23" s="3439"/>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7"/>
      <c r="K24" s="3440"/>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1">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3" t="s">
        <v>2822</v>
      </c>
      <c r="K32" s="3444"/>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5" t="s">
        <v>2832</v>
      </c>
      <c r="K33" s="3446"/>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5" t="s">
        <v>2834</v>
      </c>
      <c r="K34" s="3446"/>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7">
        <v>1</v>
      </c>
      <c r="K36" s="3438"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7"/>
      <c r="K40" s="3440"/>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1">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80" sqref="Q80"/>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12968</v>
      </c>
      <c r="C2" s="2009" t="s">
        <v>2099</v>
      </c>
      <c r="D2" s="2010" t="s">
        <v>2100</v>
      </c>
      <c r="E2" s="2783">
        <f>SUM(E6:E13)</f>
        <v>9934.4500000000007</v>
      </c>
      <c r="F2" s="2886"/>
      <c r="G2" s="1625"/>
      <c r="H2" s="1625"/>
      <c r="I2" s="1625"/>
      <c r="J2" s="1625"/>
      <c r="K2" s="1625"/>
      <c r="L2" s="1625"/>
      <c r="M2" s="1625"/>
      <c r="N2" s="1625"/>
      <c r="O2" s="1625"/>
      <c r="P2" s="1625"/>
      <c r="Q2" s="1625"/>
      <c r="R2" s="1625"/>
      <c r="S2" s="1625"/>
    </row>
    <row r="3" spans="1:22" ht="15.75">
      <c r="A3" s="2007" t="s">
        <v>1119</v>
      </c>
      <c r="B3" s="2777">
        <f ca="1">ROUND(B2*10000/E2,0)</f>
        <v>13054</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6" t="s">
        <v>2102</v>
      </c>
      <c r="C5" s="3457"/>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12968</v>
      </c>
      <c r="C6" s="2009" t="s">
        <v>2099</v>
      </c>
      <c r="D6" s="2888"/>
      <c r="E6" s="2782">
        <f>IF(OR(A6=0,F6="否"),0,'数据-取费表'!K6+'数据-取费表'!S6)</f>
        <v>9934.4500000000007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80" sqref="Q8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9934.4500000000007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6" t="s">
        <v>2116</v>
      </c>
      <c r="D4" s="3477"/>
      <c r="E4" s="3478" t="s">
        <v>2117</v>
      </c>
      <c r="F4" s="3479"/>
      <c r="G4" s="3476" t="s">
        <v>2118</v>
      </c>
      <c r="H4" s="3477"/>
      <c r="I4" s="3476" t="s">
        <v>2119</v>
      </c>
      <c r="J4" s="3477"/>
      <c r="K4" s="2026" t="s">
        <v>2120</v>
      </c>
      <c r="L4" s="2894"/>
      <c r="M4" s="2895"/>
      <c r="N4" s="2895"/>
      <c r="O4" s="2895"/>
      <c r="P4" s="3480" t="s">
        <v>2121</v>
      </c>
      <c r="Q4" s="3481"/>
      <c r="R4" s="3486" t="s">
        <v>2117</v>
      </c>
      <c r="S4" s="3487"/>
      <c r="T4" s="3486" t="s">
        <v>2118</v>
      </c>
      <c r="U4" s="3487"/>
      <c r="V4" s="3492" t="s">
        <v>2119</v>
      </c>
      <c r="W4" s="3492"/>
      <c r="X4" s="1490"/>
      <c r="Y4" s="3486" t="s">
        <v>2121</v>
      </c>
      <c r="Z4" s="3487"/>
      <c r="AA4" s="3473" t="s">
        <v>2117</v>
      </c>
      <c r="AB4" s="3473" t="s">
        <v>2118</v>
      </c>
      <c r="AC4" s="3473" t="s">
        <v>2119</v>
      </c>
    </row>
    <row r="5" spans="1:29" ht="15">
      <c r="A5" s="364"/>
      <c r="B5" s="365"/>
      <c r="C5" s="3495" t="s">
        <v>2122</v>
      </c>
      <c r="D5" s="3496"/>
      <c r="E5" s="3502" t="s">
        <v>2123</v>
      </c>
      <c r="F5" s="3503"/>
      <c r="G5" s="3495" t="s">
        <v>2124</v>
      </c>
      <c r="H5" s="3496"/>
      <c r="I5" s="3495" t="s">
        <v>2125</v>
      </c>
      <c r="J5" s="3496"/>
      <c r="K5" s="2027"/>
      <c r="L5" s="2894"/>
      <c r="M5" s="2895"/>
      <c r="N5" s="2895"/>
      <c r="O5" s="2895"/>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2027" t="s">
        <v>2127</v>
      </c>
      <c r="L6" s="2894"/>
      <c r="M6" s="2895"/>
      <c r="N6" s="2895"/>
      <c r="O6" s="2895"/>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7" t="s">
        <v>2129</v>
      </c>
      <c r="Q7" s="3499"/>
      <c r="R7" s="710" t="s">
        <v>23</v>
      </c>
      <c r="S7" s="711">
        <f t="shared" ref="S7:S15" si="0">F7</f>
        <v>0</v>
      </c>
      <c r="T7" s="710" t="s">
        <v>23</v>
      </c>
      <c r="U7" s="711">
        <f t="shared" ref="U7:U15" si="1">H7</f>
        <v>0</v>
      </c>
      <c r="V7" s="710" t="s">
        <v>23</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7" t="s">
        <v>2132</v>
      </c>
      <c r="Q8" s="3498"/>
      <c r="R8" s="710" t="s">
        <v>23</v>
      </c>
      <c r="S8" s="711">
        <f t="shared" si="0"/>
        <v>0</v>
      </c>
      <c r="T8" s="710" t="s">
        <v>23</v>
      </c>
      <c r="U8" s="711">
        <f t="shared" si="1"/>
        <v>0</v>
      </c>
      <c r="V8" s="710" t="s">
        <v>23</v>
      </c>
      <c r="W8" s="711">
        <f t="shared" si="2"/>
        <v>0</v>
      </c>
      <c r="X8" s="712"/>
      <c r="Y8" s="3497" t="s">
        <v>2132</v>
      </c>
      <c r="Z8" s="349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33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0" t="s">
        <v>2140</v>
      </c>
      <c r="Q15" s="1487" t="str">
        <f t="shared" si="6"/>
        <v>居住社区成熟度</v>
      </c>
      <c r="R15" s="714" t="s">
        <v>21</v>
      </c>
      <c r="S15" s="715">
        <f t="shared" si="0"/>
        <v>100</v>
      </c>
      <c r="T15" s="714" t="s">
        <v>21</v>
      </c>
      <c r="U15" s="715">
        <f t="shared" si="1"/>
        <v>100</v>
      </c>
      <c r="V15" s="714" t="s">
        <v>21</v>
      </c>
      <c r="W15" s="715">
        <f t="shared" si="2"/>
        <v>100</v>
      </c>
      <c r="X15" s="1490"/>
      <c r="Y15" s="346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1"/>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1"/>
      <c r="Q17" s="1487" t="str">
        <f>B17</f>
        <v>交通便捷度</v>
      </c>
      <c r="R17" s="714" t="s">
        <v>21</v>
      </c>
      <c r="S17" s="715">
        <f>F17</f>
        <v>100</v>
      </c>
      <c r="T17" s="714" t="s">
        <v>21</v>
      </c>
      <c r="U17" s="715">
        <f>H17</f>
        <v>100</v>
      </c>
      <c r="V17" s="714" t="s">
        <v>21</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1"/>
      <c r="Q18" s="1487"/>
      <c r="R18" s="714"/>
      <c r="S18" s="715"/>
      <c r="T18" s="714"/>
      <c r="U18" s="715"/>
      <c r="V18" s="714"/>
      <c r="W18" s="715"/>
      <c r="X18" s="1490"/>
      <c r="Y18" s="346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1"/>
      <c r="Q19" s="1487" t="str">
        <f>B19</f>
        <v>公共配套设施</v>
      </c>
      <c r="R19" s="714" t="s">
        <v>21</v>
      </c>
      <c r="S19" s="715">
        <f>F19</f>
        <v>100</v>
      </c>
      <c r="T19" s="714" t="s">
        <v>21</v>
      </c>
      <c r="U19" s="715">
        <f>H19</f>
        <v>100</v>
      </c>
      <c r="V19" s="714" t="s">
        <v>21</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1"/>
      <c r="Q20" s="1487"/>
      <c r="R20" s="714"/>
      <c r="S20" s="715"/>
      <c r="T20" s="714"/>
      <c r="U20" s="715"/>
      <c r="V20" s="714"/>
      <c r="W20" s="715"/>
      <c r="X20" s="1490"/>
      <c r="Y20" s="346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1"/>
      <c r="Q22" s="1487"/>
      <c r="R22" s="714"/>
      <c r="S22" s="715"/>
      <c r="T22" s="714"/>
      <c r="U22" s="715"/>
      <c r="V22" s="714"/>
      <c r="W22" s="715"/>
      <c r="X22" s="1490"/>
      <c r="Y22" s="346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1"/>
      <c r="Q23" s="1487" t="str">
        <f>B23</f>
        <v>自然及人文环境</v>
      </c>
      <c r="R23" s="714" t="s">
        <v>21</v>
      </c>
      <c r="S23" s="715">
        <f>F23</f>
        <v>100</v>
      </c>
      <c r="T23" s="714" t="s">
        <v>21</v>
      </c>
      <c r="U23" s="715">
        <f>H23</f>
        <v>100</v>
      </c>
      <c r="V23" s="714" t="s">
        <v>21</v>
      </c>
      <c r="W23" s="715">
        <f>J23</f>
        <v>100</v>
      </c>
      <c r="X23" s="1490"/>
      <c r="Y23" s="346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1"/>
      <c r="Q24" s="1487"/>
      <c r="R24" s="714"/>
      <c r="S24" s="715"/>
      <c r="T24" s="714"/>
      <c r="U24" s="715"/>
      <c r="V24" s="714"/>
      <c r="W24" s="715"/>
      <c r="X24" s="1490"/>
      <c r="Y24" s="346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1"/>
      <c r="Q26" s="1487" t="str">
        <f t="shared" si="11"/>
        <v>朝向</v>
      </c>
      <c r="R26" s="714" t="s">
        <v>21</v>
      </c>
      <c r="S26" s="715">
        <f t="shared" si="12"/>
        <v>100</v>
      </c>
      <c r="T26" s="714" t="s">
        <v>21</v>
      </c>
      <c r="U26" s="715">
        <f t="shared" si="13"/>
        <v>100</v>
      </c>
      <c r="V26" s="714" t="s">
        <v>21</v>
      </c>
      <c r="W26" s="715">
        <f t="shared" si="14"/>
        <v>100</v>
      </c>
      <c r="X26" s="1490"/>
      <c r="Y26" s="346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1"/>
      <c r="Q27" s="1478">
        <f t="shared" si="11"/>
        <v>111</v>
      </c>
      <c r="R27" s="710" t="s">
        <v>21</v>
      </c>
      <c r="S27" s="711">
        <f t="shared" si="12"/>
        <v>100</v>
      </c>
      <c r="T27" s="710" t="s">
        <v>21</v>
      </c>
      <c r="U27" s="711">
        <f t="shared" si="13"/>
        <v>100</v>
      </c>
      <c r="V27" s="710" t="s">
        <v>21</v>
      </c>
      <c r="W27" s="711">
        <f t="shared" si="14"/>
        <v>100</v>
      </c>
      <c r="X27" s="712"/>
      <c r="Y27" s="346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1"/>
      <c r="Q28" s="1487">
        <f t="shared" si="11"/>
        <v>111</v>
      </c>
      <c r="R28" s="714" t="s">
        <v>21</v>
      </c>
      <c r="S28" s="715">
        <f t="shared" si="12"/>
        <v>100</v>
      </c>
      <c r="T28" s="714" t="s">
        <v>21</v>
      </c>
      <c r="U28" s="715">
        <f t="shared" si="13"/>
        <v>100</v>
      </c>
      <c r="V28" s="714" t="s">
        <v>21</v>
      </c>
      <c r="W28" s="715">
        <f t="shared" si="14"/>
        <v>100</v>
      </c>
      <c r="X28" s="1490"/>
      <c r="Y28" s="346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1"/>
      <c r="Q29" s="1487">
        <f t="shared" si="11"/>
        <v>111</v>
      </c>
      <c r="R29" s="714" t="s">
        <v>21</v>
      </c>
      <c r="S29" s="715">
        <f t="shared" si="12"/>
        <v>100</v>
      </c>
      <c r="T29" s="714" t="s">
        <v>21</v>
      </c>
      <c r="U29" s="715">
        <f t="shared" si="13"/>
        <v>100</v>
      </c>
      <c r="V29" s="714" t="s">
        <v>21</v>
      </c>
      <c r="W29" s="715">
        <f t="shared" si="14"/>
        <v>100</v>
      </c>
      <c r="X29" s="1490"/>
      <c r="Y29" s="346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1"/>
      <c r="Q30" s="1487">
        <f t="shared" si="11"/>
        <v>111</v>
      </c>
      <c r="R30" s="714" t="s">
        <v>21</v>
      </c>
      <c r="S30" s="715">
        <f t="shared" si="12"/>
        <v>100</v>
      </c>
      <c r="T30" s="714" t="s">
        <v>21</v>
      </c>
      <c r="U30" s="715">
        <f t="shared" si="13"/>
        <v>100</v>
      </c>
      <c r="V30" s="714" t="s">
        <v>21</v>
      </c>
      <c r="W30" s="715">
        <f t="shared" si="14"/>
        <v>100</v>
      </c>
      <c r="X30" s="1490"/>
      <c r="Y30" s="346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1"/>
      <c r="Q31" s="1487">
        <f t="shared" si="11"/>
        <v>111</v>
      </c>
      <c r="R31" s="714" t="s">
        <v>21</v>
      </c>
      <c r="S31" s="715">
        <f t="shared" si="12"/>
        <v>100</v>
      </c>
      <c r="T31" s="714" t="s">
        <v>21</v>
      </c>
      <c r="U31" s="715">
        <f t="shared" si="13"/>
        <v>100</v>
      </c>
      <c r="V31" s="714" t="s">
        <v>21</v>
      </c>
      <c r="W31" s="715">
        <f t="shared" si="14"/>
        <v>100</v>
      </c>
      <c r="X31" s="1490"/>
      <c r="Y31" s="346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5" t="s">
        <v>2145</v>
      </c>
      <c r="Q32" s="1487" t="str">
        <f t="shared" si="11"/>
        <v>建筑类型</v>
      </c>
      <c r="R32" s="714" t="s">
        <v>21</v>
      </c>
      <c r="S32" s="715">
        <f t="shared" si="12"/>
        <v>100</v>
      </c>
      <c r="T32" s="714" t="s">
        <v>21</v>
      </c>
      <c r="U32" s="715">
        <f t="shared" si="13"/>
        <v>100</v>
      </c>
      <c r="V32" s="714" t="s">
        <v>21</v>
      </c>
      <c r="W32" s="715">
        <f t="shared" si="14"/>
        <v>100</v>
      </c>
      <c r="X32" s="1490"/>
      <c r="Y32" s="346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6"/>
      <c r="Q34" s="1487" t="str">
        <f t="shared" si="11"/>
        <v>建筑结构</v>
      </c>
      <c r="R34" s="714" t="s">
        <v>21</v>
      </c>
      <c r="S34" s="715">
        <f t="shared" si="12"/>
        <v>100</v>
      </c>
      <c r="T34" s="714" t="s">
        <v>21</v>
      </c>
      <c r="U34" s="715">
        <f t="shared" si="13"/>
        <v>100</v>
      </c>
      <c r="V34" s="714" t="s">
        <v>21</v>
      </c>
      <c r="W34" s="715">
        <f t="shared" si="14"/>
        <v>100</v>
      </c>
      <c r="X34" s="1490"/>
      <c r="Y34" s="346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6"/>
      <c r="Q35" s="1487" t="str">
        <f t="shared" si="11"/>
        <v>建筑品质</v>
      </c>
      <c r="R35" s="714" t="s">
        <v>21</v>
      </c>
      <c r="S35" s="715">
        <f t="shared" si="12"/>
        <v>100</v>
      </c>
      <c r="T35" s="714" t="s">
        <v>21</v>
      </c>
      <c r="U35" s="715">
        <f t="shared" si="13"/>
        <v>100</v>
      </c>
      <c r="V35" s="714" t="s">
        <v>21</v>
      </c>
      <c r="W35" s="715">
        <f t="shared" si="14"/>
        <v>100</v>
      </c>
      <c r="X35" s="1490"/>
      <c r="Y35" s="346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6"/>
      <c r="Q36" s="1487" t="str">
        <f t="shared" si="11"/>
        <v>公共部分装修</v>
      </c>
      <c r="R36" s="714" t="s">
        <v>21</v>
      </c>
      <c r="S36" s="715">
        <f t="shared" si="12"/>
        <v>100</v>
      </c>
      <c r="T36" s="714" t="s">
        <v>21</v>
      </c>
      <c r="U36" s="715">
        <f t="shared" si="13"/>
        <v>100</v>
      </c>
      <c r="V36" s="714" t="s">
        <v>21</v>
      </c>
      <c r="W36" s="715">
        <f t="shared" si="14"/>
        <v>100</v>
      </c>
      <c r="X36" s="1490"/>
      <c r="Y36" s="346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6"/>
      <c r="Q37" s="1478"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6" t="s">
        <v>2145</v>
      </c>
      <c r="Q38" s="1487" t="str">
        <f t="shared" si="11"/>
        <v>物业管理</v>
      </c>
      <c r="R38" s="714" t="s">
        <v>21</v>
      </c>
      <c r="S38" s="715">
        <f t="shared" si="12"/>
        <v>100</v>
      </c>
      <c r="T38" s="714" t="s">
        <v>21</v>
      </c>
      <c r="U38" s="715">
        <f t="shared" si="13"/>
        <v>100</v>
      </c>
      <c r="V38" s="714" t="s">
        <v>21</v>
      </c>
      <c r="W38" s="715">
        <f t="shared" si="14"/>
        <v>100</v>
      </c>
      <c r="X38" s="1490"/>
      <c r="Y38" s="346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6"/>
      <c r="Q39" s="1487" t="str">
        <f t="shared" si="11"/>
        <v>市政基础设施</v>
      </c>
      <c r="R39" s="714" t="s">
        <v>21</v>
      </c>
      <c r="S39" s="715">
        <f t="shared" si="12"/>
        <v>100</v>
      </c>
      <c r="T39" s="714" t="s">
        <v>21</v>
      </c>
      <c r="U39" s="715">
        <f t="shared" si="13"/>
        <v>100</v>
      </c>
      <c r="V39" s="714" t="s">
        <v>21</v>
      </c>
      <c r="W39" s="715">
        <f t="shared" si="14"/>
        <v>100</v>
      </c>
      <c r="X39" s="1490"/>
      <c r="Y39" s="346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6"/>
      <c r="Q40" s="1487" t="str">
        <f t="shared" si="11"/>
        <v>房型</v>
      </c>
      <c r="R40" s="714" t="s">
        <v>21</v>
      </c>
      <c r="S40" s="715">
        <f t="shared" si="12"/>
        <v>100</v>
      </c>
      <c r="T40" s="714" t="s">
        <v>21</v>
      </c>
      <c r="U40" s="715">
        <f t="shared" si="13"/>
        <v>100</v>
      </c>
      <c r="V40" s="714" t="s">
        <v>21</v>
      </c>
      <c r="W40" s="715">
        <f t="shared" si="14"/>
        <v>100</v>
      </c>
      <c r="X40" s="1490"/>
      <c r="Y40" s="346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6"/>
      <c r="Q42" s="1487" t="str">
        <f t="shared" si="11"/>
        <v>内部装修</v>
      </c>
      <c r="R42" s="714" t="s">
        <v>21</v>
      </c>
      <c r="S42" s="715">
        <f t="shared" si="12"/>
        <v>100</v>
      </c>
      <c r="T42" s="714" t="s">
        <v>21</v>
      </c>
      <c r="U42" s="715">
        <f t="shared" si="13"/>
        <v>100</v>
      </c>
      <c r="V42" s="714" t="s">
        <v>21</v>
      </c>
      <c r="W42" s="715">
        <f t="shared" si="14"/>
        <v>100</v>
      </c>
      <c r="X42" s="1490"/>
      <c r="Y42" s="346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6"/>
      <c r="Q43" s="1487" t="str">
        <f t="shared" si="11"/>
        <v>内部装修维护情况</v>
      </c>
      <c r="R43" s="714" t="s">
        <v>21</v>
      </c>
      <c r="S43" s="715">
        <f t="shared" si="12"/>
        <v>100</v>
      </c>
      <c r="T43" s="714" t="s">
        <v>21</v>
      </c>
      <c r="U43" s="715">
        <f t="shared" si="13"/>
        <v>100</v>
      </c>
      <c r="V43" s="714" t="s">
        <v>21</v>
      </c>
      <c r="W43" s="715">
        <f t="shared" si="14"/>
        <v>100</v>
      </c>
      <c r="X43" s="1490"/>
      <c r="Y43" s="346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6"/>
      <c r="Q44" s="1478">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6"/>
      <c r="Q45" s="1487">
        <f t="shared" si="11"/>
        <v>111</v>
      </c>
      <c r="R45" s="714" t="s">
        <v>21</v>
      </c>
      <c r="S45" s="715">
        <f t="shared" si="12"/>
        <v>100</v>
      </c>
      <c r="T45" s="714" t="s">
        <v>21</v>
      </c>
      <c r="U45" s="715">
        <f t="shared" si="13"/>
        <v>100</v>
      </c>
      <c r="V45" s="714" t="s">
        <v>21</v>
      </c>
      <c r="W45" s="715">
        <f t="shared" si="14"/>
        <v>100</v>
      </c>
      <c r="X45" s="1490"/>
      <c r="Y45" s="346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7"/>
      <c r="Q46" s="1487">
        <f t="shared" si="11"/>
        <v>111</v>
      </c>
      <c r="R46" s="714" t="s">
        <v>20</v>
      </c>
      <c r="S46" s="715">
        <f t="shared" si="12"/>
        <v>100</v>
      </c>
      <c r="T46" s="714" t="s">
        <v>20</v>
      </c>
      <c r="U46" s="715">
        <f t="shared" si="13"/>
        <v>100</v>
      </c>
      <c r="V46" s="714" t="s">
        <v>20</v>
      </c>
      <c r="W46" s="715">
        <f t="shared" si="14"/>
        <v>100</v>
      </c>
      <c r="X46" s="1490"/>
      <c r="Y46" s="346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9934.4500000000007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92" t="s">
        <v>2228</v>
      </c>
      <c r="AC4" s="3473" t="s">
        <v>2229</v>
      </c>
    </row>
    <row r="5" spans="1:29" ht="15">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92"/>
      <c r="AC5" s="3474"/>
    </row>
    <row r="6" spans="1:29" ht="15.7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92"/>
      <c r="AC6" s="3475"/>
    </row>
    <row r="7" spans="1:29" s="113" customFormat="1" ht="15.7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0" t="s">
        <v>2140</v>
      </c>
      <c r="Q15" s="1487" t="str">
        <f t="shared" si="6"/>
        <v>商业繁华度</v>
      </c>
      <c r="R15" s="714" t="s">
        <v>17</v>
      </c>
      <c r="S15" s="715">
        <f t="shared" si="0"/>
        <v>100</v>
      </c>
      <c r="T15" s="714" t="s">
        <v>17</v>
      </c>
      <c r="U15" s="715">
        <f t="shared" si="1"/>
        <v>100</v>
      </c>
      <c r="V15" s="714" t="s">
        <v>17</v>
      </c>
      <c r="W15" s="715">
        <f t="shared" si="2"/>
        <v>100</v>
      </c>
      <c r="X15" s="1490"/>
      <c r="Y15" s="346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1"/>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1"/>
      <c r="Q18" s="1487"/>
      <c r="R18" s="714"/>
      <c r="S18" s="715"/>
      <c r="T18" s="714"/>
      <c r="U18" s="715"/>
      <c r="V18" s="714"/>
      <c r="W18" s="715"/>
      <c r="X18" s="1490"/>
      <c r="Y18" s="346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1"/>
      <c r="Q20" s="1487"/>
      <c r="R20" s="714"/>
      <c r="S20" s="715"/>
      <c r="T20" s="714"/>
      <c r="U20" s="715"/>
      <c r="V20" s="714"/>
      <c r="W20" s="715"/>
      <c r="X20" s="1490"/>
      <c r="Y20" s="346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1"/>
      <c r="Q22" s="1487"/>
      <c r="R22" s="714"/>
      <c r="S22" s="715"/>
      <c r="T22" s="714"/>
      <c r="U22" s="715"/>
      <c r="V22" s="714"/>
      <c r="W22" s="715"/>
      <c r="X22" s="1490"/>
      <c r="Y22" s="346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1"/>
      <c r="Q23" s="1487" t="str">
        <f>B23</f>
        <v>自然及人文环境</v>
      </c>
      <c r="R23" s="714" t="s">
        <v>17</v>
      </c>
      <c r="S23" s="715">
        <f>F23</f>
        <v>100</v>
      </c>
      <c r="T23" s="714" t="s">
        <v>17</v>
      </c>
      <c r="U23" s="715">
        <f>H23</f>
        <v>100</v>
      </c>
      <c r="V23" s="714" t="s">
        <v>17</v>
      </c>
      <c r="W23" s="715">
        <f>J23</f>
        <v>100</v>
      </c>
      <c r="X23" s="1490"/>
      <c r="Y23" s="346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1"/>
      <c r="Q24" s="1487"/>
      <c r="R24" s="714"/>
      <c r="S24" s="715"/>
      <c r="T24" s="714"/>
      <c r="U24" s="715"/>
      <c r="V24" s="714"/>
      <c r="W24" s="715"/>
      <c r="X24" s="1490"/>
      <c r="Y24" s="346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1"/>
      <c r="Q25" s="1487" t="str">
        <f t="shared" ref="Q25:Q46" si="11">B25</f>
        <v>临街状况</v>
      </c>
      <c r="R25" s="714" t="s">
        <v>17</v>
      </c>
      <c r="S25" s="715">
        <f>F25</f>
        <v>100</v>
      </c>
      <c r="T25" s="714" t="s">
        <v>17</v>
      </c>
      <c r="U25" s="715">
        <f>H25</f>
        <v>100</v>
      </c>
      <c r="V25" s="714" t="s">
        <v>17</v>
      </c>
      <c r="W25" s="715">
        <f>J25</f>
        <v>100</v>
      </c>
      <c r="X25" s="1490"/>
      <c r="Y25" s="346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1"/>
      <c r="Q26" s="1487" t="str">
        <f t="shared" si="11"/>
        <v>平面位置/可视性</v>
      </c>
      <c r="R26" s="714" t="s">
        <v>17</v>
      </c>
      <c r="S26" s="715">
        <f>F26</f>
        <v>100</v>
      </c>
      <c r="T26" s="714" t="s">
        <v>17</v>
      </c>
      <c r="U26" s="715">
        <f>H26</f>
        <v>100</v>
      </c>
      <c r="V26" s="714" t="s">
        <v>17</v>
      </c>
      <c r="W26" s="715">
        <f>J26</f>
        <v>100</v>
      </c>
      <c r="X26" s="1490"/>
      <c r="Y26" s="346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1"/>
      <c r="Q27" s="1478" t="str">
        <f t="shared" si="11"/>
        <v>人流量</v>
      </c>
      <c r="R27" s="710" t="s">
        <v>17</v>
      </c>
      <c r="S27" s="711">
        <f>F27</f>
        <v>100</v>
      </c>
      <c r="T27" s="710" t="s">
        <v>17</v>
      </c>
      <c r="U27" s="711">
        <f>H27</f>
        <v>100</v>
      </c>
      <c r="V27" s="710" t="s">
        <v>17</v>
      </c>
      <c r="W27" s="711">
        <f>J27</f>
        <v>100</v>
      </c>
      <c r="X27" s="712"/>
      <c r="Y27" s="346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1"/>
      <c r="Q29" s="1487">
        <f t="shared" si="11"/>
        <v>111</v>
      </c>
      <c r="R29" s="714" t="s">
        <v>17</v>
      </c>
      <c r="S29" s="715">
        <f t="shared" si="12"/>
        <v>100</v>
      </c>
      <c r="T29" s="714" t="s">
        <v>17</v>
      </c>
      <c r="U29" s="715">
        <f t="shared" si="13"/>
        <v>100</v>
      </c>
      <c r="V29" s="714" t="s">
        <v>17</v>
      </c>
      <c r="W29" s="715">
        <f t="shared" si="14"/>
        <v>100</v>
      </c>
      <c r="X29" s="1490"/>
      <c r="Y29" s="346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5" t="s">
        <v>2145</v>
      </c>
      <c r="Q32" s="1487" t="str">
        <f t="shared" si="11"/>
        <v>商业类型</v>
      </c>
      <c r="R32" s="714" t="s">
        <v>17</v>
      </c>
      <c r="S32" s="715">
        <f t="shared" si="12"/>
        <v>100</v>
      </c>
      <c r="T32" s="714" t="s">
        <v>17</v>
      </c>
      <c r="U32" s="715">
        <f t="shared" si="13"/>
        <v>100</v>
      </c>
      <c r="V32" s="714" t="s">
        <v>17</v>
      </c>
      <c r="W32" s="715">
        <f t="shared" si="14"/>
        <v>100</v>
      </c>
      <c r="X32" s="1490"/>
      <c r="Y32" s="346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6"/>
      <c r="Q34" s="1487" t="str">
        <f t="shared" si="11"/>
        <v>建筑结构</v>
      </c>
      <c r="R34" s="714" t="s">
        <v>17</v>
      </c>
      <c r="S34" s="715">
        <f t="shared" si="12"/>
        <v>100</v>
      </c>
      <c r="T34" s="714" t="s">
        <v>17</v>
      </c>
      <c r="U34" s="715">
        <f t="shared" si="13"/>
        <v>100</v>
      </c>
      <c r="V34" s="714" t="s">
        <v>17</v>
      </c>
      <c r="W34" s="715">
        <f t="shared" si="14"/>
        <v>100</v>
      </c>
      <c r="X34" s="1490"/>
      <c r="Y34" s="346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6"/>
      <c r="Q35" s="1487" t="str">
        <f t="shared" si="11"/>
        <v>公共部分装修</v>
      </c>
      <c r="R35" s="714" t="s">
        <v>17</v>
      </c>
      <c r="S35" s="715">
        <f t="shared" si="12"/>
        <v>100</v>
      </c>
      <c r="T35" s="714" t="s">
        <v>17</v>
      </c>
      <c r="U35" s="715">
        <f t="shared" si="13"/>
        <v>100</v>
      </c>
      <c r="V35" s="714" t="s">
        <v>17</v>
      </c>
      <c r="W35" s="715">
        <f t="shared" si="14"/>
        <v>100</v>
      </c>
      <c r="X35" s="1490"/>
      <c r="Y35" s="346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6"/>
      <c r="Q36" s="1487" t="str">
        <f t="shared" si="11"/>
        <v>成新度</v>
      </c>
      <c r="R36" s="714" t="s">
        <v>17</v>
      </c>
      <c r="S36" s="715" t="e">
        <f t="shared" si="12"/>
        <v>#N/A</v>
      </c>
      <c r="T36" s="714" t="s">
        <v>17</v>
      </c>
      <c r="U36" s="715" t="e">
        <f t="shared" si="13"/>
        <v>#N/A</v>
      </c>
      <c r="V36" s="714" t="s">
        <v>17</v>
      </c>
      <c r="W36" s="715" t="e">
        <f t="shared" si="14"/>
        <v>#N/A</v>
      </c>
      <c r="X36" s="1490"/>
      <c r="Y36" s="346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6"/>
      <c r="Q37" s="1478"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6" t="s">
        <v>2145</v>
      </c>
      <c r="Q38" s="1487" t="str">
        <f t="shared" si="11"/>
        <v>业态</v>
      </c>
      <c r="R38" s="714" t="s">
        <v>17</v>
      </c>
      <c r="S38" s="715">
        <f t="shared" si="12"/>
        <v>100</v>
      </c>
      <c r="T38" s="714" t="s">
        <v>17</v>
      </c>
      <c r="U38" s="715">
        <f t="shared" si="13"/>
        <v>100</v>
      </c>
      <c r="V38" s="714" t="s">
        <v>17</v>
      </c>
      <c r="W38" s="715">
        <f t="shared" si="14"/>
        <v>100</v>
      </c>
      <c r="X38" s="1490"/>
      <c r="Y38" s="346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6"/>
      <c r="Q39" s="1487" t="str">
        <f t="shared" si="11"/>
        <v>层高</v>
      </c>
      <c r="R39" s="714" t="s">
        <v>17</v>
      </c>
      <c r="S39" s="715">
        <f t="shared" si="12"/>
        <v>100</v>
      </c>
      <c r="T39" s="714" t="s">
        <v>17</v>
      </c>
      <c r="U39" s="715">
        <f t="shared" si="13"/>
        <v>100</v>
      </c>
      <c r="V39" s="714" t="s">
        <v>17</v>
      </c>
      <c r="W39" s="715">
        <f t="shared" si="14"/>
        <v>100</v>
      </c>
      <c r="X39" s="1490"/>
      <c r="Y39" s="346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6"/>
      <c r="Q40" s="1487" t="str">
        <f t="shared" si="11"/>
        <v>单套建筑面积</v>
      </c>
      <c r="R40" s="714" t="s">
        <v>17</v>
      </c>
      <c r="S40" s="715">
        <f t="shared" si="12"/>
        <v>100</v>
      </c>
      <c r="T40" s="714" t="s">
        <v>17</v>
      </c>
      <c r="U40" s="715">
        <f t="shared" si="13"/>
        <v>100</v>
      </c>
      <c r="V40" s="714" t="s">
        <v>17</v>
      </c>
      <c r="W40" s="715">
        <f t="shared" si="14"/>
        <v>100</v>
      </c>
      <c r="X40" s="1490"/>
      <c r="Y40" s="346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6"/>
      <c r="Q42" s="1487" t="str">
        <f t="shared" si="11"/>
        <v>内部装修</v>
      </c>
      <c r="R42" s="714" t="s">
        <v>17</v>
      </c>
      <c r="S42" s="715">
        <f t="shared" si="12"/>
        <v>100</v>
      </c>
      <c r="T42" s="714" t="s">
        <v>17</v>
      </c>
      <c r="U42" s="715">
        <f t="shared" si="13"/>
        <v>100</v>
      </c>
      <c r="V42" s="714" t="s">
        <v>17</v>
      </c>
      <c r="W42" s="715">
        <f t="shared" si="14"/>
        <v>100</v>
      </c>
      <c r="X42" s="1490"/>
      <c r="Y42" s="346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6"/>
      <c r="Q43" s="1487" t="str">
        <f t="shared" si="11"/>
        <v>内部装修维护情况</v>
      </c>
      <c r="R43" s="714" t="s">
        <v>17</v>
      </c>
      <c r="S43" s="715">
        <f t="shared" si="12"/>
        <v>100</v>
      </c>
      <c r="T43" s="714" t="s">
        <v>17</v>
      </c>
      <c r="U43" s="715">
        <f t="shared" si="13"/>
        <v>100</v>
      </c>
      <c r="V43" s="714" t="s">
        <v>17</v>
      </c>
      <c r="W43" s="715">
        <f t="shared" si="14"/>
        <v>100</v>
      </c>
      <c r="X43" s="1490"/>
      <c r="Y43" s="346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6"/>
      <c r="Q44" s="1478">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6"/>
      <c r="Q45" s="1487">
        <f t="shared" si="11"/>
        <v>111</v>
      </c>
      <c r="R45" s="714" t="s">
        <v>17</v>
      </c>
      <c r="S45" s="715">
        <f t="shared" si="12"/>
        <v>100</v>
      </c>
      <c r="T45" s="714" t="s">
        <v>17</v>
      </c>
      <c r="U45" s="715">
        <f t="shared" si="13"/>
        <v>100</v>
      </c>
      <c r="V45" s="714" t="s">
        <v>17</v>
      </c>
      <c r="W45" s="715">
        <f t="shared" si="14"/>
        <v>100</v>
      </c>
      <c r="X45" s="1490"/>
      <c r="Y45" s="346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9934.4500000000007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6" t="s">
        <v>2226</v>
      </c>
      <c r="D4" s="3477"/>
      <c r="E4" s="3478" t="s">
        <v>2227</v>
      </c>
      <c r="F4" s="3479"/>
      <c r="G4" s="3476" t="s">
        <v>2228</v>
      </c>
      <c r="H4" s="3477"/>
      <c r="I4" s="3476" t="s">
        <v>2229</v>
      </c>
      <c r="J4" s="3477"/>
      <c r="K4" s="567" t="s">
        <v>2230</v>
      </c>
      <c r="L4" s="2894"/>
      <c r="M4" s="2895"/>
      <c r="N4" s="2895"/>
      <c r="O4" s="2895"/>
      <c r="P4" s="3510" t="s">
        <v>2231</v>
      </c>
      <c r="Q4" s="3511"/>
      <c r="R4" s="3514" t="s">
        <v>2227</v>
      </c>
      <c r="S4" s="3515"/>
      <c r="T4" s="3514" t="s">
        <v>2228</v>
      </c>
      <c r="U4" s="3515"/>
      <c r="V4" s="3516" t="s">
        <v>2229</v>
      </c>
      <c r="W4" s="3516"/>
      <c r="X4" s="2095"/>
      <c r="Y4" s="3514" t="s">
        <v>2231</v>
      </c>
      <c r="Z4" s="3515"/>
      <c r="AA4" s="3518" t="s">
        <v>2227</v>
      </c>
      <c r="AB4" s="3518" t="s">
        <v>2228</v>
      </c>
      <c r="AC4" s="3507" t="s">
        <v>2229</v>
      </c>
    </row>
    <row r="5" spans="1:29" ht="15">
      <c r="A5" s="364"/>
      <c r="B5" s="365"/>
      <c r="C5" s="3495" t="s">
        <v>2122</v>
      </c>
      <c r="D5" s="3496"/>
      <c r="E5" s="3502" t="s">
        <v>2123</v>
      </c>
      <c r="F5" s="3503"/>
      <c r="G5" s="3495" t="s">
        <v>2124</v>
      </c>
      <c r="H5" s="3496"/>
      <c r="I5" s="3495" t="s">
        <v>2125</v>
      </c>
      <c r="J5" s="3496"/>
      <c r="K5" s="567"/>
      <c r="L5" s="2894"/>
      <c r="M5" s="2895"/>
      <c r="N5" s="2895"/>
      <c r="O5" s="2895"/>
      <c r="P5" s="3512"/>
      <c r="Q5" s="3483"/>
      <c r="R5" s="3488"/>
      <c r="S5" s="3489"/>
      <c r="T5" s="3488"/>
      <c r="U5" s="3489"/>
      <c r="V5" s="3492"/>
      <c r="W5" s="3492"/>
      <c r="X5" s="1490"/>
      <c r="Y5" s="3488"/>
      <c r="Z5" s="3489"/>
      <c r="AA5" s="3474"/>
      <c r="AB5" s="3474"/>
      <c r="AC5" s="3508"/>
    </row>
    <row r="6" spans="1:29" ht="15.75" thickBot="1">
      <c r="A6" s="366"/>
      <c r="B6" s="367"/>
      <c r="C6" s="3493" t="s">
        <v>2126</v>
      </c>
      <c r="D6" s="3494"/>
      <c r="E6" s="3500" t="s">
        <v>2126</v>
      </c>
      <c r="F6" s="3501"/>
      <c r="G6" s="3493" t="s">
        <v>2126</v>
      </c>
      <c r="H6" s="3494"/>
      <c r="I6" s="3493" t="s">
        <v>2126</v>
      </c>
      <c r="J6" s="3494"/>
      <c r="K6" s="567" t="s">
        <v>2127</v>
      </c>
      <c r="L6" s="2894"/>
      <c r="M6" s="2895"/>
      <c r="N6" s="2895"/>
      <c r="O6" s="2895"/>
      <c r="P6" s="3513"/>
      <c r="Q6" s="3485"/>
      <c r="R6" s="3488"/>
      <c r="S6" s="3489"/>
      <c r="T6" s="3490"/>
      <c r="U6" s="3491"/>
      <c r="V6" s="3492"/>
      <c r="W6" s="3492"/>
      <c r="X6" s="1490"/>
      <c r="Y6" s="3490"/>
      <c r="Z6" s="3491"/>
      <c r="AA6" s="3475"/>
      <c r="AB6" s="3475"/>
      <c r="AC6" s="3509"/>
    </row>
    <row r="7" spans="1:29" s="113" customFormat="1" ht="15.75" thickBot="1">
      <c r="A7" s="368" t="s">
        <v>2128</v>
      </c>
      <c r="B7" s="369"/>
      <c r="C7" s="370">
        <f>'数据-取费表'!B2</f>
        <v>44872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7" t="s">
        <v>2132</v>
      </c>
      <c r="Q8" s="3498"/>
      <c r="R8" s="710" t="s">
        <v>17</v>
      </c>
      <c r="S8" s="711">
        <f t="shared" si="0"/>
        <v>0</v>
      </c>
      <c r="T8" s="710" t="s">
        <v>17</v>
      </c>
      <c r="U8" s="711">
        <f t="shared" si="1"/>
        <v>0</v>
      </c>
      <c r="V8" s="710" t="s">
        <v>17</v>
      </c>
      <c r="W8" s="711">
        <f t="shared" si="2"/>
        <v>0</v>
      </c>
      <c r="X8" s="712"/>
      <c r="Y8" s="3497" t="s">
        <v>2132</v>
      </c>
      <c r="Z8" s="3498"/>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0" t="s">
        <v>2140</v>
      </c>
      <c r="Q15" s="1487" t="str">
        <f t="shared" si="6"/>
        <v>办公集聚程度</v>
      </c>
      <c r="R15" s="714" t="s">
        <v>17</v>
      </c>
      <c r="S15" s="715">
        <f t="shared" si="0"/>
        <v>100</v>
      </c>
      <c r="T15" s="714" t="s">
        <v>17</v>
      </c>
      <c r="U15" s="715">
        <f t="shared" si="1"/>
        <v>100</v>
      </c>
      <c r="V15" s="714" t="s">
        <v>17</v>
      </c>
      <c r="W15" s="715">
        <f t="shared" si="2"/>
        <v>100</v>
      </c>
      <c r="X15" s="1490"/>
      <c r="Y15" s="346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1"/>
      <c r="Q16" s="1487"/>
      <c r="R16" s="714"/>
      <c r="S16" s="715"/>
      <c r="T16" s="714"/>
      <c r="U16" s="715"/>
      <c r="V16" s="714"/>
      <c r="W16" s="715"/>
      <c r="X16" s="1490"/>
      <c r="Y16" s="346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1"/>
      <c r="Q18" s="1487"/>
      <c r="R18" s="714"/>
      <c r="S18" s="715"/>
      <c r="T18" s="714"/>
      <c r="U18" s="715"/>
      <c r="V18" s="714"/>
      <c r="W18" s="715"/>
      <c r="X18" s="1490"/>
      <c r="Y18" s="346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1"/>
      <c r="Q20" s="1487"/>
      <c r="R20" s="714"/>
      <c r="S20" s="715"/>
      <c r="T20" s="714"/>
      <c r="U20" s="715"/>
      <c r="V20" s="714"/>
      <c r="W20" s="715"/>
      <c r="X20" s="1490"/>
      <c r="Y20" s="346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1"/>
      <c r="Q22" s="1487"/>
      <c r="R22" s="714"/>
      <c r="S22" s="715"/>
      <c r="T22" s="714"/>
      <c r="U22" s="715"/>
      <c r="V22" s="714"/>
      <c r="W22" s="715"/>
      <c r="X22" s="1490"/>
      <c r="Y22" s="346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1"/>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1"/>
      <c r="Q24" s="1487"/>
      <c r="R24" s="714"/>
      <c r="S24" s="715"/>
      <c r="T24" s="714"/>
      <c r="U24" s="715"/>
      <c r="V24" s="714"/>
      <c r="W24" s="715"/>
      <c r="X24" s="1490"/>
      <c r="Y24" s="346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1"/>
      <c r="Q25" s="1487" t="str">
        <f>B25</f>
        <v>毗邻道路的类型与等级</v>
      </c>
      <c r="R25" s="714" t="s">
        <v>17</v>
      </c>
      <c r="S25" s="715">
        <f>F25</f>
        <v>100</v>
      </c>
      <c r="T25" s="714" t="s">
        <v>17</v>
      </c>
      <c r="U25" s="715">
        <f>H25</f>
        <v>100</v>
      </c>
      <c r="V25" s="714" t="s">
        <v>17</v>
      </c>
      <c r="W25" s="715">
        <f>J25</f>
        <v>100</v>
      </c>
      <c r="X25" s="1490"/>
      <c r="Y25" s="346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1"/>
      <c r="Q26" s="1487"/>
      <c r="R26" s="714"/>
      <c r="S26" s="715"/>
      <c r="T26" s="714"/>
      <c r="U26" s="715"/>
      <c r="V26" s="714"/>
      <c r="W26" s="715"/>
      <c r="X26" s="1490"/>
      <c r="Y26" s="346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1"/>
      <c r="Q27" s="1487" t="str">
        <f t="shared" ref="Q27:Q47" si="11">B27</f>
        <v>楼层</v>
      </c>
      <c r="R27" s="714" t="s">
        <v>17</v>
      </c>
      <c r="S27" s="715">
        <f>F27</f>
        <v>100</v>
      </c>
      <c r="T27" s="714" t="s">
        <v>17</v>
      </c>
      <c r="U27" s="715">
        <f>H27</f>
        <v>100</v>
      </c>
      <c r="V27" s="714" t="s">
        <v>17</v>
      </c>
      <c r="W27" s="715">
        <f>J27</f>
        <v>100</v>
      </c>
      <c r="X27" s="1490"/>
      <c r="Y27" s="346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1"/>
      <c r="Q28" s="1478" t="str">
        <f t="shared" si="11"/>
        <v>朝向</v>
      </c>
      <c r="R28" s="710" t="s">
        <v>17</v>
      </c>
      <c r="S28" s="711">
        <f>F28</f>
        <v>100</v>
      </c>
      <c r="T28" s="710" t="s">
        <v>17</v>
      </c>
      <c r="U28" s="711">
        <f>H28</f>
        <v>100</v>
      </c>
      <c r="V28" s="710" t="s">
        <v>17</v>
      </c>
      <c r="W28" s="711">
        <f>J28</f>
        <v>100</v>
      </c>
      <c r="X28" s="712"/>
      <c r="Y28" s="346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1"/>
      <c r="Q29" s="1487">
        <f t="shared" si="11"/>
        <v>111</v>
      </c>
      <c r="R29" s="714" t="s">
        <v>17</v>
      </c>
      <c r="S29" s="715">
        <f t="shared" ref="S29:S47" si="12">F29</f>
        <v>100</v>
      </c>
      <c r="T29" s="714" t="s">
        <v>17</v>
      </c>
      <c r="U29" s="715">
        <f t="shared" ref="U29:U47" si="13">H29</f>
        <v>100</v>
      </c>
      <c r="V29" s="714" t="s">
        <v>17</v>
      </c>
      <c r="W29" s="715">
        <f t="shared" ref="W29:W47" si="14">J29</f>
        <v>100</v>
      </c>
      <c r="X29" s="1490"/>
      <c r="Y29" s="346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1"/>
      <c r="Q32" s="1487">
        <f t="shared" si="11"/>
        <v>111</v>
      </c>
      <c r="R32" s="714" t="s">
        <v>17</v>
      </c>
      <c r="S32" s="715">
        <f t="shared" si="12"/>
        <v>100</v>
      </c>
      <c r="T32" s="714" t="s">
        <v>17</v>
      </c>
      <c r="U32" s="715">
        <f t="shared" si="13"/>
        <v>100</v>
      </c>
      <c r="V32" s="714" t="s">
        <v>17</v>
      </c>
      <c r="W32" s="715">
        <f t="shared" si="14"/>
        <v>100</v>
      </c>
      <c r="X32" s="1490"/>
      <c r="Y32" s="346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5" t="s">
        <v>2145</v>
      </c>
      <c r="Q33" s="1487" t="str">
        <f t="shared" si="11"/>
        <v>建筑类型</v>
      </c>
      <c r="R33" s="714" t="s">
        <v>17</v>
      </c>
      <c r="S33" s="715">
        <f t="shared" si="12"/>
        <v>100</v>
      </c>
      <c r="T33" s="714" t="s">
        <v>17</v>
      </c>
      <c r="U33" s="715">
        <f t="shared" si="13"/>
        <v>100</v>
      </c>
      <c r="V33" s="714" t="s">
        <v>17</v>
      </c>
      <c r="W33" s="715">
        <f t="shared" si="14"/>
        <v>100</v>
      </c>
      <c r="X33" s="1490"/>
      <c r="Y33" s="346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6"/>
      <c r="Q35" s="1487" t="str">
        <f t="shared" si="11"/>
        <v>建筑结构</v>
      </c>
      <c r="R35" s="714" t="s">
        <v>17</v>
      </c>
      <c r="S35" s="715">
        <f t="shared" si="12"/>
        <v>100</v>
      </c>
      <c r="T35" s="714" t="s">
        <v>17</v>
      </c>
      <c r="U35" s="715">
        <f t="shared" si="13"/>
        <v>100</v>
      </c>
      <c r="V35" s="714" t="s">
        <v>17</v>
      </c>
      <c r="W35" s="715">
        <f t="shared" si="14"/>
        <v>100</v>
      </c>
      <c r="X35" s="1490"/>
      <c r="Y35" s="346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6"/>
      <c r="Q36" s="1487" t="str">
        <f t="shared" si="11"/>
        <v>公共部分装修</v>
      </c>
      <c r="R36" s="714" t="s">
        <v>17</v>
      </c>
      <c r="S36" s="715">
        <f t="shared" si="12"/>
        <v>100</v>
      </c>
      <c r="T36" s="714" t="s">
        <v>17</v>
      </c>
      <c r="U36" s="715">
        <f t="shared" si="13"/>
        <v>100</v>
      </c>
      <c r="V36" s="714" t="s">
        <v>17</v>
      </c>
      <c r="W36" s="715">
        <f t="shared" si="14"/>
        <v>100</v>
      </c>
      <c r="X36" s="1490"/>
      <c r="Y36" s="346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6"/>
      <c r="Q37" s="1487" t="str">
        <f t="shared" si="11"/>
        <v>成新度</v>
      </c>
      <c r="R37" s="714" t="s">
        <v>17</v>
      </c>
      <c r="S37" s="715" t="e">
        <f t="shared" si="12"/>
        <v>#N/A</v>
      </c>
      <c r="T37" s="714" t="s">
        <v>17</v>
      </c>
      <c r="U37" s="715" t="e">
        <f t="shared" si="13"/>
        <v>#N/A</v>
      </c>
      <c r="V37" s="714" t="s">
        <v>17</v>
      </c>
      <c r="W37" s="715" t="e">
        <f t="shared" si="14"/>
        <v>#N/A</v>
      </c>
      <c r="X37" s="1490"/>
      <c r="Y37" s="346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6"/>
      <c r="Q38" s="1478"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6" t="s">
        <v>2145</v>
      </c>
      <c r="Q39" s="1487" t="str">
        <f t="shared" si="11"/>
        <v>物业管理</v>
      </c>
      <c r="R39" s="714" t="s">
        <v>17</v>
      </c>
      <c r="S39" s="715">
        <f t="shared" si="12"/>
        <v>100</v>
      </c>
      <c r="T39" s="714" t="s">
        <v>17</v>
      </c>
      <c r="U39" s="715">
        <f t="shared" si="13"/>
        <v>100</v>
      </c>
      <c r="V39" s="714" t="s">
        <v>17</v>
      </c>
      <c r="W39" s="715">
        <f t="shared" si="14"/>
        <v>100</v>
      </c>
      <c r="X39" s="1490"/>
      <c r="Y39" s="346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6"/>
      <c r="Q40" s="1487" t="str">
        <f t="shared" si="11"/>
        <v>市政基础设施</v>
      </c>
      <c r="R40" s="714" t="s">
        <v>17</v>
      </c>
      <c r="S40" s="715">
        <f t="shared" si="12"/>
        <v>100</v>
      </c>
      <c r="T40" s="714" t="s">
        <v>17</v>
      </c>
      <c r="U40" s="715">
        <f t="shared" si="13"/>
        <v>100</v>
      </c>
      <c r="V40" s="714" t="s">
        <v>17</v>
      </c>
      <c r="W40" s="715">
        <f t="shared" si="14"/>
        <v>100</v>
      </c>
      <c r="X40" s="1490"/>
      <c r="Y40" s="346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6"/>
      <c r="Q41" s="1487" t="str">
        <f t="shared" si="11"/>
        <v>层高</v>
      </c>
      <c r="R41" s="714" t="s">
        <v>17</v>
      </c>
      <c r="S41" s="715">
        <f t="shared" si="12"/>
        <v>100</v>
      </c>
      <c r="T41" s="714" t="s">
        <v>17</v>
      </c>
      <c r="U41" s="715">
        <f t="shared" si="13"/>
        <v>100</v>
      </c>
      <c r="V41" s="714" t="s">
        <v>17</v>
      </c>
      <c r="W41" s="715">
        <f t="shared" si="14"/>
        <v>100</v>
      </c>
      <c r="X41" s="1490"/>
      <c r="Y41" s="346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6"/>
      <c r="Q43" s="1487" t="str">
        <f t="shared" si="11"/>
        <v>内部装修</v>
      </c>
      <c r="R43" s="714" t="s">
        <v>17</v>
      </c>
      <c r="S43" s="715">
        <f t="shared" si="12"/>
        <v>100</v>
      </c>
      <c r="T43" s="714" t="s">
        <v>17</v>
      </c>
      <c r="U43" s="715">
        <f t="shared" si="13"/>
        <v>100</v>
      </c>
      <c r="V43" s="714" t="s">
        <v>17</v>
      </c>
      <c r="W43" s="715">
        <f t="shared" si="14"/>
        <v>100</v>
      </c>
      <c r="X43" s="1490"/>
      <c r="Y43" s="346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6"/>
      <c r="Q44" s="1487" t="str">
        <f t="shared" si="11"/>
        <v>内部装修维护情况</v>
      </c>
      <c r="R44" s="714" t="s">
        <v>17</v>
      </c>
      <c r="S44" s="715">
        <f t="shared" si="12"/>
        <v>100</v>
      </c>
      <c r="T44" s="714" t="s">
        <v>17</v>
      </c>
      <c r="U44" s="715">
        <f t="shared" si="13"/>
        <v>100</v>
      </c>
      <c r="V44" s="714" t="s">
        <v>17</v>
      </c>
      <c r="W44" s="715">
        <f t="shared" si="14"/>
        <v>100</v>
      </c>
      <c r="X44" s="1490"/>
      <c r="Y44" s="346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6"/>
      <c r="Q45" s="1478">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7"/>
      <c r="Q47" s="1487">
        <f t="shared" si="11"/>
        <v>111</v>
      </c>
      <c r="R47" s="714" t="s">
        <v>17</v>
      </c>
      <c r="S47" s="715">
        <f t="shared" si="12"/>
        <v>100</v>
      </c>
      <c r="T47" s="714" t="s">
        <v>17</v>
      </c>
      <c r="U47" s="715">
        <f t="shared" si="13"/>
        <v>100</v>
      </c>
      <c r="V47" s="714" t="s">
        <v>17</v>
      </c>
      <c r="W47" s="715">
        <f t="shared" si="14"/>
        <v>100</v>
      </c>
      <c r="X47" s="1490"/>
      <c r="Y47" s="346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受贵公司委托，我公司对北京市大兴区兴华大街2号房地产抵押价值进行了预评估。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估价对象为北京市大兴区兴华大街2号房地产，为所有。根据《国有土地使用证》[]，估价对象（分摊）出让国有建设用地使用权面积为2392平方米，建筑面积为9934.45平方米。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估价对象为北京市大兴区兴华大街2号房地产,属开发建设的，该项目尚在开发建设中。根据《国有土地使用证》[]，估价对象（分摊）出让国有建设用地使用权面积为2392平方米，规划建筑面积为9934.45平方米。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80" sqref="Q8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9934.4500000000007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1025"/>
      <c r="M4" s="1026"/>
      <c r="N4" s="1026"/>
      <c r="O4" s="1026"/>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1025"/>
      <c r="M5" s="1026"/>
      <c r="N5" s="1026"/>
      <c r="O5" s="1026"/>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1025"/>
      <c r="M6" s="1026"/>
      <c r="N6" s="1026"/>
      <c r="O6" s="1026"/>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44872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4"/>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4"/>
      <c r="Q18" s="1487"/>
      <c r="R18" s="714"/>
      <c r="S18" s="715"/>
      <c r="T18" s="714"/>
      <c r="U18" s="715"/>
      <c r="V18" s="714"/>
      <c r="W18" s="715"/>
      <c r="X18" s="1490"/>
      <c r="Y18" s="346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4"/>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4"/>
      <c r="Q20" s="1487"/>
      <c r="R20" s="714"/>
      <c r="S20" s="715"/>
      <c r="T20" s="714"/>
      <c r="U20" s="715"/>
      <c r="V20" s="714"/>
      <c r="W20" s="715"/>
      <c r="X20" s="1490"/>
      <c r="Y20" s="346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4"/>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4"/>
      <c r="Q22" s="1487"/>
      <c r="R22" s="714"/>
      <c r="S22" s="715"/>
      <c r="T22" s="714"/>
      <c r="U22" s="715"/>
      <c r="V22" s="714"/>
      <c r="W22" s="715"/>
      <c r="X22" s="1490"/>
      <c r="Y22" s="346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4"/>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4"/>
      <c r="Q24" s="1487"/>
      <c r="R24" s="714"/>
      <c r="S24" s="715"/>
      <c r="T24" s="714"/>
      <c r="U24" s="715"/>
      <c r="V24" s="714"/>
      <c r="W24" s="715"/>
      <c r="X24" s="1490"/>
      <c r="Y24" s="346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4"/>
      <c r="Q25" s="1487">
        <f>B25</f>
        <v>111</v>
      </c>
      <c r="R25" s="714" t="s">
        <v>17</v>
      </c>
      <c r="S25" s="715">
        <f>F25</f>
        <v>100</v>
      </c>
      <c r="T25" s="714" t="s">
        <v>17</v>
      </c>
      <c r="U25" s="715">
        <f>H25</f>
        <v>100</v>
      </c>
      <c r="V25" s="714" t="s">
        <v>17</v>
      </c>
      <c r="W25" s="715">
        <f>J25</f>
        <v>100</v>
      </c>
      <c r="X25" s="1490"/>
      <c r="Y25" s="346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4"/>
      <c r="Q26" s="1487">
        <f t="shared" ref="Q26:Q40" si="11">B26</f>
        <v>111</v>
      </c>
      <c r="R26" s="714" t="s">
        <v>17</v>
      </c>
      <c r="S26" s="715">
        <f>F26</f>
        <v>100</v>
      </c>
      <c r="T26" s="714" t="s">
        <v>17</v>
      </c>
      <c r="U26" s="715">
        <f>H26</f>
        <v>100</v>
      </c>
      <c r="V26" s="714" t="s">
        <v>17</v>
      </c>
      <c r="W26" s="715">
        <f>J26</f>
        <v>100</v>
      </c>
      <c r="X26" s="1490"/>
      <c r="Y26" s="346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4"/>
      <c r="Q27" s="1478">
        <f t="shared" si="11"/>
        <v>111</v>
      </c>
      <c r="R27" s="710" t="s">
        <v>17</v>
      </c>
      <c r="S27" s="711">
        <f>F27</f>
        <v>100</v>
      </c>
      <c r="T27" s="710" t="s">
        <v>17</v>
      </c>
      <c r="U27" s="711">
        <f>H27</f>
        <v>100</v>
      </c>
      <c r="V27" s="710" t="s">
        <v>17</v>
      </c>
      <c r="W27" s="711">
        <f>J27</f>
        <v>100</v>
      </c>
      <c r="X27" s="712"/>
      <c r="Y27" s="346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4"/>
      <c r="Q28" s="1487">
        <f t="shared" si="11"/>
        <v>111</v>
      </c>
      <c r="R28" s="714" t="s">
        <v>17</v>
      </c>
      <c r="S28" s="715">
        <f t="shared" ref="S28:S40" si="12">F28</f>
        <v>100</v>
      </c>
      <c r="T28" s="714" t="s">
        <v>17</v>
      </c>
      <c r="U28" s="715">
        <f t="shared" ref="U28:U40" si="13">H28</f>
        <v>100</v>
      </c>
      <c r="V28" s="714" t="s">
        <v>17</v>
      </c>
      <c r="W28" s="715">
        <f t="shared" ref="W28:W40" si="14">J28</f>
        <v>100</v>
      </c>
      <c r="X28" s="1490"/>
      <c r="Y28" s="346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9" t="s">
        <v>2145</v>
      </c>
      <c r="Q29" s="1487" t="str">
        <f t="shared" si="11"/>
        <v>建筑类型</v>
      </c>
      <c r="R29" s="714" t="s">
        <v>17</v>
      </c>
      <c r="S29" s="715">
        <f t="shared" si="12"/>
        <v>100</v>
      </c>
      <c r="T29" s="714" t="s">
        <v>17</v>
      </c>
      <c r="U29" s="715">
        <f t="shared" si="13"/>
        <v>100</v>
      </c>
      <c r="V29" s="714" t="s">
        <v>17</v>
      </c>
      <c r="W29" s="715">
        <f t="shared" si="14"/>
        <v>100</v>
      </c>
      <c r="X29" s="1490"/>
      <c r="Y29" s="346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7" t="str">
        <f t="shared" si="11"/>
        <v>建筑结构</v>
      </c>
      <c r="R31" s="714" t="s">
        <v>17</v>
      </c>
      <c r="S31" s="715">
        <f t="shared" si="12"/>
        <v>100</v>
      </c>
      <c r="T31" s="714" t="s">
        <v>17</v>
      </c>
      <c r="U31" s="715">
        <f t="shared" si="13"/>
        <v>100</v>
      </c>
      <c r="V31" s="714" t="s">
        <v>17</v>
      </c>
      <c r="W31" s="715">
        <f t="shared" si="14"/>
        <v>100</v>
      </c>
      <c r="X31" s="1490"/>
      <c r="Y31" s="346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7" t="str">
        <f t="shared" si="11"/>
        <v>公共部分装修</v>
      </c>
      <c r="R32" s="714" t="s">
        <v>17</v>
      </c>
      <c r="S32" s="715">
        <f t="shared" si="12"/>
        <v>100</v>
      </c>
      <c r="T32" s="714" t="s">
        <v>17</v>
      </c>
      <c r="U32" s="715">
        <f t="shared" si="13"/>
        <v>100</v>
      </c>
      <c r="V32" s="714" t="s">
        <v>17</v>
      </c>
      <c r="W32" s="715">
        <f t="shared" si="14"/>
        <v>100</v>
      </c>
      <c r="X32" s="1490"/>
      <c r="Y32" s="346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7" t="str">
        <f t="shared" si="11"/>
        <v>成新度</v>
      </c>
      <c r="R33" s="714" t="s">
        <v>17</v>
      </c>
      <c r="S33" s="715" t="e">
        <f t="shared" si="12"/>
        <v>#N/A</v>
      </c>
      <c r="T33" s="714" t="s">
        <v>17</v>
      </c>
      <c r="U33" s="715" t="e">
        <f t="shared" si="13"/>
        <v>#N/A</v>
      </c>
      <c r="V33" s="714" t="s">
        <v>17</v>
      </c>
      <c r="W33" s="715" t="e">
        <f t="shared" si="14"/>
        <v>#N/A</v>
      </c>
      <c r="X33" s="1490"/>
      <c r="Y33" s="346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8"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2145</v>
      </c>
      <c r="Q35" s="1487" t="str">
        <f t="shared" si="11"/>
        <v>市政基础设施</v>
      </c>
      <c r="R35" s="714" t="s">
        <v>17</v>
      </c>
      <c r="S35" s="715">
        <f t="shared" si="12"/>
        <v>100</v>
      </c>
      <c r="T35" s="714" t="s">
        <v>17</v>
      </c>
      <c r="U35" s="715">
        <f t="shared" si="13"/>
        <v>100</v>
      </c>
      <c r="V35" s="714" t="s">
        <v>17</v>
      </c>
      <c r="W35" s="715">
        <f t="shared" si="14"/>
        <v>100</v>
      </c>
      <c r="X35" s="1490"/>
      <c r="Y35" s="346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7" t="str">
        <f t="shared" si="11"/>
        <v>内部装修</v>
      </c>
      <c r="R36" s="714" t="s">
        <v>17</v>
      </c>
      <c r="S36" s="715">
        <f t="shared" si="12"/>
        <v>100</v>
      </c>
      <c r="T36" s="714" t="s">
        <v>17</v>
      </c>
      <c r="U36" s="715">
        <f t="shared" si="13"/>
        <v>100</v>
      </c>
      <c r="V36" s="714" t="s">
        <v>17</v>
      </c>
      <c r="W36" s="715">
        <f t="shared" si="14"/>
        <v>100</v>
      </c>
      <c r="X36" s="1490"/>
      <c r="Y36" s="346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7" t="str">
        <f t="shared" si="11"/>
        <v>内部装修状况</v>
      </c>
      <c r="R37" s="714" t="s">
        <v>17</v>
      </c>
      <c r="S37" s="715">
        <f t="shared" si="12"/>
        <v>100</v>
      </c>
      <c r="T37" s="714" t="s">
        <v>17</v>
      </c>
      <c r="U37" s="715">
        <f t="shared" si="13"/>
        <v>100</v>
      </c>
      <c r="V37" s="714" t="s">
        <v>17</v>
      </c>
      <c r="W37" s="715">
        <f t="shared" si="14"/>
        <v>100</v>
      </c>
      <c r="X37" s="1490"/>
      <c r="Y37" s="346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7">
        <f t="shared" si="11"/>
        <v>111</v>
      </c>
      <c r="R39" s="714" t="s">
        <v>17</v>
      </c>
      <c r="S39" s="715">
        <f t="shared" si="12"/>
        <v>100</v>
      </c>
      <c r="T39" s="714" t="s">
        <v>17</v>
      </c>
      <c r="U39" s="715">
        <f t="shared" si="13"/>
        <v>100</v>
      </c>
      <c r="V39" s="714" t="s">
        <v>17</v>
      </c>
      <c r="W39" s="715">
        <f t="shared" si="14"/>
        <v>100</v>
      </c>
      <c r="X39" s="1490"/>
      <c r="Y39" s="346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9"/>
      <c r="Q40" s="1487">
        <f t="shared" si="11"/>
        <v>111</v>
      </c>
      <c r="R40" s="714" t="s">
        <v>17</v>
      </c>
      <c r="S40" s="715">
        <f t="shared" si="12"/>
        <v>100</v>
      </c>
      <c r="T40" s="714" t="s">
        <v>17</v>
      </c>
      <c r="U40" s="715">
        <f t="shared" si="13"/>
        <v>100</v>
      </c>
      <c r="V40" s="714" t="s">
        <v>17</v>
      </c>
      <c r="W40" s="715">
        <f t="shared" si="14"/>
        <v>100</v>
      </c>
      <c r="X40" s="1490"/>
      <c r="Y40" s="346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Q80" sqref="Q8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44872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4"/>
      <c r="Q15" s="1487"/>
      <c r="R15" s="714"/>
      <c r="S15" s="715"/>
      <c r="T15" s="714"/>
      <c r="U15" s="715"/>
      <c r="V15" s="714"/>
      <c r="W15" s="715"/>
      <c r="X15" s="1490"/>
      <c r="Y15" s="346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4"/>
      <c r="Q17" s="1487"/>
      <c r="R17" s="714"/>
      <c r="S17" s="715"/>
      <c r="T17" s="714"/>
      <c r="U17" s="715"/>
      <c r="V17" s="714"/>
      <c r="W17" s="715"/>
      <c r="X17" s="1490"/>
      <c r="Y17" s="346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4"/>
      <c r="Q19" s="1487"/>
      <c r="R19" s="714"/>
      <c r="S19" s="715"/>
      <c r="T19" s="714"/>
      <c r="U19" s="715"/>
      <c r="V19" s="714"/>
      <c r="W19" s="715"/>
      <c r="X19" s="1490"/>
      <c r="Y19" s="346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4"/>
      <c r="Q21" s="1487"/>
      <c r="R21" s="714"/>
      <c r="S21" s="715"/>
      <c r="T21" s="714"/>
      <c r="U21" s="715"/>
      <c r="V21" s="714"/>
      <c r="W21" s="715"/>
      <c r="X21" s="1490"/>
      <c r="Y21" s="346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4"/>
      <c r="Q24" s="1487">
        <f t="shared" ref="Q24:Q36"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8"/>
      <c r="Q28" s="1487" t="str">
        <f t="shared" si="11"/>
        <v>公共部分装修</v>
      </c>
      <c r="R28" s="714" t="s">
        <v>17</v>
      </c>
      <c r="S28" s="715">
        <f t="shared" si="12"/>
        <v>100</v>
      </c>
      <c r="T28" s="714" t="s">
        <v>17</v>
      </c>
      <c r="U28" s="715">
        <f t="shared" si="13"/>
        <v>100</v>
      </c>
      <c r="V28" s="714" t="s">
        <v>17</v>
      </c>
      <c r="W28" s="715">
        <f t="shared" si="14"/>
        <v>100</v>
      </c>
      <c r="X28" s="1490"/>
      <c r="Y28" s="346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8"/>
      <c r="Q29" s="1487" t="str">
        <f t="shared" si="11"/>
        <v>成新率</v>
      </c>
      <c r="R29" s="714" t="s">
        <v>17</v>
      </c>
      <c r="S29" s="715" t="e">
        <f t="shared" si="12"/>
        <v>#N/A</v>
      </c>
      <c r="T29" s="714" t="s">
        <v>17</v>
      </c>
      <c r="U29" s="715" t="e">
        <f t="shared" si="13"/>
        <v>#N/A</v>
      </c>
      <c r="V29" s="714" t="s">
        <v>17</v>
      </c>
      <c r="W29" s="715" t="e">
        <f t="shared" si="14"/>
        <v>#N/A</v>
      </c>
      <c r="X29" s="1490"/>
      <c r="Y29" s="346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8"/>
      <c r="Q30" s="1487" t="str">
        <f t="shared" si="11"/>
        <v>物业等级</v>
      </c>
      <c r="R30" s="714" t="s">
        <v>17</v>
      </c>
      <c r="S30" s="715">
        <f t="shared" si="12"/>
        <v>100</v>
      </c>
      <c r="T30" s="714" t="s">
        <v>17</v>
      </c>
      <c r="U30" s="715">
        <f t="shared" si="13"/>
        <v>100</v>
      </c>
      <c r="V30" s="714" t="s">
        <v>17</v>
      </c>
      <c r="W30" s="715">
        <f t="shared" si="14"/>
        <v>100</v>
      </c>
      <c r="X30" s="1490"/>
      <c r="Y30" s="346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8"/>
      <c r="Q31" s="1478"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8" t="s">
        <v>2145</v>
      </c>
      <c r="Q32" s="1487" t="str">
        <f t="shared" si="11"/>
        <v>车位类型</v>
      </c>
      <c r="R32" s="714" t="s">
        <v>17</v>
      </c>
      <c r="S32" s="715">
        <f t="shared" si="12"/>
        <v>100</v>
      </c>
      <c r="T32" s="714" t="s">
        <v>17</v>
      </c>
      <c r="U32" s="715">
        <f t="shared" si="13"/>
        <v>100</v>
      </c>
      <c r="V32" s="714" t="s">
        <v>17</v>
      </c>
      <c r="W32" s="715">
        <f t="shared" si="14"/>
        <v>100</v>
      </c>
      <c r="X32" s="1490"/>
      <c r="Y32" s="346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8"/>
      <c r="Q33" s="1487" t="str">
        <f t="shared" si="11"/>
        <v>是否直接入户</v>
      </c>
      <c r="R33" s="714" t="s">
        <v>17</v>
      </c>
      <c r="S33" s="715">
        <f t="shared" si="12"/>
        <v>100</v>
      </c>
      <c r="T33" s="714" t="s">
        <v>17</v>
      </c>
      <c r="U33" s="715">
        <f t="shared" si="13"/>
        <v>100</v>
      </c>
      <c r="V33" s="714" t="s">
        <v>17</v>
      </c>
      <c r="W33" s="715">
        <f t="shared" si="14"/>
        <v>100</v>
      </c>
      <c r="X33" s="1490"/>
      <c r="Y33" s="346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8"/>
      <c r="Q36" s="1487">
        <f t="shared" si="11"/>
        <v>111</v>
      </c>
      <c r="R36" s="714" t="s">
        <v>17</v>
      </c>
      <c r="S36" s="715">
        <f t="shared" si="12"/>
        <v>100</v>
      </c>
      <c r="T36" s="714" t="s">
        <v>17</v>
      </c>
      <c r="U36" s="715">
        <f t="shared" si="13"/>
        <v>100</v>
      </c>
      <c r="V36" s="714" t="s">
        <v>17</v>
      </c>
      <c r="W36" s="715">
        <f t="shared" si="14"/>
        <v>100</v>
      </c>
      <c r="X36" s="1490"/>
      <c r="Y36" s="346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44872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4"/>
      <c r="Q15" s="1487"/>
      <c r="R15" s="714"/>
      <c r="S15" s="715"/>
      <c r="T15" s="714"/>
      <c r="U15" s="715"/>
      <c r="V15" s="714"/>
      <c r="W15" s="715"/>
      <c r="X15" s="1490"/>
      <c r="Y15" s="346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4"/>
      <c r="Q17" s="1487"/>
      <c r="R17" s="714"/>
      <c r="S17" s="715"/>
      <c r="T17" s="714"/>
      <c r="U17" s="715"/>
      <c r="V17" s="714"/>
      <c r="W17" s="715"/>
      <c r="X17" s="1490"/>
      <c r="Y17" s="346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4"/>
      <c r="Q19" s="1487"/>
      <c r="R19" s="714"/>
      <c r="S19" s="715"/>
      <c r="T19" s="714"/>
      <c r="U19" s="715"/>
      <c r="V19" s="714"/>
      <c r="W19" s="715"/>
      <c r="X19" s="1490"/>
      <c r="Y19" s="346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4"/>
      <c r="Q21" s="1487"/>
      <c r="R21" s="714"/>
      <c r="S21" s="715"/>
      <c r="T21" s="714"/>
      <c r="U21" s="715"/>
      <c r="V21" s="714"/>
      <c r="W21" s="715"/>
      <c r="X21" s="1490"/>
      <c r="Y21" s="346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4"/>
      <c r="Q24" s="1487">
        <f t="shared" ref="Q24:Q34"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8"/>
      <c r="Q28" s="1487" t="str">
        <f t="shared" si="11"/>
        <v>物业等级</v>
      </c>
      <c r="R28" s="714" t="s">
        <v>17</v>
      </c>
      <c r="S28" s="715">
        <f t="shared" si="12"/>
        <v>100</v>
      </c>
      <c r="T28" s="714" t="s">
        <v>17</v>
      </c>
      <c r="U28" s="715">
        <f t="shared" si="13"/>
        <v>100</v>
      </c>
      <c r="V28" s="714" t="s">
        <v>17</v>
      </c>
      <c r="W28" s="715">
        <f t="shared" si="14"/>
        <v>100</v>
      </c>
      <c r="X28" s="1490"/>
      <c r="Y28" s="346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8"/>
      <c r="Q29" s="1487" t="str">
        <f t="shared" si="11"/>
        <v>有无电梯</v>
      </c>
      <c r="R29" s="714" t="s">
        <v>17</v>
      </c>
      <c r="S29" s="715">
        <f t="shared" si="12"/>
        <v>100</v>
      </c>
      <c r="T29" s="714" t="s">
        <v>17</v>
      </c>
      <c r="U29" s="715">
        <f t="shared" si="13"/>
        <v>100</v>
      </c>
      <c r="V29" s="714" t="s">
        <v>17</v>
      </c>
      <c r="W29" s="715">
        <f t="shared" si="14"/>
        <v>100</v>
      </c>
      <c r="X29" s="1490"/>
      <c r="Y29" s="346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8"/>
      <c r="Q30" s="1487" t="str">
        <f t="shared" si="11"/>
        <v>建筑面积</v>
      </c>
      <c r="R30" s="714" t="s">
        <v>17</v>
      </c>
      <c r="S30" s="715" t="e">
        <f t="shared" si="12"/>
        <v>#N/A</v>
      </c>
      <c r="T30" s="714" t="s">
        <v>17</v>
      </c>
      <c r="U30" s="715" t="e">
        <f t="shared" si="13"/>
        <v>#N/A</v>
      </c>
      <c r="V30" s="714" t="s">
        <v>17</v>
      </c>
      <c r="W30" s="715" t="e">
        <f t="shared" si="14"/>
        <v>#N/A</v>
      </c>
      <c r="X30" s="1490"/>
      <c r="Y30" s="346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8"/>
      <c r="Q31" s="1478"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8" t="s">
        <v>2145</v>
      </c>
      <c r="Q32" s="1487">
        <f t="shared" si="11"/>
        <v>111</v>
      </c>
      <c r="R32" s="714" t="s">
        <v>17</v>
      </c>
      <c r="S32" s="715">
        <f t="shared" si="12"/>
        <v>100</v>
      </c>
      <c r="T32" s="714" t="s">
        <v>17</v>
      </c>
      <c r="U32" s="715">
        <f t="shared" si="13"/>
        <v>100</v>
      </c>
      <c r="V32" s="714" t="s">
        <v>17</v>
      </c>
      <c r="W32" s="715">
        <f t="shared" si="14"/>
        <v>100</v>
      </c>
      <c r="X32" s="1490"/>
      <c r="Y32" s="346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8"/>
      <c r="Q33" s="1487">
        <f t="shared" si="11"/>
        <v>111</v>
      </c>
      <c r="R33" s="714" t="s">
        <v>17</v>
      </c>
      <c r="S33" s="715">
        <f t="shared" si="12"/>
        <v>100</v>
      </c>
      <c r="T33" s="714" t="s">
        <v>17</v>
      </c>
      <c r="U33" s="715">
        <f t="shared" si="13"/>
        <v>100</v>
      </c>
      <c r="V33" s="714" t="s">
        <v>17</v>
      </c>
      <c r="W33" s="715">
        <f t="shared" si="14"/>
        <v>100</v>
      </c>
      <c r="X33" s="1490"/>
      <c r="Y33" s="346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30" ht="15">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30" ht="15.7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30" s="113" customFormat="1" ht="15.75" thickBot="1">
      <c r="A7" s="368" t="s">
        <v>2128</v>
      </c>
      <c r="B7" s="369"/>
      <c r="C7" s="370">
        <f>'数据-取费表'!B2</f>
        <v>44872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186</v>
      </c>
      <c r="G10" s="422"/>
      <c r="H10" s="132">
        <f>ROUND(100/'数据-取费表'!G16,0)</f>
        <v>186</v>
      </c>
      <c r="I10" s="422"/>
      <c r="J10" s="132">
        <f>ROUND(100/'数据-取费表'!G16,0)</f>
        <v>186</v>
      </c>
      <c r="K10" s="628"/>
      <c r="L10" s="2898"/>
      <c r="M10" s="2899"/>
      <c r="N10" s="2899"/>
      <c r="O10" s="2952"/>
      <c r="P10" s="3461"/>
      <c r="Q10" s="1478" t="str">
        <f t="shared" si="6"/>
        <v>土地使用年限（年）</v>
      </c>
      <c r="R10" s="710" t="s">
        <v>17</v>
      </c>
      <c r="S10" s="711">
        <f t="shared" si="0"/>
        <v>186</v>
      </c>
      <c r="T10" s="710" t="s">
        <v>17</v>
      </c>
      <c r="U10" s="711">
        <f t="shared" si="1"/>
        <v>186</v>
      </c>
      <c r="V10" s="710" t="s">
        <v>17</v>
      </c>
      <c r="W10" s="711">
        <f t="shared" si="2"/>
        <v>186</v>
      </c>
      <c r="X10" s="712"/>
      <c r="Y10" s="3333"/>
      <c r="Z10" s="55" t="str">
        <f t="shared" si="7"/>
        <v>土地使用年限（年）</v>
      </c>
      <c r="AA10" s="713">
        <f t="shared" si="3"/>
        <v>0.5376344086021505</v>
      </c>
      <c r="AB10" s="713">
        <f t="shared" si="4"/>
        <v>0.5376344086021505</v>
      </c>
      <c r="AC10" s="713">
        <f t="shared" si="5"/>
        <v>0.5376344086021505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1"/>
      <c r="Q12" s="1478" t="str">
        <f t="shared" si="6"/>
        <v>配建</v>
      </c>
      <c r="R12" s="710" t="s">
        <v>17</v>
      </c>
      <c r="S12" s="711">
        <f t="shared" si="0"/>
        <v>100</v>
      </c>
      <c r="T12" s="710" t="s">
        <v>17</v>
      </c>
      <c r="U12" s="711">
        <f t="shared" si="1"/>
        <v>100</v>
      </c>
      <c r="V12" s="710" t="s">
        <v>17</v>
      </c>
      <c r="W12" s="711">
        <f t="shared" si="2"/>
        <v>100</v>
      </c>
      <c r="X12" s="712"/>
      <c r="Y12" s="33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3" t="s">
        <v>2140</v>
      </c>
      <c r="Q15" s="1487" t="str">
        <f t="shared" si="6"/>
        <v>居住社区成熟度</v>
      </c>
      <c r="R15" s="714" t="s">
        <v>17</v>
      </c>
      <c r="S15" s="715">
        <f t="shared" si="0"/>
        <v>100</v>
      </c>
      <c r="T15" s="714" t="s">
        <v>17</v>
      </c>
      <c r="U15" s="715">
        <f t="shared" si="1"/>
        <v>100</v>
      </c>
      <c r="V15" s="714" t="s">
        <v>17</v>
      </c>
      <c r="W15" s="715">
        <f t="shared" si="2"/>
        <v>100</v>
      </c>
      <c r="X15" s="1490"/>
      <c r="Y15" s="346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4"/>
      <c r="Q16" s="1487"/>
      <c r="R16" s="714"/>
      <c r="S16" s="715"/>
      <c r="T16" s="714"/>
      <c r="U16" s="715"/>
      <c r="V16" s="714"/>
      <c r="W16" s="715"/>
      <c r="X16" s="1490"/>
      <c r="Y16" s="346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4"/>
      <c r="Q17" s="1487" t="str">
        <f>B17</f>
        <v>商业繁华度</v>
      </c>
      <c r="R17" s="714" t="s">
        <v>17</v>
      </c>
      <c r="S17" s="715">
        <f>F17</f>
        <v>100</v>
      </c>
      <c r="T17" s="714" t="s">
        <v>17</v>
      </c>
      <c r="U17" s="715">
        <f>H17</f>
        <v>100</v>
      </c>
      <c r="V17" s="714" t="s">
        <v>17</v>
      </c>
      <c r="W17" s="715">
        <f>J17</f>
        <v>100</v>
      </c>
      <c r="X17" s="1490"/>
      <c r="Y17" s="346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4"/>
      <c r="Q18" s="1487"/>
      <c r="R18" s="714"/>
      <c r="S18" s="715"/>
      <c r="T18" s="714"/>
      <c r="U18" s="715"/>
      <c r="V18" s="714"/>
      <c r="W18" s="715"/>
      <c r="X18" s="1490"/>
      <c r="Y18" s="346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4"/>
      <c r="Q19" s="1487" t="str">
        <f>B19</f>
        <v>办公集聚程度</v>
      </c>
      <c r="R19" s="714" t="s">
        <v>17</v>
      </c>
      <c r="S19" s="715">
        <f>F19</f>
        <v>100</v>
      </c>
      <c r="T19" s="714" t="s">
        <v>17</v>
      </c>
      <c r="U19" s="715">
        <f>H19</f>
        <v>100</v>
      </c>
      <c r="V19" s="714" t="s">
        <v>17</v>
      </c>
      <c r="W19" s="715">
        <f>J19</f>
        <v>100</v>
      </c>
      <c r="X19" s="1490"/>
      <c r="Y19" s="346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4"/>
      <c r="Q20" s="1487"/>
      <c r="R20" s="714"/>
      <c r="S20" s="715"/>
      <c r="T20" s="714"/>
      <c r="U20" s="715"/>
      <c r="V20" s="714"/>
      <c r="W20" s="715"/>
      <c r="X20" s="1490"/>
      <c r="Y20" s="346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4"/>
      <c r="Q21" s="1487" t="str">
        <f>B21</f>
        <v>交通便捷度</v>
      </c>
      <c r="R21" s="714" t="s">
        <v>17</v>
      </c>
      <c r="S21" s="715">
        <f>F21</f>
        <v>100</v>
      </c>
      <c r="T21" s="714" t="s">
        <v>17</v>
      </c>
      <c r="U21" s="715">
        <f>H21</f>
        <v>100</v>
      </c>
      <c r="V21" s="714" t="s">
        <v>17</v>
      </c>
      <c r="W21" s="715">
        <f>J21</f>
        <v>100</v>
      </c>
      <c r="X21" s="1490"/>
      <c r="Y21" s="346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4"/>
      <c r="Q22" s="1487"/>
      <c r="R22" s="714"/>
      <c r="S22" s="715"/>
      <c r="T22" s="714"/>
      <c r="U22" s="715"/>
      <c r="V22" s="714"/>
      <c r="W22" s="715"/>
      <c r="X22" s="1490"/>
      <c r="Y22" s="346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4"/>
      <c r="Q23" s="1487" t="str">
        <f t="shared" ref="Q23:Q37" si="8">B23</f>
        <v>区域土地利用方向</v>
      </c>
      <c r="R23" s="714" t="s">
        <v>17</v>
      </c>
      <c r="S23" s="715">
        <f>F23</f>
        <v>100</v>
      </c>
      <c r="T23" s="714" t="s">
        <v>17</v>
      </c>
      <c r="U23" s="715">
        <f>H23</f>
        <v>100</v>
      </c>
      <c r="V23" s="714" t="s">
        <v>17</v>
      </c>
      <c r="W23" s="715">
        <f>J23</f>
        <v>100</v>
      </c>
      <c r="X23" s="1490"/>
      <c r="Y23" s="346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4"/>
      <c r="Q24" s="1487"/>
      <c r="R24" s="714"/>
      <c r="S24" s="715"/>
      <c r="T24" s="714"/>
      <c r="U24" s="715"/>
      <c r="V24" s="714"/>
      <c r="W24" s="715"/>
      <c r="X24" s="1490"/>
      <c r="Y24" s="346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4"/>
      <c r="Q25" s="1487" t="str">
        <f t="shared" si="8"/>
        <v>自然及人文环境状况</v>
      </c>
      <c r="R25" s="714" t="s">
        <v>17</v>
      </c>
      <c r="S25" s="715">
        <f>F25</f>
        <v>100</v>
      </c>
      <c r="T25" s="714" t="s">
        <v>17</v>
      </c>
      <c r="U25" s="715">
        <f>H25</f>
        <v>100</v>
      </c>
      <c r="V25" s="714" t="s">
        <v>17</v>
      </c>
      <c r="W25" s="715">
        <f>J25</f>
        <v>100</v>
      </c>
      <c r="X25" s="1490"/>
      <c r="Y25" s="346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4"/>
      <c r="Q26" s="1487"/>
      <c r="R26" s="714"/>
      <c r="S26" s="715"/>
      <c r="T26" s="714"/>
      <c r="U26" s="715"/>
      <c r="V26" s="714"/>
      <c r="W26" s="715"/>
      <c r="X26" s="1490"/>
      <c r="Y26" s="346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4"/>
      <c r="Q27" s="1478" t="str">
        <f t="shared" si="8"/>
        <v>公共配套设施</v>
      </c>
      <c r="R27" s="710" t="s">
        <v>17</v>
      </c>
      <c r="S27" s="711">
        <f>F27</f>
        <v>100</v>
      </c>
      <c r="T27" s="710" t="s">
        <v>17</v>
      </c>
      <c r="U27" s="711">
        <f>H27</f>
        <v>100</v>
      </c>
      <c r="V27" s="710" t="s">
        <v>17</v>
      </c>
      <c r="W27" s="711">
        <f>J27</f>
        <v>100</v>
      </c>
      <c r="X27" s="712"/>
      <c r="Y27" s="346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4"/>
      <c r="Q28" s="1478"/>
      <c r="R28" s="710"/>
      <c r="S28" s="711"/>
      <c r="T28" s="710"/>
      <c r="U28" s="711"/>
      <c r="V28" s="710"/>
      <c r="W28" s="711"/>
      <c r="X28" s="712"/>
      <c r="Y28" s="346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4"/>
      <c r="Q29" s="1478" t="str">
        <f t="shared" ref="Q29" si="9">B29</f>
        <v>基础设施水平</v>
      </c>
      <c r="R29" s="710" t="s">
        <v>17</v>
      </c>
      <c r="S29" s="711">
        <f>F29</f>
        <v>100</v>
      </c>
      <c r="T29" s="710" t="s">
        <v>17</v>
      </c>
      <c r="U29" s="711">
        <f>H29</f>
        <v>100</v>
      </c>
      <c r="V29" s="710" t="s">
        <v>17</v>
      </c>
      <c r="W29" s="711">
        <f>J29</f>
        <v>100</v>
      </c>
      <c r="X29" s="712"/>
      <c r="Y29" s="346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4"/>
      <c r="Q30" s="1478"/>
      <c r="R30" s="710"/>
      <c r="S30" s="711"/>
      <c r="T30" s="710"/>
      <c r="U30" s="711"/>
      <c r="V30" s="710"/>
      <c r="W30" s="711"/>
      <c r="X30" s="712"/>
      <c r="Y30" s="346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4"/>
      <c r="Q32" s="1487" t="str">
        <f t="shared" si="8"/>
        <v>毗邻道路的类型与等级</v>
      </c>
      <c r="R32" s="714" t="s">
        <v>17</v>
      </c>
      <c r="S32" s="715">
        <f t="shared" si="10"/>
        <v>100</v>
      </c>
      <c r="T32" s="714" t="s">
        <v>17</v>
      </c>
      <c r="U32" s="715">
        <f t="shared" si="11"/>
        <v>100</v>
      </c>
      <c r="V32" s="714" t="s">
        <v>17</v>
      </c>
      <c r="W32" s="715">
        <f t="shared" si="12"/>
        <v>100</v>
      </c>
      <c r="X32" s="1490"/>
      <c r="Y32" s="346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4"/>
      <c r="Q33" s="1487"/>
      <c r="R33" s="714"/>
      <c r="S33" s="715"/>
      <c r="T33" s="714"/>
      <c r="U33" s="715"/>
      <c r="V33" s="714"/>
      <c r="W33" s="715"/>
      <c r="X33" s="1490"/>
      <c r="Y33" s="346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4"/>
      <c r="Q34" s="1487" t="str">
        <f t="shared" si="8"/>
        <v>土地级别</v>
      </c>
      <c r="R34" s="714" t="s">
        <v>17</v>
      </c>
      <c r="S34" s="715">
        <f t="shared" si="10"/>
        <v>100</v>
      </c>
      <c r="T34" s="714" t="s">
        <v>17</v>
      </c>
      <c r="U34" s="715">
        <f t="shared" si="11"/>
        <v>100</v>
      </c>
      <c r="V34" s="714" t="s">
        <v>17</v>
      </c>
      <c r="W34" s="715">
        <f t="shared" si="12"/>
        <v>100</v>
      </c>
      <c r="X34" s="1490"/>
      <c r="Y34" s="346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4"/>
      <c r="Q35" s="1487">
        <f t="shared" si="8"/>
        <v>111</v>
      </c>
      <c r="R35" s="714" t="s">
        <v>17</v>
      </c>
      <c r="S35" s="715">
        <f t="shared" si="10"/>
        <v>100</v>
      </c>
      <c r="T35" s="714" t="s">
        <v>17</v>
      </c>
      <c r="U35" s="715">
        <f t="shared" si="11"/>
        <v>100</v>
      </c>
      <c r="V35" s="714" t="s">
        <v>17</v>
      </c>
      <c r="W35" s="715">
        <f t="shared" si="12"/>
        <v>100</v>
      </c>
      <c r="X35" s="1490"/>
      <c r="Y35" s="346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9" t="s">
        <v>2145</v>
      </c>
      <c r="Q36" s="1487">
        <f t="shared" si="8"/>
        <v>111</v>
      </c>
      <c r="R36" s="714" t="s">
        <v>17</v>
      </c>
      <c r="S36" s="715">
        <f t="shared" si="10"/>
        <v>100</v>
      </c>
      <c r="T36" s="714" t="s">
        <v>17</v>
      </c>
      <c r="U36" s="715">
        <f t="shared" si="11"/>
        <v>100</v>
      </c>
      <c r="V36" s="714" t="s">
        <v>17</v>
      </c>
      <c r="W36" s="715">
        <f t="shared" si="12"/>
        <v>100</v>
      </c>
      <c r="X36" s="1490"/>
      <c r="Y36" s="346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8"/>
      <c r="Q37" s="1487">
        <f t="shared" si="8"/>
        <v>111</v>
      </c>
      <c r="R37" s="717" t="s">
        <v>17</v>
      </c>
      <c r="S37" s="718">
        <f t="shared" si="10"/>
        <v>100</v>
      </c>
      <c r="T37" s="717" t="s">
        <v>17</v>
      </c>
      <c r="U37" s="718">
        <f t="shared" si="11"/>
        <v>100</v>
      </c>
      <c r="V37" s="717" t="s">
        <v>17</v>
      </c>
      <c r="W37" s="718">
        <f t="shared" si="12"/>
        <v>100</v>
      </c>
      <c r="X37" s="719"/>
      <c r="Y37" s="346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8"/>
      <c r="Q38" s="1487" t="str">
        <f>B38</f>
        <v>宗地面积</v>
      </c>
      <c r="R38" s="714" t="s">
        <v>17</v>
      </c>
      <c r="S38" s="715" t="e">
        <f t="shared" si="10"/>
        <v>#N/A</v>
      </c>
      <c r="T38" s="714" t="s">
        <v>17</v>
      </c>
      <c r="U38" s="715" t="e">
        <f t="shared" si="11"/>
        <v>#N/A</v>
      </c>
      <c r="V38" s="714" t="s">
        <v>17</v>
      </c>
      <c r="W38" s="715" t="e">
        <f t="shared" si="12"/>
        <v>#N/A</v>
      </c>
      <c r="X38" s="1490"/>
      <c r="Y38" s="346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8"/>
      <c r="Q39" s="1487" t="str">
        <f t="shared" ref="Q39:Q45" si="14">B39</f>
        <v>宗地形状</v>
      </c>
      <c r="R39" s="714" t="s">
        <v>17</v>
      </c>
      <c r="S39" s="715">
        <f t="shared" si="10"/>
        <v>100</v>
      </c>
      <c r="T39" s="714" t="s">
        <v>17</v>
      </c>
      <c r="U39" s="715">
        <f t="shared" si="11"/>
        <v>100</v>
      </c>
      <c r="V39" s="714" t="s">
        <v>17</v>
      </c>
      <c r="W39" s="715">
        <f t="shared" si="12"/>
        <v>100</v>
      </c>
      <c r="X39" s="1490"/>
      <c r="Y39" s="346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8"/>
      <c r="Q40" s="1487" t="str">
        <f t="shared" si="14"/>
        <v>临街宽度及深度</v>
      </c>
      <c r="R40" s="714" t="s">
        <v>17</v>
      </c>
      <c r="S40" s="715">
        <f t="shared" si="10"/>
        <v>100</v>
      </c>
      <c r="T40" s="714" t="s">
        <v>17</v>
      </c>
      <c r="U40" s="715">
        <f t="shared" si="11"/>
        <v>100</v>
      </c>
      <c r="V40" s="714" t="s">
        <v>17</v>
      </c>
      <c r="W40" s="715">
        <f t="shared" si="12"/>
        <v>100</v>
      </c>
      <c r="X40" s="1490"/>
      <c r="Y40" s="346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8"/>
      <c r="Q41" s="1487"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8" t="s">
        <v>2145</v>
      </c>
      <c r="Q42" s="1487" t="str">
        <f t="shared" si="14"/>
        <v>工程地质条件</v>
      </c>
      <c r="R42" s="714" t="s">
        <v>17</v>
      </c>
      <c r="S42" s="715">
        <f t="shared" si="10"/>
        <v>100</v>
      </c>
      <c r="T42" s="714" t="s">
        <v>17</v>
      </c>
      <c r="U42" s="715">
        <f t="shared" si="11"/>
        <v>100</v>
      </c>
      <c r="V42" s="714" t="s">
        <v>17</v>
      </c>
      <c r="W42" s="715">
        <f t="shared" si="12"/>
        <v>100</v>
      </c>
      <c r="X42" s="1490"/>
      <c r="Y42" s="346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8"/>
      <c r="Q43" s="1487">
        <f t="shared" si="14"/>
        <v>111</v>
      </c>
      <c r="R43" s="714" t="s">
        <v>17</v>
      </c>
      <c r="S43" s="715">
        <f t="shared" si="10"/>
        <v>100</v>
      </c>
      <c r="T43" s="714" t="s">
        <v>17</v>
      </c>
      <c r="U43" s="715">
        <f t="shared" si="11"/>
        <v>100</v>
      </c>
      <c r="V43" s="714" t="s">
        <v>17</v>
      </c>
      <c r="W43" s="715">
        <f t="shared" si="12"/>
        <v>100</v>
      </c>
      <c r="X43" s="1490"/>
      <c r="Y43" s="346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8"/>
      <c r="Q44" s="1487">
        <f t="shared" si="14"/>
        <v>111</v>
      </c>
      <c r="R44" s="714" t="s">
        <v>17</v>
      </c>
      <c r="S44" s="715">
        <f t="shared" si="10"/>
        <v>100</v>
      </c>
      <c r="T44" s="714" t="s">
        <v>17</v>
      </c>
      <c r="U44" s="715">
        <f t="shared" si="11"/>
        <v>100</v>
      </c>
      <c r="V44" s="714" t="s">
        <v>17</v>
      </c>
      <c r="W44" s="715">
        <f t="shared" si="12"/>
        <v>100</v>
      </c>
      <c r="X44" s="1490"/>
      <c r="Y44" s="346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8"/>
      <c r="Q45" s="1487">
        <f t="shared" si="14"/>
        <v>111</v>
      </c>
      <c r="R45" s="717" t="s">
        <v>17</v>
      </c>
      <c r="S45" s="718">
        <f t="shared" si="10"/>
        <v>100</v>
      </c>
      <c r="T45" s="717" t="s">
        <v>17</v>
      </c>
      <c r="U45" s="718">
        <f t="shared" si="11"/>
        <v>100</v>
      </c>
      <c r="V45" s="717" t="s">
        <v>17</v>
      </c>
      <c r="W45" s="718">
        <f t="shared" si="12"/>
        <v>100</v>
      </c>
      <c r="X45" s="719"/>
      <c r="Y45" s="346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1" t="str">
        <f>A46</f>
        <v>成交单价</v>
      </c>
      <c r="Q46" s="3461"/>
      <c r="R46" s="3492">
        <f>E46</f>
        <v>0</v>
      </c>
      <c r="S46" s="3492"/>
      <c r="T46" s="3492">
        <f>G46</f>
        <v>0</v>
      </c>
      <c r="U46" s="3492"/>
      <c r="V46" s="3492">
        <f>I46</f>
        <v>0</v>
      </c>
      <c r="W46" s="3492"/>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6" t="s">
        <v>2344</v>
      </c>
      <c r="H55" s="3523"/>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8515.24</v>
      </c>
      <c r="F56" s="998" t="e">
        <f t="shared" ref="F56:F64" si="15">ROUND(B56*E56/10000,0)</f>
        <v>#DIV/0!</v>
      </c>
      <c r="G56" s="3472"/>
      <c r="H56" s="346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0.6</v>
      </c>
      <c r="D57" s="1057">
        <v>0.25</v>
      </c>
      <c r="E57" s="650"/>
      <c r="F57" s="998" t="e">
        <f t="shared" si="15"/>
        <v>#DIV/0!</v>
      </c>
      <c r="G57" s="3228" t="s">
        <v>2349</v>
      </c>
      <c r="H57" s="999" t="str">
        <f>项目基本情况!B37</f>
        <v>六级</v>
      </c>
      <c r="I57" s="1003">
        <f>SUMIF(修正!A57:A68,H57,修正!B57:B68)</f>
        <v>0.6</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0.3</v>
      </c>
      <c r="D58" s="1057">
        <v>0.25</v>
      </c>
      <c r="E58" s="650"/>
      <c r="F58" s="998" t="e">
        <f t="shared" si="15"/>
        <v>#DIV/0!</v>
      </c>
      <c r="G58" s="3229"/>
      <c r="H58" s="999" t="str">
        <f>项目基本情况!B37</f>
        <v>六级</v>
      </c>
      <c r="I58" s="1003">
        <f>SUMIF(修正!A57:A68,H58,修正!C57:C68)</f>
        <v>0.3</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0.25</v>
      </c>
      <c r="D59" s="1057">
        <v>0.25</v>
      </c>
      <c r="E59" s="650"/>
      <c r="F59" s="998" t="e">
        <f t="shared" si="15"/>
        <v>#DIV/0!</v>
      </c>
      <c r="G59" s="3229"/>
      <c r="H59" s="999" t="str">
        <f>项目基本情况!B37</f>
        <v>六级</v>
      </c>
      <c r="I59" s="1003">
        <f>SUMIF(修正!A57:A68,H59,修正!D57:D68)</f>
        <v>0.25</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0.15</v>
      </c>
      <c r="D63" s="1057">
        <v>0.25</v>
      </c>
      <c r="E63" s="223">
        <f>'数据-汇总表'!E14</f>
        <v>0</v>
      </c>
      <c r="F63" s="998" t="e">
        <f t="shared" si="15"/>
        <v>#DIV/0!</v>
      </c>
      <c r="G63" s="2124" t="s">
        <v>2349</v>
      </c>
      <c r="H63" s="999" t="str">
        <f>项目基本情况!B37</f>
        <v>六级</v>
      </c>
      <c r="I63" s="1003">
        <f>SUMIF(修正!A57:A68,H63,修正!G57:G68)</f>
        <v>0.15</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8515.24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75" thickBot="1">
      <c r="A6" s="366"/>
      <c r="B6" s="367"/>
      <c r="C6" s="3524" t="s">
        <v>2376</v>
      </c>
      <c r="D6" s="3525"/>
      <c r="E6" s="3526" t="s">
        <v>2376</v>
      </c>
      <c r="F6" s="3527"/>
      <c r="G6" s="3524" t="s">
        <v>2376</v>
      </c>
      <c r="H6" s="3525"/>
      <c r="I6" s="3524" t="s">
        <v>2376</v>
      </c>
      <c r="J6" s="3525"/>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44872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186</v>
      </c>
      <c r="G10" s="391"/>
      <c r="H10" s="132">
        <f>ROUND(100/'数据-取费表'!G16,0)</f>
        <v>186</v>
      </c>
      <c r="I10" s="391"/>
      <c r="J10" s="132">
        <f>ROUND(100/'数据-取费表'!G16,0)</f>
        <v>186</v>
      </c>
      <c r="K10" s="628"/>
      <c r="L10" s="2898"/>
      <c r="M10" s="2899"/>
      <c r="N10" s="2899"/>
      <c r="O10" s="2952"/>
      <c r="P10" s="3461"/>
      <c r="Q10" s="1478" t="str">
        <f t="shared" si="6"/>
        <v>土地使用年限（年）</v>
      </c>
      <c r="R10" s="710" t="s">
        <v>17</v>
      </c>
      <c r="S10" s="711">
        <f t="shared" si="0"/>
        <v>186</v>
      </c>
      <c r="T10" s="710" t="s">
        <v>17</v>
      </c>
      <c r="U10" s="711">
        <f t="shared" si="1"/>
        <v>186</v>
      </c>
      <c r="V10" s="710" t="s">
        <v>17</v>
      </c>
      <c r="W10" s="711">
        <f t="shared" si="2"/>
        <v>186</v>
      </c>
      <c r="X10" s="712"/>
      <c r="Y10" s="3333"/>
      <c r="Z10" s="55" t="str">
        <f t="shared" si="7"/>
        <v>土地使用年限（年）</v>
      </c>
      <c r="AA10" s="713">
        <f t="shared" si="3"/>
        <v>0.5376344086021505</v>
      </c>
      <c r="AB10" s="713">
        <f t="shared" si="4"/>
        <v>0.5376344086021505</v>
      </c>
      <c r="AC10" s="713">
        <f t="shared" si="5"/>
        <v>0.5376344086021505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4"/>
      <c r="Q16" s="1487"/>
      <c r="R16" s="714"/>
      <c r="S16" s="715"/>
      <c r="T16" s="714"/>
      <c r="U16" s="715"/>
      <c r="V16" s="714"/>
      <c r="W16" s="715"/>
      <c r="X16" s="1490"/>
      <c r="Y16" s="346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4"/>
      <c r="Q18" s="1487"/>
      <c r="R18" s="714"/>
      <c r="S18" s="715"/>
      <c r="T18" s="714"/>
      <c r="U18" s="715"/>
      <c r="V18" s="714"/>
      <c r="W18" s="715"/>
      <c r="X18" s="1490"/>
      <c r="Y18" s="346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4"/>
      <c r="Q19" s="1487" t="str">
        <f t="shared" ref="Q19:Q33" si="8">B19</f>
        <v>区域土地利用方向</v>
      </c>
      <c r="R19" s="714" t="s">
        <v>17</v>
      </c>
      <c r="S19" s="715">
        <f>F19</f>
        <v>100</v>
      </c>
      <c r="T19" s="714" t="s">
        <v>17</v>
      </c>
      <c r="U19" s="715">
        <f>H19</f>
        <v>100</v>
      </c>
      <c r="V19" s="714" t="s">
        <v>17</v>
      </c>
      <c r="W19" s="715">
        <f>J19</f>
        <v>100</v>
      </c>
      <c r="X19" s="1490"/>
      <c r="Y19" s="346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4"/>
      <c r="Q20" s="1487"/>
      <c r="R20" s="714"/>
      <c r="S20" s="715"/>
      <c r="T20" s="714"/>
      <c r="U20" s="715"/>
      <c r="V20" s="714"/>
      <c r="W20" s="715"/>
      <c r="X20" s="1490"/>
      <c r="Y20" s="346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4"/>
      <c r="Q21" s="1487" t="str">
        <f t="shared" si="8"/>
        <v>环境状况</v>
      </c>
      <c r="R21" s="714" t="s">
        <v>17</v>
      </c>
      <c r="S21" s="715">
        <f>F21</f>
        <v>100</v>
      </c>
      <c r="T21" s="714" t="s">
        <v>17</v>
      </c>
      <c r="U21" s="715">
        <f>H21</f>
        <v>100</v>
      </c>
      <c r="V21" s="714" t="s">
        <v>17</v>
      </c>
      <c r="W21" s="715">
        <f>J21</f>
        <v>100</v>
      </c>
      <c r="X21" s="1490"/>
      <c r="Y21" s="346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4"/>
      <c r="Q22" s="1487"/>
      <c r="R22" s="714"/>
      <c r="S22" s="715"/>
      <c r="T22" s="714"/>
      <c r="U22" s="715"/>
      <c r="V22" s="714"/>
      <c r="W22" s="715"/>
      <c r="X22" s="1490"/>
      <c r="Y22" s="346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4"/>
      <c r="Q23" s="1478" t="str">
        <f t="shared" si="8"/>
        <v>公共配套设施</v>
      </c>
      <c r="R23" s="710" t="s">
        <v>17</v>
      </c>
      <c r="S23" s="711">
        <f>F23</f>
        <v>100</v>
      </c>
      <c r="T23" s="710" t="s">
        <v>17</v>
      </c>
      <c r="U23" s="711">
        <f>H23</f>
        <v>100</v>
      </c>
      <c r="V23" s="710" t="s">
        <v>17</v>
      </c>
      <c r="W23" s="711">
        <f>J23</f>
        <v>100</v>
      </c>
      <c r="X23" s="712"/>
      <c r="Y23" s="346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4"/>
      <c r="Q24" s="1478"/>
      <c r="R24" s="710"/>
      <c r="S24" s="711"/>
      <c r="T24" s="710"/>
      <c r="U24" s="711"/>
      <c r="V24" s="710"/>
      <c r="W24" s="711"/>
      <c r="X24" s="712"/>
      <c r="Y24" s="346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4"/>
      <c r="Q25" s="1478" t="str">
        <f t="shared" ref="Q25" si="9">B25</f>
        <v>基础设施水平</v>
      </c>
      <c r="R25" s="710" t="s">
        <v>17</v>
      </c>
      <c r="S25" s="711">
        <f>F25</f>
        <v>100</v>
      </c>
      <c r="T25" s="710" t="s">
        <v>17</v>
      </c>
      <c r="U25" s="711">
        <f>H25</f>
        <v>100</v>
      </c>
      <c r="V25" s="710" t="s">
        <v>17</v>
      </c>
      <c r="W25" s="711">
        <f>J25</f>
        <v>100</v>
      </c>
      <c r="X25" s="712"/>
      <c r="Y25" s="346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4"/>
      <c r="Q26" s="1478"/>
      <c r="R26" s="710"/>
      <c r="S26" s="711"/>
      <c r="T26" s="710"/>
      <c r="U26" s="711"/>
      <c r="V26" s="710"/>
      <c r="W26" s="711"/>
      <c r="X26" s="712"/>
      <c r="Y26" s="346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4"/>
      <c r="Q28" s="1487" t="str">
        <f t="shared" si="8"/>
        <v>毗邻道路的类型与等级</v>
      </c>
      <c r="R28" s="714" t="s">
        <v>17</v>
      </c>
      <c r="S28" s="715">
        <f t="shared" si="10"/>
        <v>100</v>
      </c>
      <c r="T28" s="714" t="s">
        <v>17</v>
      </c>
      <c r="U28" s="715">
        <f t="shared" si="11"/>
        <v>100</v>
      </c>
      <c r="V28" s="714" t="s">
        <v>17</v>
      </c>
      <c r="W28" s="715">
        <f t="shared" si="12"/>
        <v>100</v>
      </c>
      <c r="X28" s="1490"/>
      <c r="Y28" s="346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4"/>
      <c r="Q29" s="1487"/>
      <c r="R29" s="714"/>
      <c r="S29" s="715"/>
      <c r="T29" s="714"/>
      <c r="U29" s="715"/>
      <c r="V29" s="714"/>
      <c r="W29" s="715"/>
      <c r="X29" s="1490"/>
      <c r="Y29" s="346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4"/>
      <c r="Q30" s="1487" t="str">
        <f t="shared" si="8"/>
        <v>土地级别</v>
      </c>
      <c r="R30" s="714" t="s">
        <v>17</v>
      </c>
      <c r="S30" s="715">
        <f t="shared" si="10"/>
        <v>100</v>
      </c>
      <c r="T30" s="714" t="s">
        <v>17</v>
      </c>
      <c r="U30" s="715">
        <f t="shared" si="11"/>
        <v>100</v>
      </c>
      <c r="V30" s="714" t="s">
        <v>17</v>
      </c>
      <c r="W30" s="715">
        <f t="shared" si="12"/>
        <v>100</v>
      </c>
      <c r="X30" s="1490"/>
      <c r="Y30" s="346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4"/>
      <c r="Q31" s="1487">
        <f t="shared" si="8"/>
        <v>111</v>
      </c>
      <c r="R31" s="714" t="s">
        <v>17</v>
      </c>
      <c r="S31" s="715">
        <f t="shared" si="10"/>
        <v>100</v>
      </c>
      <c r="T31" s="714" t="s">
        <v>17</v>
      </c>
      <c r="U31" s="715">
        <f t="shared" si="11"/>
        <v>100</v>
      </c>
      <c r="V31" s="714" t="s">
        <v>17</v>
      </c>
      <c r="W31" s="715">
        <f t="shared" si="12"/>
        <v>100</v>
      </c>
      <c r="X31" s="1490"/>
      <c r="Y31" s="346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9" t="s">
        <v>2145</v>
      </c>
      <c r="Q32" s="1487">
        <f t="shared" si="8"/>
        <v>111</v>
      </c>
      <c r="R32" s="714" t="s">
        <v>17</v>
      </c>
      <c r="S32" s="715">
        <f t="shared" si="10"/>
        <v>100</v>
      </c>
      <c r="T32" s="714" t="s">
        <v>17</v>
      </c>
      <c r="U32" s="715">
        <f t="shared" si="11"/>
        <v>100</v>
      </c>
      <c r="V32" s="714" t="s">
        <v>17</v>
      </c>
      <c r="W32" s="715">
        <f t="shared" si="12"/>
        <v>100</v>
      </c>
      <c r="X32" s="1490"/>
      <c r="Y32" s="346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8"/>
      <c r="Q33" s="1487">
        <f t="shared" si="8"/>
        <v>111</v>
      </c>
      <c r="R33" s="717" t="s">
        <v>17</v>
      </c>
      <c r="S33" s="718">
        <f t="shared" si="10"/>
        <v>100</v>
      </c>
      <c r="T33" s="717" t="s">
        <v>17</v>
      </c>
      <c r="U33" s="718">
        <f t="shared" si="11"/>
        <v>100</v>
      </c>
      <c r="V33" s="717" t="s">
        <v>17</v>
      </c>
      <c r="W33" s="718">
        <f t="shared" si="12"/>
        <v>100</v>
      </c>
      <c r="X33" s="719"/>
      <c r="Y33" s="346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8"/>
      <c r="Q34" s="1487" t="str">
        <f>B34</f>
        <v>宗地面积</v>
      </c>
      <c r="R34" s="714" t="s">
        <v>17</v>
      </c>
      <c r="S34" s="715" t="e">
        <f t="shared" si="10"/>
        <v>#N/A</v>
      </c>
      <c r="T34" s="714" t="s">
        <v>17</v>
      </c>
      <c r="U34" s="715" t="e">
        <f t="shared" si="11"/>
        <v>#N/A</v>
      </c>
      <c r="V34" s="714" t="s">
        <v>17</v>
      </c>
      <c r="W34" s="715" t="e">
        <f t="shared" si="12"/>
        <v>#N/A</v>
      </c>
      <c r="X34" s="1490"/>
      <c r="Y34" s="346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8"/>
      <c r="Q35" s="1487" t="str">
        <f t="shared" ref="Q35:Q40" si="14">B35</f>
        <v>宗地形状</v>
      </c>
      <c r="R35" s="714" t="s">
        <v>17</v>
      </c>
      <c r="S35" s="715">
        <f t="shared" si="10"/>
        <v>100</v>
      </c>
      <c r="T35" s="714" t="s">
        <v>17</v>
      </c>
      <c r="U35" s="715">
        <f t="shared" si="11"/>
        <v>100</v>
      </c>
      <c r="V35" s="714" t="s">
        <v>17</v>
      </c>
      <c r="W35" s="715">
        <f t="shared" si="12"/>
        <v>100</v>
      </c>
      <c r="X35" s="1490"/>
      <c r="Y35" s="346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8"/>
      <c r="Q36" s="1487"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8" t="s">
        <v>2145</v>
      </c>
      <c r="Q37" s="1487" t="str">
        <f t="shared" si="14"/>
        <v>工程地质条件</v>
      </c>
      <c r="R37" s="714" t="s">
        <v>17</v>
      </c>
      <c r="S37" s="715">
        <f t="shared" si="10"/>
        <v>100</v>
      </c>
      <c r="T37" s="714" t="s">
        <v>17</v>
      </c>
      <c r="U37" s="715">
        <f t="shared" si="11"/>
        <v>100</v>
      </c>
      <c r="V37" s="714" t="s">
        <v>17</v>
      </c>
      <c r="W37" s="715">
        <f t="shared" si="12"/>
        <v>100</v>
      </c>
      <c r="X37" s="1490"/>
      <c r="Y37" s="346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8"/>
      <c r="Q38" s="1487">
        <f t="shared" si="14"/>
        <v>111</v>
      </c>
      <c r="R38" s="714" t="s">
        <v>17</v>
      </c>
      <c r="S38" s="715">
        <f t="shared" si="10"/>
        <v>100</v>
      </c>
      <c r="T38" s="714" t="s">
        <v>17</v>
      </c>
      <c r="U38" s="715">
        <f t="shared" si="11"/>
        <v>100</v>
      </c>
      <c r="V38" s="714" t="s">
        <v>17</v>
      </c>
      <c r="W38" s="715">
        <f t="shared" si="12"/>
        <v>100</v>
      </c>
      <c r="X38" s="1490"/>
      <c r="Y38" s="346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8"/>
      <c r="Q39" s="1487">
        <f t="shared" si="14"/>
        <v>111</v>
      </c>
      <c r="R39" s="714" t="s">
        <v>17</v>
      </c>
      <c r="S39" s="715">
        <f t="shared" si="10"/>
        <v>100</v>
      </c>
      <c r="T39" s="714" t="s">
        <v>17</v>
      </c>
      <c r="U39" s="715">
        <f t="shared" si="11"/>
        <v>100</v>
      </c>
      <c r="V39" s="714" t="s">
        <v>17</v>
      </c>
      <c r="W39" s="715">
        <f t="shared" si="12"/>
        <v>100</v>
      </c>
      <c r="X39" s="1490"/>
      <c r="Y39" s="346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8"/>
      <c r="Q40" s="1487">
        <f t="shared" si="14"/>
        <v>111</v>
      </c>
      <c r="R40" s="717" t="s">
        <v>17</v>
      </c>
      <c r="S40" s="718">
        <f t="shared" si="10"/>
        <v>100</v>
      </c>
      <c r="T40" s="717" t="s">
        <v>17</v>
      </c>
      <c r="U40" s="718">
        <f t="shared" si="11"/>
        <v>100</v>
      </c>
      <c r="V40" s="717" t="s">
        <v>17</v>
      </c>
      <c r="W40" s="718">
        <f t="shared" si="12"/>
        <v>100</v>
      </c>
      <c r="X40" s="719"/>
      <c r="Y40" s="346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1" t="str">
        <f>A41</f>
        <v>成交单价</v>
      </c>
      <c r="Q41" s="3461"/>
      <c r="R41" s="3492">
        <f>E41</f>
        <v>0</v>
      </c>
      <c r="S41" s="3492"/>
      <c r="T41" s="3492">
        <f>G41</f>
        <v>0</v>
      </c>
      <c r="U41" s="3492"/>
      <c r="V41" s="3492">
        <f>I41</f>
        <v>0</v>
      </c>
      <c r="W41" s="3492"/>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6" t="s">
        <v>2344</v>
      </c>
      <c r="H50" s="3523"/>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8515.24</v>
      </c>
      <c r="F51" s="647" t="e">
        <f t="shared" ref="F51:F60" si="15">ROUND(B51*E51/10000,0)</f>
        <v>#DIV/0!</v>
      </c>
      <c r="G51" s="3472"/>
      <c r="H51" s="346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0.6</v>
      </c>
      <c r="D52" s="1057">
        <v>0.25</v>
      </c>
      <c r="E52" s="650"/>
      <c r="F52" s="647" t="e">
        <f t="shared" si="15"/>
        <v>#DIV/0!</v>
      </c>
      <c r="G52" s="3228" t="s">
        <v>2349</v>
      </c>
      <c r="H52" s="999" t="str">
        <f>项目基本情况!B37</f>
        <v>六级</v>
      </c>
      <c r="I52" s="860">
        <f>SUMIF(修正!A57:A68,H52,修正!B57:B68)</f>
        <v>0.6</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0.3</v>
      </c>
      <c r="D53" s="1057">
        <v>0.25</v>
      </c>
      <c r="E53" s="650"/>
      <c r="F53" s="647" t="e">
        <f t="shared" si="15"/>
        <v>#DIV/0!</v>
      </c>
      <c r="G53" s="3229"/>
      <c r="H53" s="999" t="str">
        <f>项目基本情况!B37</f>
        <v>六级</v>
      </c>
      <c r="I53" s="860">
        <f>SUMIF(修正!A57:A68,H53,修正!C57:C68)</f>
        <v>0.3</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0.25</v>
      </c>
      <c r="D54" s="1057">
        <v>0.25</v>
      </c>
      <c r="E54" s="650"/>
      <c r="F54" s="647" t="e">
        <f t="shared" si="15"/>
        <v>#DIV/0!</v>
      </c>
      <c r="G54" s="3229"/>
      <c r="H54" s="999" t="str">
        <f>项目基本情况!B37</f>
        <v>六级</v>
      </c>
      <c r="I54" s="860">
        <f>SUMIF(修正!A57:A68,H54,修正!D57:D68)</f>
        <v>0.25</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0.15</v>
      </c>
      <c r="D59" s="1057">
        <v>0.25</v>
      </c>
      <c r="E59" s="223">
        <f>'数据-汇总表'!E14</f>
        <v>0</v>
      </c>
      <c r="F59" s="647" t="e">
        <f t="shared" si="15"/>
        <v>#DIV/0!</v>
      </c>
      <c r="G59" s="2124" t="s">
        <v>2349</v>
      </c>
      <c r="H59" s="999" t="str">
        <f>项目基本情况!B37</f>
        <v>六级</v>
      </c>
      <c r="I59" s="860">
        <f>SUMIF(修正!A57:A68,H59,修正!G57:G68)</f>
        <v>0.15</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2392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3.56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1"/>
      <c r="B4" s="3532"/>
      <c r="C4" s="3532"/>
      <c r="D4" s="3533"/>
      <c r="E4" s="3533"/>
      <c r="F4" s="3533"/>
      <c r="G4" s="3533"/>
      <c r="H4" s="3533"/>
      <c r="I4" s="3533"/>
      <c r="J4" s="353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3.56</v>
      </c>
      <c r="AA7" s="1331"/>
      <c r="AB7" s="1331"/>
      <c r="AC7" s="1332"/>
      <c r="AD7" s="1333"/>
      <c r="AE7" s="1333"/>
      <c r="AF7" s="1333"/>
      <c r="AG7" s="1333"/>
      <c r="AH7" s="1333"/>
      <c r="AI7" s="1333"/>
      <c r="AJ7" s="1334"/>
    </row>
    <row r="8" spans="1:36" ht="15">
      <c r="A8" s="3536"/>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8" t="s">
        <v>2419</v>
      </c>
      <c r="X8" s="352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6"/>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6"/>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6"/>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0" t="s">
        <v>2443</v>
      </c>
      <c r="X11" s="1339" t="s">
        <v>2444</v>
      </c>
      <c r="Y11" s="1340">
        <f>$G$3</f>
        <v>3.56</v>
      </c>
      <c r="Z11" s="1340">
        <f t="shared" ref="Z11:AJ11" si="3">$G$3</f>
        <v>3.56</v>
      </c>
      <c r="AA11" s="1340">
        <f t="shared" si="3"/>
        <v>3.56</v>
      </c>
      <c r="AB11" s="1340">
        <f t="shared" si="3"/>
        <v>3.56</v>
      </c>
      <c r="AC11" s="1340">
        <f t="shared" si="3"/>
        <v>3.56</v>
      </c>
      <c r="AD11" s="1340">
        <f t="shared" si="3"/>
        <v>3.56</v>
      </c>
      <c r="AE11" s="1340">
        <f t="shared" si="3"/>
        <v>3.56</v>
      </c>
      <c r="AF11" s="1340">
        <f t="shared" si="3"/>
        <v>3.56</v>
      </c>
      <c r="AG11" s="1340">
        <f t="shared" si="3"/>
        <v>3.56</v>
      </c>
      <c r="AH11" s="1340">
        <f t="shared" si="3"/>
        <v>3.56</v>
      </c>
      <c r="AI11" s="1340">
        <f t="shared" si="3"/>
        <v>3.56</v>
      </c>
      <c r="AJ11" s="1340">
        <f t="shared" si="3"/>
        <v>3.56</v>
      </c>
    </row>
    <row r="12" spans="1:36" ht="25.5" thickBot="1">
      <c r="A12" s="353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7"/>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0"/>
      <c r="X13" s="1341"/>
      <c r="Y13" s="1338">
        <f>(-0.163*(Y12^2)-0.59*Y12+7617)*(10^(-4))/Y11</f>
        <v>0.21396067415730338</v>
      </c>
      <c r="Z13" s="1338">
        <f t="shared" ref="Z13:AJ13" si="5">(-0.163*(Z12^2)-0.59*Z12+7617)*(10^(-4))/Z11</f>
        <v>0.21396067415730338</v>
      </c>
      <c r="AA13" s="1338">
        <f t="shared" si="5"/>
        <v>0.21396067415730338</v>
      </c>
      <c r="AB13" s="1338">
        <f t="shared" si="5"/>
        <v>0.21396067415730338</v>
      </c>
      <c r="AC13" s="1338">
        <f t="shared" si="5"/>
        <v>0.21396067415730338</v>
      </c>
      <c r="AD13" s="1338">
        <f t="shared" si="5"/>
        <v>0.21396067415730338</v>
      </c>
      <c r="AE13" s="1338">
        <f t="shared" si="5"/>
        <v>0.21396067415730338</v>
      </c>
      <c r="AF13" s="1338">
        <f t="shared" si="5"/>
        <v>0.21396067415730338</v>
      </c>
      <c r="AG13" s="1338">
        <f t="shared" si="5"/>
        <v>0.21396067415730338</v>
      </c>
      <c r="AH13" s="1338">
        <f t="shared" si="5"/>
        <v>0.21396067415730338</v>
      </c>
      <c r="AI13" s="1338">
        <f t="shared" si="5"/>
        <v>0.21396067415730338</v>
      </c>
      <c r="AJ13" s="1338">
        <f t="shared" si="5"/>
        <v>0.21396067415730338</v>
      </c>
    </row>
    <row r="14" spans="1:36" ht="15">
      <c r="A14" s="3537"/>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8"/>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5" t="s">
        <v>2462</v>
      </c>
      <c r="B16" s="2160" t="s">
        <v>2463</v>
      </c>
      <c r="C16" s="2322" t="e">
        <f>ROUND(IF(F17="与级别开发程度一致",0,(G17-E17)/C17),0)</f>
        <v>#DIV/0!</v>
      </c>
      <c r="D16" s="3551" t="s">
        <v>2467</v>
      </c>
      <c r="E16" s="3552"/>
      <c r="F16" s="3551" t="s">
        <v>2464</v>
      </c>
      <c r="G16" s="355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44872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3.5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0" t="s">
        <v>2550</v>
      </c>
      <c r="B90" s="3540"/>
      <c r="C90" s="3540"/>
      <c r="D90" s="3540"/>
      <c r="E90" s="3540"/>
      <c r="F90" s="3540"/>
      <c r="G90" s="3540"/>
      <c r="H90" s="3540"/>
      <c r="I90" s="3540"/>
      <c r="J90" s="3540"/>
      <c r="K90" s="2294"/>
      <c r="L90" s="2294"/>
      <c r="M90" s="2294"/>
      <c r="N90" s="2294"/>
    </row>
    <row r="91" spans="1:37">
      <c r="A91" s="3542" t="s">
        <v>2551</v>
      </c>
      <c r="B91" s="3542" t="s">
        <v>2552</v>
      </c>
      <c r="C91" s="2248" t="s">
        <v>2553</v>
      </c>
      <c r="D91" s="2249"/>
      <c r="E91" s="2249"/>
      <c r="F91" s="2249"/>
      <c r="G91" s="2249"/>
      <c r="H91" s="2249"/>
      <c r="I91" s="2249"/>
      <c r="J91" s="2295"/>
      <c r="K91" s="2296"/>
      <c r="L91" s="2296"/>
      <c r="M91" s="2296"/>
      <c r="N91" s="2296"/>
    </row>
    <row r="92" spans="1:37">
      <c r="A92" s="3542"/>
      <c r="B92" s="354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3" t="s">
        <v>2555</v>
      </c>
      <c r="B101" s="2301" t="s">
        <v>2556</v>
      </c>
      <c r="C101" s="2302">
        <f>$G$3</f>
        <v>3.56</v>
      </c>
      <c r="D101" s="2302">
        <f t="shared" ref="D101:N101" si="31">$G$3</f>
        <v>3.56</v>
      </c>
      <c r="E101" s="2302">
        <f t="shared" si="31"/>
        <v>3.56</v>
      </c>
      <c r="F101" s="2302">
        <f t="shared" si="31"/>
        <v>3.56</v>
      </c>
      <c r="G101" s="2302">
        <f t="shared" si="31"/>
        <v>3.56</v>
      </c>
      <c r="H101" s="2302">
        <f t="shared" si="31"/>
        <v>3.56</v>
      </c>
      <c r="I101" s="2302">
        <f t="shared" si="31"/>
        <v>3.56</v>
      </c>
      <c r="J101" s="2302">
        <f t="shared" si="31"/>
        <v>3.56</v>
      </c>
      <c r="K101" s="2302">
        <f t="shared" si="31"/>
        <v>3.56</v>
      </c>
      <c r="L101" s="2302">
        <f t="shared" si="31"/>
        <v>3.56</v>
      </c>
      <c r="M101" s="2302">
        <f t="shared" si="31"/>
        <v>3.56</v>
      </c>
      <c r="N101" s="2302">
        <f t="shared" si="31"/>
        <v>3.56</v>
      </c>
    </row>
    <row r="102" spans="1:14">
      <c r="A102" s="3544"/>
      <c r="B102" s="2297">
        <v>1</v>
      </c>
      <c r="C102" s="2298">
        <f>1.9362/C101</f>
        <v>0.54387640449438202</v>
      </c>
      <c r="D102" s="2298">
        <f>1.9362/D101</f>
        <v>0.54387640449438202</v>
      </c>
      <c r="E102" s="2298">
        <f>1.8629/E101</f>
        <v>0.52328651685393257</v>
      </c>
      <c r="F102" s="2298">
        <f>1.8629/F101</f>
        <v>0.52328651685393257</v>
      </c>
      <c r="G102" s="2298">
        <f>1.8629/G101</f>
        <v>0.52328651685393257</v>
      </c>
      <c r="H102" s="2298">
        <f>1.8629/H101</f>
        <v>0.52328651685393257</v>
      </c>
      <c r="I102" s="2298">
        <f>1.8629/I101</f>
        <v>0.52328651685393257</v>
      </c>
      <c r="J102" s="2298">
        <f>1.942/J101</f>
        <v>0.54550561797752806</v>
      </c>
      <c r="K102" s="2298">
        <f>1.942/K101</f>
        <v>0.54550561797752806</v>
      </c>
      <c r="L102" s="2298">
        <f>1.942/L101</f>
        <v>0.54550561797752806</v>
      </c>
      <c r="M102" s="2298">
        <f>1.942/M101</f>
        <v>0.54550561797752806</v>
      </c>
      <c r="N102" s="2298">
        <f>1.942/N101</f>
        <v>0.54550561797752806</v>
      </c>
    </row>
    <row r="103" spans="1:14">
      <c r="A103" s="3544"/>
      <c r="B103" s="2297">
        <v>2</v>
      </c>
      <c r="C103" s="2298">
        <f>1.4198/C101</f>
        <v>0.39882022471910111</v>
      </c>
      <c r="D103" s="2298">
        <f>1.4198/D101</f>
        <v>0.39882022471910111</v>
      </c>
      <c r="E103" s="2298">
        <f>1.3372/E101</f>
        <v>0.37561797752808984</v>
      </c>
      <c r="F103" s="2298">
        <f>1.3372/F101</f>
        <v>0.37561797752808984</v>
      </c>
      <c r="G103" s="2298">
        <f>1.3372/G101</f>
        <v>0.37561797752808984</v>
      </c>
      <c r="H103" s="2298">
        <f>1.3372/H101</f>
        <v>0.37561797752808984</v>
      </c>
      <c r="I103" s="2298">
        <f>1.3372/I101</f>
        <v>0.37561797752808984</v>
      </c>
      <c r="J103" s="2298">
        <f>1.2799/J101</f>
        <v>0.35952247191011238</v>
      </c>
      <c r="K103" s="2298">
        <f>1.2799/K101</f>
        <v>0.35952247191011238</v>
      </c>
      <c r="L103" s="2298">
        <f>1.2799/L101</f>
        <v>0.35952247191011238</v>
      </c>
      <c r="M103" s="2298">
        <f>1.2799/M101</f>
        <v>0.35952247191011238</v>
      </c>
      <c r="N103" s="2298">
        <f>1.2799/N101</f>
        <v>0.35952247191011238</v>
      </c>
    </row>
    <row r="104" spans="1:14">
      <c r="A104" s="3544"/>
      <c r="B104" s="2297">
        <v>3</v>
      </c>
      <c r="C104" s="2298">
        <f>1.1594/C101</f>
        <v>0.32567415730337079</v>
      </c>
      <c r="D104" s="2298">
        <f>1.1594/D101</f>
        <v>0.32567415730337079</v>
      </c>
      <c r="E104" s="2298">
        <f>1.0788/E101</f>
        <v>0.30303370786516853</v>
      </c>
      <c r="F104" s="2298">
        <f>1.0788/F101</f>
        <v>0.30303370786516853</v>
      </c>
      <c r="G104" s="2298">
        <f>1.0788/G101</f>
        <v>0.30303370786516853</v>
      </c>
      <c r="H104" s="2298">
        <f>1.0788/H101</f>
        <v>0.30303370786516853</v>
      </c>
      <c r="I104" s="2298">
        <f>1.0788/I101</f>
        <v>0.30303370786516853</v>
      </c>
      <c r="J104" s="2298">
        <f>1.0072/J101</f>
        <v>0.28292134831460675</v>
      </c>
      <c r="K104" s="2298">
        <f>1.0072/K101</f>
        <v>0.28292134831460675</v>
      </c>
      <c r="L104" s="2298">
        <f>1.0072/L101</f>
        <v>0.28292134831460675</v>
      </c>
      <c r="M104" s="2298">
        <f>1.0072/M101</f>
        <v>0.28292134831460675</v>
      </c>
      <c r="N104" s="2298">
        <f>1.0072/N101</f>
        <v>0.28292134831460675</v>
      </c>
    </row>
    <row r="105" spans="1:14">
      <c r="A105" s="3544"/>
      <c r="B105" s="2297">
        <v>4</v>
      </c>
      <c r="C105" s="2298">
        <f>0.9622/C101</f>
        <v>0.2702808988764045</v>
      </c>
      <c r="D105" s="2298">
        <f>0.9622/D101</f>
        <v>0.2702808988764045</v>
      </c>
      <c r="E105" s="2298">
        <f>0.8656/E101</f>
        <v>0.24314606741573033</v>
      </c>
      <c r="F105" s="2298">
        <f>0.8656/F101</f>
        <v>0.24314606741573033</v>
      </c>
      <c r="G105" s="2298">
        <f>0.8656/G101</f>
        <v>0.24314606741573033</v>
      </c>
      <c r="H105" s="2298">
        <f>0.8656/H101</f>
        <v>0.24314606741573033</v>
      </c>
      <c r="I105" s="2298">
        <f>0.8656/I101</f>
        <v>0.24314606741573033</v>
      </c>
      <c r="J105" s="2298">
        <f>0.7525/J101</f>
        <v>0.211376404494382</v>
      </c>
      <c r="K105" s="2298">
        <f>0.7525/K101</f>
        <v>0.211376404494382</v>
      </c>
      <c r="L105" s="2298">
        <f>0.7525/L101</f>
        <v>0.211376404494382</v>
      </c>
      <c r="M105" s="2298">
        <f>0.7525/M101</f>
        <v>0.211376404494382</v>
      </c>
      <c r="N105" s="2298">
        <f>0.7525/N101</f>
        <v>0.211376404494382</v>
      </c>
    </row>
    <row r="106" spans="1:14">
      <c r="A106" s="3544"/>
      <c r="B106" s="2297">
        <v>5</v>
      </c>
      <c r="C106" s="2298">
        <f>0.8417/C101</f>
        <v>0.23643258426966293</v>
      </c>
      <c r="D106" s="2298">
        <f>0.8417/D101</f>
        <v>0.23643258426966293</v>
      </c>
      <c r="E106" s="2298">
        <f>0.7371/E101</f>
        <v>0.2070505617977528</v>
      </c>
      <c r="F106" s="2298">
        <f>0.7371/F101</f>
        <v>0.2070505617977528</v>
      </c>
      <c r="G106" s="2298">
        <f>0.7371/G101</f>
        <v>0.2070505617977528</v>
      </c>
      <c r="H106" s="2298">
        <f>0.7371/H101</f>
        <v>0.2070505617977528</v>
      </c>
      <c r="I106" s="2298">
        <f>0.7371/I101</f>
        <v>0.2070505617977528</v>
      </c>
      <c r="J106" s="2298">
        <f>0.5659/J101</f>
        <v>0.15896067415730336</v>
      </c>
      <c r="K106" s="2298">
        <f>0.5659/K101</f>
        <v>0.15896067415730336</v>
      </c>
      <c r="L106" s="2298">
        <f>0.5659/L101</f>
        <v>0.15896067415730336</v>
      </c>
      <c r="M106" s="2298">
        <f>0.5659/M101</f>
        <v>0.15896067415730336</v>
      </c>
      <c r="N106" s="2298">
        <f>0.5659/N101</f>
        <v>0.15896067415730336</v>
      </c>
    </row>
    <row r="107" spans="1:14">
      <c r="A107" s="3544"/>
      <c r="B107" s="2297">
        <v>6</v>
      </c>
      <c r="C107" s="2298">
        <f>0.7608/C101</f>
        <v>0.21370786516853932</v>
      </c>
      <c r="D107" s="2298">
        <f>0.7608/D101</f>
        <v>0.21370786516853932</v>
      </c>
      <c r="E107" s="2298">
        <f>0.6482/E101</f>
        <v>0.18207865168539325</v>
      </c>
      <c r="F107" s="2298">
        <f>0.6482/F101</f>
        <v>0.18207865168539325</v>
      </c>
      <c r="G107" s="2298">
        <f>0.6482/G101</f>
        <v>0.18207865168539325</v>
      </c>
      <c r="H107" s="2298">
        <f>0.6482/H101</f>
        <v>0.18207865168539325</v>
      </c>
      <c r="I107" s="2298">
        <f>0.6482/I101</f>
        <v>0.18207865168539325</v>
      </c>
      <c r="J107" s="2298">
        <f>0.4525/J101</f>
        <v>0.1271067415730337</v>
      </c>
      <c r="K107" s="2298">
        <f>0.4525/K101</f>
        <v>0.1271067415730337</v>
      </c>
      <c r="L107" s="2298">
        <f>0.4525/L101</f>
        <v>0.1271067415730337</v>
      </c>
      <c r="M107" s="2298">
        <f>0.4525/M101</f>
        <v>0.1271067415730337</v>
      </c>
      <c r="N107" s="2298">
        <f>0.4525/N101</f>
        <v>0.1271067415730337</v>
      </c>
    </row>
    <row r="108" spans="1:14">
      <c r="A108" s="3544"/>
      <c r="B108" s="354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5"/>
      <c r="B109" s="3547"/>
      <c r="C109" s="2300">
        <f>(-0.163*(C108^2)-0.59*C108+7617)*(10^(-4))/C101</f>
        <v>0.21396067415730338</v>
      </c>
      <c r="D109" s="2300">
        <f>(-0.163*(D108^2)-0.59*D108+7617)*(10^(-4))/D101</f>
        <v>0.21396067415730338</v>
      </c>
      <c r="E109" s="2300">
        <f>(-0.161*(E108^2)-7.509*E108+6533)*(10^(-4))/E101</f>
        <v>0.18351123595505617</v>
      </c>
      <c r="F109" s="2300">
        <f>(-0.161*(F108^2)-7.509*F108+6533)*(10^(-4))/F101</f>
        <v>0.18351123595505617</v>
      </c>
      <c r="G109" s="2300">
        <f>(-0.161*(G108^2)-7.509*G108+6533)*(10^(-4))/G101</f>
        <v>0.18351123595505617</v>
      </c>
      <c r="H109" s="2300">
        <f>(-0.161*(H108^2)-7.509*H108+6533)*(10^(-4))/H101</f>
        <v>0.18351123595505617</v>
      </c>
      <c r="I109" s="2300">
        <f>(-0.161*(I108^2)-7.509*I108+6533)*(10^(-4))/I101</f>
        <v>0.18351123595505617</v>
      </c>
      <c r="J109" s="2300">
        <f>(-0.214*(J108^2)-21.991*J108+4665)*(10^(-4))/J101</f>
        <v>0.13103932584269665</v>
      </c>
      <c r="K109" s="2300">
        <f>(-0.214*(K108^2)-21.991*K108+4665)*(10^(-4))/K101</f>
        <v>0.13103932584269665</v>
      </c>
      <c r="L109" s="2300">
        <f>(-0.214*(L108^2)-21.991*L108+4665)*(10^(-4))/L101</f>
        <v>0.13103932584269665</v>
      </c>
      <c r="M109" s="2300">
        <f>(-0.214*(M108^2)-21.991*M108+4665)*(10^(-4))/M101</f>
        <v>0.13103932584269665</v>
      </c>
      <c r="N109" s="2300">
        <f>(-0.214*(N108^2)-21.991*N108+4665)*(10^(-4))/N101</f>
        <v>0.13103932584269665</v>
      </c>
    </row>
    <row r="110" spans="1:14">
      <c r="A110" s="3541" t="s">
        <v>2558</v>
      </c>
      <c r="B110" s="3541"/>
      <c r="C110" s="3541"/>
      <c r="D110" s="3541"/>
      <c r="E110" s="3541"/>
      <c r="F110" s="3541"/>
      <c r="G110" s="3541"/>
      <c r="H110" s="3541"/>
      <c r="I110" s="3541"/>
      <c r="J110" s="3541"/>
      <c r="K110" s="2303"/>
      <c r="L110" s="2303"/>
      <c r="M110" s="2303"/>
      <c r="N110" s="2303"/>
    </row>
    <row r="112" spans="1:14" ht="13.5" thickBot="1"/>
    <row r="113" spans="1:13" ht="25.5" thickBot="1">
      <c r="A113" s="824" t="s">
        <v>2559</v>
      </c>
      <c r="B113" s="1178">
        <f>G3</f>
        <v>3.56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v>
      </c>
      <c r="C115" s="831">
        <f>B115</f>
        <v>0.9</v>
      </c>
      <c r="D115" s="831">
        <f>ROUND(0.8331-0.0109*B113,4)</f>
        <v>0.79430000000000001</v>
      </c>
      <c r="E115" s="831">
        <f>D115</f>
        <v>0.79430000000000001</v>
      </c>
      <c r="F115" s="831">
        <f>E115</f>
        <v>0.79430000000000001</v>
      </c>
      <c r="G115" s="831">
        <f>F115</f>
        <v>0.79430000000000001</v>
      </c>
      <c r="H115" s="831">
        <f>G115</f>
        <v>0.79430000000000001</v>
      </c>
      <c r="I115" s="831">
        <f>ROUND(0.689-0.0155*B113,4)</f>
        <v>0.63380000000000003</v>
      </c>
      <c r="J115" s="831">
        <f t="shared" ref="J115:M118" si="33">I115</f>
        <v>0.63380000000000003</v>
      </c>
      <c r="K115" s="831">
        <f t="shared" si="33"/>
        <v>0.63380000000000003</v>
      </c>
      <c r="L115" s="831">
        <f t="shared" si="33"/>
        <v>0.63380000000000003</v>
      </c>
      <c r="M115" s="832">
        <f t="shared" si="33"/>
        <v>0.63380000000000003</v>
      </c>
    </row>
    <row r="116" spans="1:13">
      <c r="A116" s="830" t="s">
        <v>2459</v>
      </c>
      <c r="B116" s="831">
        <f>ROUND(0.949-0.012*B113,4)</f>
        <v>0.90629999999999999</v>
      </c>
      <c r="C116" s="831">
        <f>B116</f>
        <v>0.90629999999999999</v>
      </c>
      <c r="D116" s="831">
        <f>ROUND(0.8567-0.013*B113,4)</f>
        <v>0.81040000000000001</v>
      </c>
      <c r="E116" s="831">
        <f t="shared" ref="E116:H117" si="34">D116</f>
        <v>0.81040000000000001</v>
      </c>
      <c r="F116" s="831">
        <f t="shared" si="34"/>
        <v>0.81040000000000001</v>
      </c>
      <c r="G116" s="831">
        <f t="shared" si="34"/>
        <v>0.81040000000000001</v>
      </c>
      <c r="H116" s="831">
        <f t="shared" si="34"/>
        <v>0.81040000000000001</v>
      </c>
      <c r="I116" s="831">
        <f>ROUND(0.7694-0.014*B113,4)</f>
        <v>0.71960000000000002</v>
      </c>
      <c r="J116" s="831">
        <f t="shared" si="33"/>
        <v>0.71960000000000002</v>
      </c>
      <c r="K116" s="831">
        <f t="shared" si="33"/>
        <v>0.71960000000000002</v>
      </c>
      <c r="L116" s="831">
        <f t="shared" si="33"/>
        <v>0.71960000000000002</v>
      </c>
      <c r="M116" s="832">
        <f t="shared" si="33"/>
        <v>0.71960000000000002</v>
      </c>
    </row>
    <row r="117" spans="1:13">
      <c r="A117" s="830" t="s">
        <v>2460</v>
      </c>
      <c r="B117" s="831">
        <f>ROUND(0.8808-0.006*B113,4)</f>
        <v>0.85940000000000005</v>
      </c>
      <c r="C117" s="831">
        <f>B117</f>
        <v>0.85940000000000005</v>
      </c>
      <c r="D117" s="831">
        <f>ROUND(0.8748-0.008*B113,4)</f>
        <v>0.84630000000000005</v>
      </c>
      <c r="E117" s="831">
        <f t="shared" si="34"/>
        <v>0.84630000000000005</v>
      </c>
      <c r="F117" s="831">
        <f t="shared" si="34"/>
        <v>0.84630000000000005</v>
      </c>
      <c r="G117" s="831">
        <f t="shared" si="34"/>
        <v>0.84630000000000005</v>
      </c>
      <c r="H117" s="831">
        <f t="shared" si="34"/>
        <v>0.84630000000000005</v>
      </c>
      <c r="I117" s="831">
        <f>ROUND(0.7412-0.0095*B113,4)</f>
        <v>0.70740000000000003</v>
      </c>
      <c r="J117" s="831">
        <f t="shared" si="33"/>
        <v>0.70740000000000003</v>
      </c>
      <c r="K117" s="831">
        <f t="shared" si="33"/>
        <v>0.70740000000000003</v>
      </c>
      <c r="L117" s="831">
        <f t="shared" si="33"/>
        <v>0.70740000000000003</v>
      </c>
      <c r="M117" s="832">
        <f t="shared" si="33"/>
        <v>0.70740000000000003</v>
      </c>
    </row>
    <row r="118" spans="1:13" ht="13.5" thickBot="1">
      <c r="A118" s="670" t="s">
        <v>2461</v>
      </c>
      <c r="B118" s="833">
        <f>ROUND(0.7275-0.01*B113,4)</f>
        <v>0.69189999999999996</v>
      </c>
      <c r="C118" s="833">
        <f>B118</f>
        <v>0.69189999999999996</v>
      </c>
      <c r="D118" s="833">
        <f>ROUND(0.7043-0.012*B113,4)</f>
        <v>0.66159999999999997</v>
      </c>
      <c r="E118" s="833">
        <f>D118</f>
        <v>0.66159999999999997</v>
      </c>
      <c r="F118" s="833">
        <f>E118</f>
        <v>0.66159999999999997</v>
      </c>
      <c r="G118" s="833">
        <f>ROUND(0.6299-0.0122*B113,4)</f>
        <v>0.58650000000000002</v>
      </c>
      <c r="H118" s="833">
        <f>G118</f>
        <v>0.58650000000000002</v>
      </c>
      <c r="I118" s="833">
        <f>ROUND(0.5667-0.0136*B113,4)</f>
        <v>0.51829999999999998</v>
      </c>
      <c r="J118" s="833">
        <f t="shared" si="33"/>
        <v>0.51829999999999998</v>
      </c>
      <c r="K118" s="833">
        <f t="shared" si="33"/>
        <v>0.51829999999999998</v>
      </c>
      <c r="L118" s="833">
        <f t="shared" si="33"/>
        <v>0.51829999999999998</v>
      </c>
      <c r="M118" s="834">
        <f t="shared" si="33"/>
        <v>0.51829999999999998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3" t="s">
        <v>2955</v>
      </c>
      <c r="B20" s="3558" t="s">
        <v>2956</v>
      </c>
      <c r="C20" s="3213" t="s">
        <v>2957</v>
      </c>
      <c r="D20" s="3214"/>
      <c r="E20" s="3215">
        <v>1</v>
      </c>
      <c r="F20" s="3216" t="s">
        <v>2958</v>
      </c>
      <c r="G20" s="807"/>
      <c r="H20" s="801"/>
      <c r="I20" s="801"/>
    </row>
    <row r="21" spans="1:13" s="808" customFormat="1" ht="19.5" customHeight="1">
      <c r="A21" s="3564"/>
      <c r="B21" s="3557"/>
      <c r="C21" s="805" t="s">
        <v>2959</v>
      </c>
      <c r="D21" s="806"/>
      <c r="E21" s="3217">
        <v>1</v>
      </c>
      <c r="F21" s="3216" t="s">
        <v>2960</v>
      </c>
      <c r="G21" s="807"/>
      <c r="H21" s="801"/>
      <c r="I21" s="801"/>
    </row>
    <row r="22" spans="1:13" s="808" customFormat="1" ht="19.5" customHeight="1">
      <c r="A22" s="3564"/>
      <c r="B22" s="3557"/>
      <c r="C22" s="805" t="s">
        <v>2961</v>
      </c>
      <c r="D22" s="806"/>
      <c r="E22" s="3217">
        <v>0.9</v>
      </c>
      <c r="F22" s="3216" t="s">
        <v>2962</v>
      </c>
      <c r="G22" s="807"/>
      <c r="H22" s="801"/>
      <c r="I22" s="801"/>
    </row>
    <row r="23" spans="1:13" s="808" customFormat="1" ht="19.5" customHeight="1">
      <c r="A23" s="3564"/>
      <c r="B23" s="3557"/>
      <c r="C23" s="805" t="s">
        <v>2963</v>
      </c>
      <c r="D23" s="806"/>
      <c r="E23" s="3217">
        <v>0.9</v>
      </c>
      <c r="F23" s="3216" t="s">
        <v>2964</v>
      </c>
      <c r="G23" s="807"/>
      <c r="H23" s="801"/>
      <c r="I23" s="801"/>
    </row>
    <row r="24" spans="1:13" s="808" customFormat="1" ht="19.5" customHeight="1">
      <c r="A24" s="3564"/>
      <c r="B24" s="3557"/>
      <c r="C24" s="805" t="s">
        <v>2965</v>
      </c>
      <c r="D24" s="806"/>
      <c r="E24" s="3217">
        <v>0.8</v>
      </c>
      <c r="F24" s="3216" t="s">
        <v>2966</v>
      </c>
      <c r="G24" s="807"/>
      <c r="H24" s="801"/>
      <c r="I24" s="801"/>
    </row>
    <row r="25" spans="1:13" s="808" customFormat="1" ht="19.5" customHeight="1" thickBot="1">
      <c r="A25" s="3565"/>
      <c r="B25" s="3559"/>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0" t="s">
        <v>2972</v>
      </c>
      <c r="B27" s="3558" t="s">
        <v>2972</v>
      </c>
      <c r="C27" s="3213" t="s">
        <v>2973</v>
      </c>
      <c r="D27" s="3214"/>
      <c r="E27" s="3215">
        <v>1</v>
      </c>
      <c r="F27" s="3216" t="s">
        <v>2974</v>
      </c>
      <c r="G27" s="807"/>
      <c r="H27" s="801"/>
      <c r="I27" s="801"/>
    </row>
    <row r="28" spans="1:13" s="808" customFormat="1" ht="19.5" customHeight="1">
      <c r="A28" s="3561"/>
      <c r="B28" s="3557"/>
      <c r="C28" s="805" t="s">
        <v>2975</v>
      </c>
      <c r="D28" s="806"/>
      <c r="E28" s="3217">
        <v>1</v>
      </c>
      <c r="F28" s="3216" t="s">
        <v>2976</v>
      </c>
      <c r="G28" s="807"/>
      <c r="H28" s="801"/>
      <c r="I28" s="801"/>
    </row>
    <row r="29" spans="1:13" s="808" customFormat="1" ht="19.5" customHeight="1">
      <c r="A29" s="3561"/>
      <c r="B29" s="3557"/>
      <c r="C29" s="805" t="s">
        <v>2977</v>
      </c>
      <c r="D29" s="806"/>
      <c r="E29" s="3217">
        <v>0.8</v>
      </c>
      <c r="F29" s="3216" t="s">
        <v>2978</v>
      </c>
      <c r="G29" s="807"/>
      <c r="H29" s="801"/>
      <c r="I29" s="801"/>
    </row>
    <row r="30" spans="1:13" s="808" customFormat="1" ht="19.5" customHeight="1">
      <c r="A30" s="3561"/>
      <c r="B30" s="3557"/>
      <c r="C30" s="805" t="s">
        <v>2979</v>
      </c>
      <c r="D30" s="806"/>
      <c r="E30" s="3217">
        <v>0.8</v>
      </c>
      <c r="F30" s="3216" t="s">
        <v>2980</v>
      </c>
      <c r="G30" s="807"/>
      <c r="H30" s="801"/>
      <c r="I30" s="801"/>
    </row>
    <row r="31" spans="1:13" s="808" customFormat="1" ht="19.5" customHeight="1">
      <c r="A31" s="3561"/>
      <c r="B31" s="3557"/>
      <c r="C31" s="805" t="s">
        <v>2981</v>
      </c>
      <c r="D31" s="806"/>
      <c r="E31" s="3217">
        <v>0.8</v>
      </c>
      <c r="F31" s="3216" t="s">
        <v>2982</v>
      </c>
      <c r="G31" s="807"/>
      <c r="H31" s="801"/>
      <c r="I31" s="801"/>
    </row>
    <row r="32" spans="1:13" s="808" customFormat="1" ht="19.5" customHeight="1">
      <c r="A32" s="3561"/>
      <c r="B32" s="3557"/>
      <c r="C32" s="805" t="s">
        <v>2983</v>
      </c>
      <c r="D32" s="806"/>
      <c r="E32" s="3217">
        <v>0.7</v>
      </c>
      <c r="F32" s="3216" t="s">
        <v>2984</v>
      </c>
      <c r="G32" s="807"/>
      <c r="H32" s="801"/>
      <c r="I32" s="801"/>
    </row>
    <row r="33" spans="1:9" s="808" customFormat="1" ht="19.5" customHeight="1">
      <c r="A33" s="3561"/>
      <c r="B33" s="3557"/>
      <c r="C33" s="805" t="s">
        <v>2985</v>
      </c>
      <c r="D33" s="806"/>
      <c r="E33" s="3217">
        <v>0.8</v>
      </c>
      <c r="F33" s="3216" t="s">
        <v>2986</v>
      </c>
      <c r="G33" s="807"/>
      <c r="H33" s="801"/>
      <c r="I33" s="801"/>
    </row>
    <row r="34" spans="1:9" s="808" customFormat="1" ht="19.5" customHeight="1">
      <c r="A34" s="3561"/>
      <c r="B34" s="3557"/>
      <c r="C34" s="805" t="s">
        <v>2987</v>
      </c>
      <c r="D34" s="806"/>
      <c r="E34" s="3217">
        <v>0.6</v>
      </c>
      <c r="F34" s="3216" t="s">
        <v>2988</v>
      </c>
      <c r="G34" s="807"/>
      <c r="H34" s="801"/>
      <c r="I34" s="801"/>
    </row>
    <row r="35" spans="1:9" s="808" customFormat="1" ht="19.5" customHeight="1">
      <c r="A35" s="3561"/>
      <c r="B35" s="3557"/>
      <c r="C35" s="805" t="s">
        <v>2989</v>
      </c>
      <c r="D35" s="806"/>
      <c r="E35" s="3217">
        <v>0.2</v>
      </c>
      <c r="F35" s="3216" t="s">
        <v>2990</v>
      </c>
      <c r="G35" s="807"/>
      <c r="H35" s="801"/>
      <c r="I35" s="801"/>
    </row>
    <row r="36" spans="1:9" s="808" customFormat="1" ht="19.5" customHeight="1">
      <c r="A36" s="3561"/>
      <c r="B36" s="3557"/>
      <c r="C36" s="805" t="s">
        <v>2991</v>
      </c>
      <c r="D36" s="806"/>
      <c r="E36" s="3217">
        <v>0.2</v>
      </c>
      <c r="F36" s="3216" t="s">
        <v>2992</v>
      </c>
      <c r="G36" s="807"/>
      <c r="H36" s="801"/>
      <c r="I36" s="801"/>
    </row>
    <row r="37" spans="1:9" s="808" customFormat="1" ht="19.5" customHeight="1">
      <c r="A37" s="3561"/>
      <c r="B37" s="3555" t="s">
        <v>2993</v>
      </c>
      <c r="C37" s="805" t="s">
        <v>2994</v>
      </c>
      <c r="D37" s="806"/>
      <c r="E37" s="3217">
        <v>0.6</v>
      </c>
      <c r="F37" s="3216" t="s">
        <v>2995</v>
      </c>
      <c r="G37" s="807"/>
      <c r="H37" s="801"/>
      <c r="I37" s="801"/>
    </row>
    <row r="38" spans="1:9" s="808" customFormat="1" ht="19.5" customHeight="1">
      <c r="A38" s="3561"/>
      <c r="B38" s="3557"/>
      <c r="C38" s="805" t="s">
        <v>2996</v>
      </c>
      <c r="D38" s="806"/>
      <c r="E38" s="3217">
        <v>0.6</v>
      </c>
      <c r="F38" s="3216" t="s">
        <v>2997</v>
      </c>
      <c r="G38" s="807"/>
      <c r="H38" s="801"/>
      <c r="I38" s="801"/>
    </row>
    <row r="39" spans="1:9" s="808" customFormat="1" ht="19.5" customHeight="1" thickBot="1">
      <c r="A39" s="3562"/>
      <c r="B39" s="3559"/>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3" t="s">
        <v>3003</v>
      </c>
      <c r="B41" s="3558" t="s">
        <v>3004</v>
      </c>
      <c r="C41" s="3213" t="s">
        <v>3005</v>
      </c>
      <c r="D41" s="3214"/>
      <c r="E41" s="3215">
        <v>1</v>
      </c>
      <c r="F41" s="3216" t="s">
        <v>3006</v>
      </c>
      <c r="G41" s="807"/>
      <c r="H41" s="801"/>
      <c r="I41" s="801"/>
    </row>
    <row r="42" spans="1:9" s="808" customFormat="1" ht="19.5" customHeight="1">
      <c r="A42" s="3564"/>
      <c r="B42" s="3557"/>
      <c r="C42" s="805" t="s">
        <v>3007</v>
      </c>
      <c r="D42" s="806"/>
      <c r="E42" s="3217">
        <v>1</v>
      </c>
      <c r="F42" s="3216" t="s">
        <v>3008</v>
      </c>
      <c r="G42" s="807"/>
      <c r="H42" s="801"/>
      <c r="I42" s="801"/>
    </row>
    <row r="43" spans="1:9" s="808" customFormat="1" ht="19.5" customHeight="1">
      <c r="A43" s="3564"/>
      <c r="B43" s="3556"/>
      <c r="C43" s="805" t="s">
        <v>3009</v>
      </c>
      <c r="D43" s="806"/>
      <c r="E43" s="3217">
        <v>1.5</v>
      </c>
      <c r="F43" s="3216" t="s">
        <v>3010</v>
      </c>
      <c r="G43" s="807"/>
      <c r="H43" s="801"/>
      <c r="I43" s="801"/>
    </row>
    <row r="44" spans="1:9" s="808" customFormat="1" ht="19.5" customHeight="1">
      <c r="A44" s="3564"/>
      <c r="B44" s="3226" t="s">
        <v>2972</v>
      </c>
      <c r="C44" s="805" t="s">
        <v>3011</v>
      </c>
      <c r="D44" s="806"/>
      <c r="E44" s="3217">
        <v>2</v>
      </c>
      <c r="F44" s="3216" t="s">
        <v>3012</v>
      </c>
      <c r="G44" s="807"/>
      <c r="H44" s="801"/>
      <c r="I44" s="801"/>
    </row>
    <row r="45" spans="1:9" s="808" customFormat="1" ht="19.5" customHeight="1">
      <c r="A45" s="3564"/>
      <c r="B45" s="3555" t="s">
        <v>3013</v>
      </c>
      <c r="C45" s="805" t="s">
        <v>3014</v>
      </c>
      <c r="D45" s="806"/>
      <c r="E45" s="3217">
        <v>1</v>
      </c>
      <c r="F45" s="3216" t="s">
        <v>3015</v>
      </c>
      <c r="G45" s="807"/>
      <c r="H45" s="801"/>
      <c r="I45" s="801"/>
    </row>
    <row r="46" spans="1:9" s="808" customFormat="1" ht="19.5" customHeight="1">
      <c r="A46" s="3564"/>
      <c r="B46" s="3557"/>
      <c r="C46" s="805" t="s">
        <v>3016</v>
      </c>
      <c r="D46" s="806"/>
      <c r="E46" s="3217">
        <v>1</v>
      </c>
      <c r="F46" s="3216" t="s">
        <v>3017</v>
      </c>
      <c r="G46" s="807"/>
      <c r="H46" s="801"/>
      <c r="I46" s="801"/>
    </row>
    <row r="47" spans="1:9" s="808" customFormat="1" ht="19.5" customHeight="1">
      <c r="A47" s="3564"/>
      <c r="B47" s="3557"/>
      <c r="C47" s="805" t="s">
        <v>3018</v>
      </c>
      <c r="D47" s="806"/>
      <c r="E47" s="3217">
        <v>1</v>
      </c>
      <c r="F47" s="3216" t="s">
        <v>3019</v>
      </c>
      <c r="G47" s="807"/>
      <c r="H47" s="801"/>
      <c r="I47" s="801"/>
    </row>
    <row r="48" spans="1:9" s="808" customFormat="1" ht="19.5" customHeight="1">
      <c r="A48" s="3564"/>
      <c r="B48" s="3557"/>
      <c r="C48" s="805" t="s">
        <v>3020</v>
      </c>
      <c r="D48" s="806"/>
      <c r="E48" s="3217">
        <v>1</v>
      </c>
      <c r="F48" s="3216" t="s">
        <v>3021</v>
      </c>
      <c r="G48" s="807"/>
      <c r="H48" s="801"/>
      <c r="I48" s="801"/>
    </row>
    <row r="49" spans="1:9" s="808" customFormat="1" ht="19.5" customHeight="1">
      <c r="A49" s="3564"/>
      <c r="B49" s="3557"/>
      <c r="C49" s="805" t="s">
        <v>3022</v>
      </c>
      <c r="D49" s="806"/>
      <c r="E49" s="3217">
        <v>1</v>
      </c>
      <c r="F49" s="3216" t="s">
        <v>3023</v>
      </c>
      <c r="G49" s="807"/>
      <c r="H49" s="801"/>
      <c r="I49" s="801"/>
    </row>
    <row r="50" spans="1:9" s="808" customFormat="1" ht="19.5" customHeight="1">
      <c r="A50" s="3564"/>
      <c r="B50" s="3557"/>
      <c r="C50" s="805" t="s">
        <v>3024</v>
      </c>
      <c r="D50" s="806"/>
      <c r="E50" s="3217">
        <v>1</v>
      </c>
      <c r="F50" s="3216" t="s">
        <v>3025</v>
      </c>
      <c r="G50" s="807"/>
      <c r="H50" s="801"/>
      <c r="I50" s="801"/>
    </row>
    <row r="51" spans="1:9" s="808" customFormat="1" ht="19.5" customHeight="1" thickBot="1">
      <c r="A51" s="3565"/>
      <c r="B51" s="3559"/>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5" t="s">
        <v>3029</v>
      </c>
      <c r="C73" s="3206" t="s">
        <v>3030</v>
      </c>
      <c r="D73" s="3206" t="s">
        <v>3031</v>
      </c>
      <c r="E73" s="3227">
        <v>0.2</v>
      </c>
      <c r="F73" s="3226">
        <v>25</v>
      </c>
    </row>
    <row r="74" spans="1:7" s="801" customFormat="1" ht="24">
      <c r="A74" s="3226">
        <v>2</v>
      </c>
      <c r="B74" s="3557"/>
      <c r="C74" s="3206" t="s">
        <v>3032</v>
      </c>
      <c r="D74" s="3206" t="s">
        <v>3033</v>
      </c>
      <c r="E74" s="3227">
        <v>0.2</v>
      </c>
      <c r="F74" s="3226">
        <v>25</v>
      </c>
    </row>
    <row r="75" spans="1:7" s="801" customFormat="1" ht="24">
      <c r="A75" s="3226">
        <v>3</v>
      </c>
      <c r="B75" s="3557"/>
      <c r="C75" s="3206" t="s">
        <v>3034</v>
      </c>
      <c r="D75" s="3206" t="s">
        <v>3035</v>
      </c>
      <c r="E75" s="3227">
        <v>0.2</v>
      </c>
      <c r="F75" s="3226">
        <v>25</v>
      </c>
    </row>
    <row r="76" spans="1:7" s="801" customFormat="1" ht="13.5">
      <c r="A76" s="3226">
        <v>4</v>
      </c>
      <c r="B76" s="3557"/>
      <c r="C76" s="3206" t="s">
        <v>3036</v>
      </c>
      <c r="D76" s="3206" t="s">
        <v>3037</v>
      </c>
      <c r="E76" s="3227">
        <v>0.15</v>
      </c>
      <c r="F76" s="3226">
        <v>20</v>
      </c>
    </row>
    <row r="77" spans="1:7" s="801" customFormat="1" ht="24">
      <c r="A77" s="3226">
        <v>5</v>
      </c>
      <c r="B77" s="3557"/>
      <c r="C77" s="3206" t="s">
        <v>3038</v>
      </c>
      <c r="D77" s="3206" t="s">
        <v>3039</v>
      </c>
      <c r="E77" s="3227">
        <v>0.15</v>
      </c>
      <c r="F77" s="3226">
        <v>20</v>
      </c>
    </row>
    <row r="78" spans="1:7" s="801" customFormat="1" ht="24">
      <c r="A78" s="3226">
        <v>6</v>
      </c>
      <c r="B78" s="3557"/>
      <c r="C78" s="3206" t="s">
        <v>3040</v>
      </c>
      <c r="D78" s="3206" t="s">
        <v>3041</v>
      </c>
      <c r="E78" s="3227">
        <v>0.15</v>
      </c>
      <c r="F78" s="3226">
        <v>20</v>
      </c>
    </row>
    <row r="79" spans="1:7" s="801" customFormat="1" ht="24">
      <c r="A79" s="3226">
        <v>7</v>
      </c>
      <c r="B79" s="3557"/>
      <c r="C79" s="3206" t="s">
        <v>3042</v>
      </c>
      <c r="D79" s="3206" t="s">
        <v>3043</v>
      </c>
      <c r="E79" s="3227">
        <v>0.15</v>
      </c>
      <c r="F79" s="3226">
        <v>20</v>
      </c>
    </row>
    <row r="80" spans="1:7" s="801" customFormat="1" ht="24">
      <c r="A80" s="3226">
        <v>8</v>
      </c>
      <c r="B80" s="3557"/>
      <c r="C80" s="3206" t="s">
        <v>3044</v>
      </c>
      <c r="D80" s="3206" t="s">
        <v>3045</v>
      </c>
      <c r="E80" s="3227">
        <v>0.1</v>
      </c>
      <c r="F80" s="3226">
        <v>15</v>
      </c>
    </row>
    <row r="81" spans="1:6" s="801" customFormat="1" ht="24">
      <c r="A81" s="3226">
        <v>9</v>
      </c>
      <c r="B81" s="3557"/>
      <c r="C81" s="3206" t="s">
        <v>3046</v>
      </c>
      <c r="D81" s="3206" t="s">
        <v>3047</v>
      </c>
      <c r="E81" s="3227">
        <v>0.1</v>
      </c>
      <c r="F81" s="3226">
        <v>15</v>
      </c>
    </row>
    <row r="82" spans="1:6" s="801" customFormat="1" ht="24">
      <c r="A82" s="3226">
        <v>10</v>
      </c>
      <c r="B82" s="3557"/>
      <c r="C82" s="3206" t="s">
        <v>3048</v>
      </c>
      <c r="D82" s="3206" t="s">
        <v>3049</v>
      </c>
      <c r="E82" s="3227">
        <v>0.1</v>
      </c>
      <c r="F82" s="3226">
        <v>15</v>
      </c>
    </row>
    <row r="83" spans="1:6" s="801" customFormat="1" ht="24">
      <c r="A83" s="3226">
        <v>11</v>
      </c>
      <c r="B83" s="3557"/>
      <c r="C83" s="3206" t="s">
        <v>3050</v>
      </c>
      <c r="D83" s="3206" t="s">
        <v>3051</v>
      </c>
      <c r="E83" s="3227">
        <v>0.1</v>
      </c>
      <c r="F83" s="3226">
        <v>15</v>
      </c>
    </row>
    <row r="84" spans="1:6" s="801" customFormat="1" ht="24">
      <c r="A84" s="3226">
        <v>12</v>
      </c>
      <c r="B84" s="3557"/>
      <c r="C84" s="3206" t="s">
        <v>3052</v>
      </c>
      <c r="D84" s="3206" t="s">
        <v>3053</v>
      </c>
      <c r="E84" s="3227">
        <v>0.1</v>
      </c>
      <c r="F84" s="3226">
        <v>15</v>
      </c>
    </row>
    <row r="85" spans="1:6" s="801" customFormat="1" ht="13.5">
      <c r="A85" s="3226">
        <v>13</v>
      </c>
      <c r="B85" s="3557"/>
      <c r="C85" s="3206" t="s">
        <v>3054</v>
      </c>
      <c r="D85" s="3206" t="s">
        <v>3055</v>
      </c>
      <c r="E85" s="3227">
        <v>0.1</v>
      </c>
      <c r="F85" s="3226">
        <v>15</v>
      </c>
    </row>
    <row r="86" spans="1:6" s="801" customFormat="1" ht="13.5">
      <c r="A86" s="3226">
        <v>14</v>
      </c>
      <c r="B86" s="3557"/>
      <c r="C86" s="3206" t="s">
        <v>3056</v>
      </c>
      <c r="D86" s="3206" t="s">
        <v>3057</v>
      </c>
      <c r="E86" s="3227">
        <v>0.1</v>
      </c>
      <c r="F86" s="3226">
        <v>15</v>
      </c>
    </row>
    <row r="87" spans="1:6" s="801" customFormat="1" ht="13.5">
      <c r="A87" s="3226">
        <v>15</v>
      </c>
      <c r="B87" s="3557"/>
      <c r="C87" s="3206" t="s">
        <v>3058</v>
      </c>
      <c r="D87" s="3206" t="s">
        <v>3059</v>
      </c>
      <c r="E87" s="3227">
        <v>0.1</v>
      </c>
      <c r="F87" s="3226">
        <v>15</v>
      </c>
    </row>
    <row r="88" spans="1:6" s="801" customFormat="1" ht="24">
      <c r="A88" s="3226">
        <v>16</v>
      </c>
      <c r="B88" s="355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3.5">
      <c r="A90" s="3226">
        <v>18</v>
      </c>
      <c r="B90" s="3555" t="s">
        <v>3064</v>
      </c>
      <c r="C90" s="3206" t="s">
        <v>3065</v>
      </c>
      <c r="D90" s="3206" t="s">
        <v>3066</v>
      </c>
      <c r="E90" s="3227">
        <v>0.2</v>
      </c>
      <c r="F90" s="3226">
        <v>25</v>
      </c>
    </row>
    <row r="91" spans="1:6" s="801" customFormat="1" ht="24">
      <c r="A91" s="3226">
        <v>19</v>
      </c>
      <c r="B91" s="3557"/>
      <c r="C91" s="3206" t="s">
        <v>3067</v>
      </c>
      <c r="D91" s="3206" t="s">
        <v>3068</v>
      </c>
      <c r="E91" s="3227">
        <v>0.2</v>
      </c>
      <c r="F91" s="3226">
        <v>25</v>
      </c>
    </row>
    <row r="92" spans="1:6" s="801" customFormat="1" ht="13.5">
      <c r="A92" s="3226">
        <v>20</v>
      </c>
      <c r="B92" s="3557"/>
      <c r="C92" s="3206" t="s">
        <v>3069</v>
      </c>
      <c r="D92" s="3206" t="s">
        <v>3070</v>
      </c>
      <c r="E92" s="3227">
        <v>0.15</v>
      </c>
      <c r="F92" s="3226">
        <v>20</v>
      </c>
    </row>
    <row r="93" spans="1:6" s="801" customFormat="1" ht="24">
      <c r="A93" s="3226">
        <v>21</v>
      </c>
      <c r="B93" s="3557"/>
      <c r="C93" s="3206" t="s">
        <v>3071</v>
      </c>
      <c r="D93" s="3206" t="s">
        <v>3072</v>
      </c>
      <c r="E93" s="3227">
        <v>0.15</v>
      </c>
      <c r="F93" s="3226">
        <v>20</v>
      </c>
    </row>
    <row r="94" spans="1:6" s="801" customFormat="1" ht="24">
      <c r="A94" s="3226">
        <v>22</v>
      </c>
      <c r="B94" s="3557"/>
      <c r="C94" s="3206" t="s">
        <v>3073</v>
      </c>
      <c r="D94" s="3206" t="s">
        <v>3074</v>
      </c>
      <c r="E94" s="3227">
        <v>0.15</v>
      </c>
      <c r="F94" s="3226">
        <v>20</v>
      </c>
    </row>
    <row r="95" spans="1:6" s="801" customFormat="1" ht="36">
      <c r="A95" s="3226">
        <v>23</v>
      </c>
      <c r="B95" s="3557"/>
      <c r="C95" s="3206" t="s">
        <v>3075</v>
      </c>
      <c r="D95" s="3206" t="s">
        <v>3076</v>
      </c>
      <c r="E95" s="3227">
        <v>0.15</v>
      </c>
      <c r="F95" s="3226">
        <v>20</v>
      </c>
    </row>
    <row r="96" spans="1:6" s="801" customFormat="1" ht="13.5">
      <c r="A96" s="3226">
        <v>24</v>
      </c>
      <c r="B96" s="3557"/>
      <c r="C96" s="3206" t="s">
        <v>3077</v>
      </c>
      <c r="D96" s="3206" t="s">
        <v>3078</v>
      </c>
      <c r="E96" s="3227">
        <v>0.1</v>
      </c>
      <c r="F96" s="3226">
        <v>15</v>
      </c>
    </row>
    <row r="97" spans="1:6" s="801" customFormat="1" ht="24">
      <c r="A97" s="3226">
        <v>25</v>
      </c>
      <c r="B97" s="3557"/>
      <c r="C97" s="3206" t="s">
        <v>3079</v>
      </c>
      <c r="D97" s="3206" t="s">
        <v>3080</v>
      </c>
      <c r="E97" s="3227">
        <v>0.1</v>
      </c>
      <c r="F97" s="3226">
        <v>15</v>
      </c>
    </row>
    <row r="98" spans="1:6" s="801" customFormat="1" ht="24">
      <c r="A98" s="3226">
        <v>26</v>
      </c>
      <c r="B98" s="3557"/>
      <c r="C98" s="3206" t="s">
        <v>3081</v>
      </c>
      <c r="D98" s="3206" t="s">
        <v>3082</v>
      </c>
      <c r="E98" s="3227">
        <v>0.1</v>
      </c>
      <c r="F98" s="3226">
        <v>15</v>
      </c>
    </row>
    <row r="99" spans="1:6" s="801" customFormat="1" ht="24">
      <c r="A99" s="3226">
        <v>27</v>
      </c>
      <c r="B99" s="3557"/>
      <c r="C99" s="3206" t="s">
        <v>3083</v>
      </c>
      <c r="D99" s="3206" t="s">
        <v>3084</v>
      </c>
      <c r="E99" s="3227">
        <v>0.1</v>
      </c>
      <c r="F99" s="3226">
        <v>15</v>
      </c>
    </row>
    <row r="100" spans="1:6" s="801" customFormat="1" ht="24">
      <c r="A100" s="3226">
        <v>28</v>
      </c>
      <c r="B100" s="3557"/>
      <c r="C100" s="3206" t="s">
        <v>3085</v>
      </c>
      <c r="D100" s="3206" t="s">
        <v>3086</v>
      </c>
      <c r="E100" s="3227">
        <v>0.1</v>
      </c>
      <c r="F100" s="3226">
        <v>15</v>
      </c>
    </row>
    <row r="101" spans="1:6" s="801" customFormat="1" ht="24">
      <c r="A101" s="3226">
        <v>29</v>
      </c>
      <c r="B101" s="3557"/>
      <c r="C101" s="3206" t="s">
        <v>3087</v>
      </c>
      <c r="D101" s="3206" t="s">
        <v>3088</v>
      </c>
      <c r="E101" s="3227">
        <v>0.1</v>
      </c>
      <c r="F101" s="3226">
        <v>15</v>
      </c>
    </row>
    <row r="102" spans="1:6" s="801" customFormat="1" ht="24">
      <c r="A102" s="3226">
        <v>30</v>
      </c>
      <c r="B102" s="3557"/>
      <c r="C102" s="3206" t="s">
        <v>3089</v>
      </c>
      <c r="D102" s="3206" t="s">
        <v>3090</v>
      </c>
      <c r="E102" s="3227">
        <v>0.1</v>
      </c>
      <c r="F102" s="3226">
        <v>15</v>
      </c>
    </row>
    <row r="103" spans="1:6" s="801" customFormat="1" ht="24">
      <c r="A103" s="3226">
        <v>31</v>
      </c>
      <c r="B103" s="3557"/>
      <c r="C103" s="3206" t="s">
        <v>3091</v>
      </c>
      <c r="D103" s="3206" t="s">
        <v>3092</v>
      </c>
      <c r="E103" s="3227">
        <v>0.1</v>
      </c>
      <c r="F103" s="3226">
        <v>15</v>
      </c>
    </row>
    <row r="104" spans="1:6" s="801" customFormat="1" ht="24">
      <c r="A104" s="3226">
        <v>32</v>
      </c>
      <c r="B104" s="3557"/>
      <c r="C104" s="3206" t="s">
        <v>3093</v>
      </c>
      <c r="D104" s="3206" t="s">
        <v>3094</v>
      </c>
      <c r="E104" s="3227">
        <v>0.1</v>
      </c>
      <c r="F104" s="3226">
        <v>15</v>
      </c>
    </row>
    <row r="105" spans="1:6" s="801" customFormat="1" ht="24">
      <c r="A105" s="3226">
        <v>33</v>
      </c>
      <c r="B105" s="355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24">
      <c r="A107" s="3226">
        <v>35</v>
      </c>
      <c r="B107" s="3555" t="s">
        <v>3099</v>
      </c>
      <c r="C107" s="3226" t="s">
        <v>3100</v>
      </c>
      <c r="D107" s="3206" t="s">
        <v>3101</v>
      </c>
      <c r="E107" s="3227">
        <v>0.15</v>
      </c>
      <c r="F107" s="3226">
        <v>20</v>
      </c>
    </row>
    <row r="108" spans="1:6" s="801" customFormat="1" ht="24">
      <c r="A108" s="3226">
        <v>36</v>
      </c>
      <c r="B108" s="3557"/>
      <c r="C108" s="3226" t="s">
        <v>3102</v>
      </c>
      <c r="D108" s="3206" t="s">
        <v>3103</v>
      </c>
      <c r="E108" s="3227">
        <v>0.15</v>
      </c>
      <c r="F108" s="3226">
        <v>20</v>
      </c>
    </row>
    <row r="109" spans="1:6" s="801" customFormat="1" ht="24">
      <c r="A109" s="3226">
        <v>37</v>
      </c>
      <c r="B109" s="3557"/>
      <c r="C109" s="3226" t="s">
        <v>3104</v>
      </c>
      <c r="D109" s="3206" t="s">
        <v>3105</v>
      </c>
      <c r="E109" s="3227">
        <v>0.15</v>
      </c>
      <c r="F109" s="3226">
        <v>20</v>
      </c>
    </row>
    <row r="110" spans="1:6" s="801" customFormat="1" ht="13.5">
      <c r="A110" s="3226">
        <v>38</v>
      </c>
      <c r="B110" s="3557"/>
      <c r="C110" s="3226" t="s">
        <v>3106</v>
      </c>
      <c r="D110" s="3206" t="s">
        <v>3107</v>
      </c>
      <c r="E110" s="3227">
        <v>0.1</v>
      </c>
      <c r="F110" s="3226">
        <v>15</v>
      </c>
    </row>
    <row r="111" spans="1:6" s="801" customFormat="1" ht="24">
      <c r="A111" s="3226">
        <v>39</v>
      </c>
      <c r="B111" s="355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4" t="s">
        <v>3112</v>
      </c>
      <c r="C113" s="3226" t="s">
        <v>3113</v>
      </c>
      <c r="D113" s="3206" t="s">
        <v>3114</v>
      </c>
      <c r="E113" s="3227">
        <v>0.1</v>
      </c>
      <c r="F113" s="3226">
        <v>15</v>
      </c>
    </row>
    <row r="114" spans="1:6" s="801" customFormat="1" ht="13.5">
      <c r="A114" s="3226">
        <v>42</v>
      </c>
      <c r="B114" s="3554"/>
      <c r="C114" s="3226" t="s">
        <v>3115</v>
      </c>
      <c r="D114" s="3206" t="s">
        <v>3116</v>
      </c>
      <c r="E114" s="3227">
        <v>0.1</v>
      </c>
      <c r="F114" s="3226">
        <v>15</v>
      </c>
    </row>
    <row r="115" spans="1:6" s="801" customFormat="1" ht="24">
      <c r="A115" s="3226">
        <v>43</v>
      </c>
      <c r="B115" s="3554"/>
      <c r="C115" s="3226" t="s">
        <v>3117</v>
      </c>
      <c r="D115" s="3206" t="s">
        <v>3118</v>
      </c>
      <c r="E115" s="3227">
        <v>0.1</v>
      </c>
      <c r="F115" s="3226">
        <v>15</v>
      </c>
    </row>
    <row r="116" spans="1:6" s="801" customFormat="1" ht="24">
      <c r="A116" s="3226">
        <v>44</v>
      </c>
      <c r="B116" s="3555"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5"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5" t="s">
        <v>3129</v>
      </c>
      <c r="C120" s="3226" t="s">
        <v>3130</v>
      </c>
      <c r="D120" s="3206" t="s">
        <v>3131</v>
      </c>
      <c r="E120" s="3227">
        <v>0.1</v>
      </c>
      <c r="F120" s="3226">
        <v>15</v>
      </c>
    </row>
    <row r="121" spans="1:6" s="801" customFormat="1" ht="13.5">
      <c r="A121" s="3226">
        <v>49</v>
      </c>
      <c r="B121" s="3556"/>
      <c r="C121" s="3226" t="s">
        <v>3132</v>
      </c>
      <c r="D121" s="3206" t="s">
        <v>3133</v>
      </c>
      <c r="E121" s="3227">
        <v>0.1</v>
      </c>
      <c r="F121" s="3226">
        <v>15</v>
      </c>
    </row>
    <row r="122" spans="1:6" s="801" customFormat="1" ht="24">
      <c r="A122" s="3226">
        <v>50</v>
      </c>
      <c r="B122" s="3554" t="s">
        <v>3134</v>
      </c>
      <c r="C122" s="3226" t="s">
        <v>3135</v>
      </c>
      <c r="D122" s="3206" t="s">
        <v>3136</v>
      </c>
      <c r="E122" s="3227">
        <v>0.1</v>
      </c>
      <c r="F122" s="3226">
        <v>15</v>
      </c>
    </row>
    <row r="123" spans="1:6" s="801" customFormat="1" ht="24">
      <c r="A123" s="3226">
        <v>51</v>
      </c>
      <c r="B123" s="3554"/>
      <c r="C123" s="3226" t="s">
        <v>3137</v>
      </c>
      <c r="D123" s="3206" t="s">
        <v>3138</v>
      </c>
      <c r="E123" s="3227">
        <v>0.1</v>
      </c>
      <c r="F123" s="3226">
        <v>15</v>
      </c>
    </row>
    <row r="124" spans="1:6" s="801" customFormat="1" ht="24">
      <c r="A124" s="3226">
        <v>52</v>
      </c>
      <c r="B124" s="3554" t="s">
        <v>3139</v>
      </c>
      <c r="C124" s="3226" t="s">
        <v>3140</v>
      </c>
      <c r="D124" s="3206" t="s">
        <v>3141</v>
      </c>
      <c r="E124" s="3227">
        <v>0.1</v>
      </c>
      <c r="F124" s="3226">
        <v>15</v>
      </c>
    </row>
    <row r="125" spans="1:6" s="801" customFormat="1" ht="24">
      <c r="A125" s="3226">
        <v>53</v>
      </c>
      <c r="B125" s="3554"/>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4" t="s">
        <v>3147</v>
      </c>
      <c r="C127" s="3226" t="s">
        <v>3148</v>
      </c>
      <c r="D127" s="3206" t="s">
        <v>3149</v>
      </c>
      <c r="E127" s="3227">
        <v>0.1</v>
      </c>
      <c r="F127" s="3226">
        <v>15</v>
      </c>
    </row>
    <row r="128" spans="1:6" ht="13.5">
      <c r="A128" s="3226">
        <v>56</v>
      </c>
      <c r="B128" s="3554"/>
      <c r="C128" s="3226" t="s">
        <v>3150</v>
      </c>
      <c r="D128" s="3206" t="s">
        <v>3151</v>
      </c>
      <c r="E128" s="3227">
        <v>0.1</v>
      </c>
      <c r="F128" s="3226">
        <v>15</v>
      </c>
    </row>
    <row r="129" spans="1:6" ht="24">
      <c r="A129" s="3226">
        <v>57</v>
      </c>
      <c r="B129" s="3554"/>
      <c r="C129" s="3226" t="s">
        <v>3152</v>
      </c>
      <c r="D129" s="3206" t="s">
        <v>3153</v>
      </c>
      <c r="E129" s="3227">
        <v>0.1</v>
      </c>
      <c r="F129" s="3226">
        <v>15</v>
      </c>
    </row>
    <row r="130" spans="1:6" ht="24">
      <c r="A130" s="3226">
        <v>58</v>
      </c>
      <c r="B130" s="3554" t="s">
        <v>3154</v>
      </c>
      <c r="C130" s="3226" t="s">
        <v>3155</v>
      </c>
      <c r="D130" s="3206" t="s">
        <v>3156</v>
      </c>
      <c r="E130" s="3227">
        <v>0.1</v>
      </c>
      <c r="F130" s="3226">
        <v>15</v>
      </c>
    </row>
    <row r="131" spans="1:6" ht="24">
      <c r="A131" s="3226">
        <v>59</v>
      </c>
      <c r="B131" s="3554"/>
      <c r="C131" s="3226" t="s">
        <v>3157</v>
      </c>
      <c r="D131" s="3206" t="s">
        <v>3158</v>
      </c>
      <c r="E131" s="3227">
        <v>0.1</v>
      </c>
      <c r="F131" s="3226">
        <v>15</v>
      </c>
    </row>
    <row r="132" spans="1:6" ht="24">
      <c r="A132" s="3226">
        <v>60</v>
      </c>
      <c r="B132" s="3555"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4" t="s">
        <v>3167</v>
      </c>
      <c r="C135" s="3226" t="s">
        <v>3168</v>
      </c>
      <c r="D135" s="3206" t="s">
        <v>3169</v>
      </c>
      <c r="E135" s="3227">
        <v>0.1</v>
      </c>
      <c r="F135" s="3226">
        <v>15</v>
      </c>
    </row>
    <row r="136" spans="1:6" ht="13.5">
      <c r="A136" s="3226">
        <v>64</v>
      </c>
      <c r="B136" s="3554"/>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1" t="s">
        <v>877</v>
      </c>
      <c r="C1" s="3571"/>
      <c r="D1" s="3571"/>
      <c r="E1" s="3571"/>
      <c r="F1" s="3571"/>
      <c r="G1" s="3570" t="s">
        <v>878</v>
      </c>
      <c r="H1" s="3570"/>
      <c r="I1" s="3570"/>
      <c r="J1" s="3570"/>
      <c r="K1" s="3570"/>
      <c r="L1" s="3570"/>
      <c r="N1" s="3570" t="s">
        <v>879</v>
      </c>
      <c r="O1" s="3570"/>
      <c r="P1" s="3570"/>
      <c r="Q1" s="3570"/>
      <c r="S1" s="3570" t="s">
        <v>880</v>
      </c>
      <c r="T1" s="3570"/>
      <c r="U1" s="3570"/>
      <c r="V1" s="3570"/>
      <c r="X1" s="3569" t="s">
        <v>881</v>
      </c>
      <c r="Y1" s="3570"/>
      <c r="Z1" s="3570"/>
      <c r="AA1" s="3570"/>
      <c r="AB1" s="3570"/>
      <c r="AD1" s="3569" t="s">
        <v>882</v>
      </c>
      <c r="AE1" s="3570"/>
      <c r="AF1" s="3570"/>
      <c r="AG1" s="3570"/>
      <c r="AH1" s="357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13144</v>
      </c>
      <c r="E5" s="1627"/>
    </row>
    <row r="6" spans="1:5" ht="15.75">
      <c r="A6" s="1627"/>
      <c r="B6" s="3241"/>
      <c r="C6" s="1630" t="s">
        <v>1348</v>
      </c>
      <c r="D6" s="940" t="str">
        <f ca="1">NUMBERSTRING(INT(D5*10000),2)&amp;"元整"</f>
        <v>壹亿叁仟壹佰肆拾肆万元整</v>
      </c>
      <c r="E6" s="1627"/>
    </row>
    <row r="7" spans="1:5" ht="15.75">
      <c r="A7" s="1627"/>
      <c r="B7" s="3246"/>
      <c r="C7" s="1631" t="s">
        <v>1349</v>
      </c>
      <c r="D7" s="941">
        <f ca="1">结果表!H102</f>
        <v>13231</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13144</v>
      </c>
      <c r="E13" s="1627"/>
    </row>
    <row r="14" spans="1:5" ht="15.75">
      <c r="A14" s="1627"/>
      <c r="B14" s="3241"/>
      <c r="C14" s="1630" t="s">
        <v>1348</v>
      </c>
      <c r="D14" s="940" t="str">
        <f ca="1">NUMBERSTRING(INT(D13*10000),2)&amp;"元整"</f>
        <v>壹亿叁仟壹佰肆拾肆万元整</v>
      </c>
      <c r="E14" s="1627"/>
    </row>
    <row r="15" spans="1:5" ht="15">
      <c r="A15" s="1627"/>
      <c r="B15" s="3246"/>
      <c r="C15" s="1631" t="s">
        <v>1358</v>
      </c>
      <c r="D15" s="949">
        <f ca="1">结果表!H108</f>
        <v>13231</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v>
      </c>
      <c r="C19" s="1635" t="s">
        <v>1347</v>
      </c>
      <c r="D19" s="941" t="str">
        <f>结果表!H111</f>
        <v>——</v>
      </c>
      <c r="E19" s="1627"/>
    </row>
    <row r="20" spans="1:5" ht="15.75">
      <c r="A20" s="1627"/>
      <c r="B20" s="3241"/>
      <c r="C20" s="1630" t="s">
        <v>1360</v>
      </c>
      <c r="D20" s="940" t="e">
        <f>NUMBERSTRING(INT(D19*10000),2)&amp;"元整"</f>
        <v>#VALUE!</v>
      </c>
      <c r="E20" s="1627"/>
    </row>
    <row r="21" spans="1:5" ht="15.75" thickBot="1">
      <c r="A21" s="1627"/>
      <c r="B21" s="324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0" t="s">
        <v>2584</v>
      </c>
      <c r="D1" s="3581"/>
      <c r="E1" s="3581"/>
      <c r="F1" s="3581"/>
      <c r="G1" s="3581"/>
      <c r="H1" s="3581"/>
      <c r="I1" s="3581"/>
      <c r="J1" s="3581"/>
      <c r="K1" s="3581"/>
      <c r="L1" s="3581"/>
      <c r="M1" s="3581"/>
      <c r="N1" s="3581"/>
      <c r="O1" s="3581"/>
      <c r="P1" s="3581"/>
      <c r="Q1" s="3581"/>
      <c r="R1" s="3581"/>
      <c r="S1" s="358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7" t="s">
        <v>33</v>
      </c>
      <c r="D22" s="3578"/>
      <c r="E22" s="3578"/>
      <c r="F22" s="3578"/>
      <c r="G22" s="3578"/>
      <c r="H22" s="3578"/>
      <c r="I22" s="3578"/>
      <c r="J22" s="3578"/>
      <c r="K22" s="3578"/>
      <c r="L22" s="3578"/>
      <c r="M22" s="3578"/>
      <c r="N22" s="3578"/>
      <c r="O22" s="3578"/>
      <c r="P22" s="3578"/>
      <c r="Q22" s="357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33947</v>
      </c>
      <c r="C2" s="2" t="s">
        <v>133</v>
      </c>
      <c r="D2" s="205"/>
      <c r="E2" s="205"/>
      <c r="F2" s="205"/>
      <c r="G2" s="205"/>
    </row>
    <row r="3" spans="1:7" s="206" customFormat="1" ht="18" customHeight="1" thickBot="1">
      <c r="A3" s="209" t="s">
        <v>85</v>
      </c>
      <c r="B3" s="210">
        <f ca="1">ROUND(B2*10000/'数据-汇总表'!E3,0)</f>
        <v>34171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199</v>
      </c>
      <c r="D10" s="935">
        <f>'数据-汇总表'!E6</f>
        <v>9934.4500000000007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199</v>
      </c>
      <c r="D19" s="939">
        <f>'数据-汇总表'!E3</f>
        <v>9934.4500000000007</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1780</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17</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4245</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4245</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29529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3832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3477</v>
      </c>
      <c r="D34" s="223"/>
      <c r="E34" s="226"/>
      <c r="F34" s="263">
        <f>IF('数据-取费表'!B24=0,1,'数据-取费表'!N16)</f>
        <v>1</v>
      </c>
      <c r="G34" s="225" t="s">
        <v>116</v>
      </c>
    </row>
    <row r="35" spans="1:7" ht="13.5" customHeight="1">
      <c r="A35" s="869" t="s">
        <v>615</v>
      </c>
      <c r="B35" s="221" t="s">
        <v>60</v>
      </c>
      <c r="C35" s="226">
        <f>ROUND(C34*F35,0)</f>
        <v>104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199</v>
      </c>
      <c r="D37" s="223">
        <f>'数据-汇总表'!E3</f>
        <v>9934.4500000000007</v>
      </c>
      <c r="E37" s="255">
        <f>'数据-取费表'!B35</f>
        <v>200</v>
      </c>
      <c r="F37" s="265"/>
      <c r="G37" s="267" t="s">
        <v>119</v>
      </c>
    </row>
    <row r="38" spans="1:7" ht="13.5" customHeight="1">
      <c r="A38" s="869" t="s">
        <v>618</v>
      </c>
      <c r="B38" s="221" t="s">
        <v>63</v>
      </c>
      <c r="C38" s="226">
        <f>ROUND(C34*F38,0)</f>
        <v>52</v>
      </c>
      <c r="D38" s="226"/>
      <c r="E38" s="226"/>
      <c r="F38" s="265">
        <f>'数据-取费表'!B36</f>
        <v>1.4999999999999999E-2</v>
      </c>
      <c r="G38" s="225" t="s">
        <v>117</v>
      </c>
    </row>
    <row r="39" spans="1:7" s="220" customFormat="1" ht="13.5" customHeight="1">
      <c r="A39" s="866" t="s">
        <v>602</v>
      </c>
      <c r="B39" s="216" t="s">
        <v>104</v>
      </c>
      <c r="C39" s="238">
        <f>ROUND(C33*F20,0)</f>
        <v>77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159</v>
      </c>
      <c r="D42" s="244"/>
      <c r="E42" s="244"/>
      <c r="F42" s="245"/>
      <c r="G42" s="3429" t="s">
        <v>121</v>
      </c>
    </row>
    <row r="43" spans="1:7" ht="13.5" customHeight="1">
      <c r="A43" s="869" t="s">
        <v>611</v>
      </c>
      <c r="B43" s="221" t="s">
        <v>851</v>
      </c>
      <c r="C43" s="244">
        <f ca="1">ROUND(IF('数据-取费表'!B22&lt;=1,C39*F22*'数据-取费表'!B21/2,C39*(POWER((1+F22),'数据-取费表'!B21/2)-1)),0)</f>
        <v>3</v>
      </c>
      <c r="D43" s="244"/>
      <c r="E43" s="244"/>
      <c r="F43" s="245"/>
      <c r="G43" s="3430"/>
    </row>
    <row r="44" spans="1:7" ht="13.5" customHeight="1">
      <c r="A44" s="869" t="s">
        <v>612</v>
      </c>
      <c r="B44" s="221" t="s">
        <v>853</v>
      </c>
      <c r="C44" s="244">
        <f ca="1">ROUND(IF('数据-取费表'!B22&lt;=1,C40*F22*'数据-取费表'!B21/2,C40*(POWER((1+F22),'数据-取费表'!B21/2)-1)),4)</f>
        <v>8.0000000000000004E-4</v>
      </c>
      <c r="D44" s="244"/>
      <c r="E44" s="244"/>
      <c r="F44" s="245"/>
      <c r="G44" s="3431"/>
    </row>
    <row r="45" spans="1:7" s="220" customFormat="1" ht="13.5" customHeight="1">
      <c r="A45" s="866" t="s">
        <v>605</v>
      </c>
      <c r="B45" s="250" t="s">
        <v>112</v>
      </c>
      <c r="C45" s="251">
        <f>C46</f>
        <v>782</v>
      </c>
      <c r="D45" s="241">
        <f>C47</f>
        <v>4.0000000000000001E-3</v>
      </c>
      <c r="E45" s="242" t="s">
        <v>129</v>
      </c>
      <c r="F45" s="252"/>
      <c r="G45" s="253" t="s">
        <v>859</v>
      </c>
    </row>
    <row r="46" spans="1:7" s="220" customFormat="1" ht="13.5" customHeight="1">
      <c r="A46" s="869" t="s">
        <v>613</v>
      </c>
      <c r="B46" s="254" t="s">
        <v>852</v>
      </c>
      <c r="C46" s="255">
        <f>ROUND((C33+C39)*F27,0)</f>
        <v>782</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5259</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4418</v>
      </c>
      <c r="D51" s="238"/>
      <c r="E51" s="238"/>
      <c r="F51" s="270"/>
      <c r="G51" s="240" t="s">
        <v>64</v>
      </c>
    </row>
    <row r="52" spans="1:7" s="214" customFormat="1" ht="16.5" thickBot="1">
      <c r="A52" s="271" t="s">
        <v>65</v>
      </c>
      <c r="B52" s="272"/>
      <c r="C52" s="273">
        <f ca="1">C31+C51</f>
        <v>33947</v>
      </c>
      <c r="D52" s="272"/>
      <c r="E52" s="272"/>
      <c r="F52" s="272"/>
      <c r="G52" s="274"/>
    </row>
    <row r="55" spans="1:7" ht="15">
      <c r="B55" s="276" t="s">
        <v>66</v>
      </c>
      <c r="C55" s="277"/>
    </row>
    <row r="56" spans="1:7">
      <c r="B56" s="279" t="s">
        <v>67</v>
      </c>
      <c r="C56" s="280">
        <f ca="1">ROUND(C51/C52,3)</f>
        <v>0.13</v>
      </c>
    </row>
    <row r="57" spans="1:7">
      <c r="B57" s="279" t="s">
        <v>68</v>
      </c>
      <c r="C57" s="281">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3" t="s">
        <v>658</v>
      </c>
      <c r="B1" s="358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36" sqref="D36"/>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1362</v>
      </c>
      <c r="E3" s="944" t="s">
        <v>1368</v>
      </c>
      <c r="F3" s="944" t="s">
        <v>1362</v>
      </c>
      <c r="G3" s="944" t="s">
        <v>1363</v>
      </c>
      <c r="H3" s="944" t="s">
        <v>1362</v>
      </c>
      <c r="I3" s="944" t="s">
        <v>1363</v>
      </c>
    </row>
    <row r="4" spans="1:9" ht="30">
      <c r="A4" s="1641" t="str">
        <f>项目基本情况!S2</f>
        <v>北京市大兴区兴华大街2号房地产</v>
      </c>
      <c r="B4" s="944">
        <f>项目基本情况!C17</f>
        <v>9934.4500000000007</v>
      </c>
      <c r="C4" s="944">
        <f>项目基本情况!C18</f>
        <v>2392</v>
      </c>
      <c r="D4" s="944">
        <f ca="1">结果表!D118</f>
        <v>8780</v>
      </c>
      <c r="E4" s="944">
        <f ca="1">结果表!E118</f>
        <v>8838</v>
      </c>
      <c r="F4" s="944">
        <f ca="1">结果表!F118</f>
        <v>4364</v>
      </c>
      <c r="G4" s="944">
        <f ca="1">结果表!G118</f>
        <v>4393</v>
      </c>
      <c r="H4" s="944">
        <f ca="1">结果表!H118</f>
        <v>13144</v>
      </c>
      <c r="I4" s="944">
        <f ca="1">结果表!I118</f>
        <v>13231</v>
      </c>
    </row>
    <row r="5" spans="1:9" ht="30" customHeight="1">
      <c r="A5" s="3254" t="s">
        <v>1364</v>
      </c>
      <c r="B5" s="3254"/>
      <c r="C5" s="3254"/>
      <c r="D5" s="3255" t="str">
        <f ca="1">结果表!D119</f>
        <v>捌仟柒佰捌拾万元整</v>
      </c>
      <c r="E5" s="3255"/>
      <c r="F5" s="3255" t="str">
        <f ca="1">结果表!F119</f>
        <v>肆仟叁佰陆拾肆万元整</v>
      </c>
      <c r="G5" s="3255"/>
      <c r="H5" s="3255" t="str">
        <f ca="1">结果表!H119</f>
        <v>壹亿叁仟壹佰肆拾肆万元整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房地产抵押价值</v>
      </c>
      <c r="B8" s="3253"/>
      <c r="C8" s="3253"/>
      <c r="D8" s="3253">
        <f ca="1">结果表!D122</f>
        <v>13144</v>
      </c>
      <c r="E8" s="3253"/>
      <c r="F8" s="3253"/>
      <c r="G8" s="3253"/>
      <c r="H8" s="3253"/>
      <c r="I8" s="3253"/>
    </row>
    <row r="9" spans="1:9" ht="15">
      <c r="A9" s="3254" t="s">
        <v>1364</v>
      </c>
      <c r="B9" s="3254"/>
      <c r="C9" s="3254"/>
      <c r="D9" s="3255" t="str">
        <f ca="1">结果表!D123</f>
        <v>壹亿叁仟壹佰肆拾肆万元整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1364</v>
      </c>
      <c r="B13" s="3250"/>
      <c r="C13" s="3250"/>
      <c r="D13" s="3251" t="e">
        <f>结果表!D127</f>
        <v>#VALUE!</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44872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2022-11-07T07:38:19Z</dcterms:modified>
</cp:coreProperties>
</file>