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150" tabRatio="899" firstSheet="15" activeTab="5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面积" sheetId="77"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优先受偿" sheetId="80" r:id="rId20"/>
    <sheet name="成本计算" sheetId="82" r:id="rId21"/>
    <sheet name="成本法" sheetId="68" r:id="rId22"/>
    <sheet name="成本法 (元)" sheetId="69" state="hidden" r:id="rId23"/>
    <sheet name="土地比较法-住宅、综合" sheetId="39" r:id="rId24"/>
    <sheet name="土地案例" sheetId="81" state="hidden" r:id="rId25"/>
    <sheet name="假设开发法" sheetId="12" r:id="rId26"/>
    <sheet name="比较法-住宅" sheetId="21" r:id="rId27"/>
    <sheet name="比较法-公寓" sheetId="79" r:id="rId28"/>
    <sheet name="案例" sheetId="78" r:id="rId29"/>
    <sheet name="收益法" sheetId="15" r:id="rId30"/>
    <sheet name="收益法 (元)" sheetId="67" state="hidden" r:id="rId31"/>
    <sheet name="收益法（汇总）" sheetId="70" state="hidden" r:id="rId32"/>
    <sheet name="酒店收入计算" sheetId="66"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拆分方法" sheetId="83" r:id="rId51"/>
  </sheets>
  <externalReferences>
    <externalReference r:id="rId52"/>
    <externalReference r:id="rId53"/>
    <externalReference r:id="rId54"/>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7" hidden="1">'比较法-公寓'!$A$1:$L$49</definedName>
    <definedName name="_xlnm._FilterDatabase" localSheetId="33" hidden="1">'比较法-商业'!$A$1:$L$49</definedName>
    <definedName name="_xlnm._FilterDatabase" localSheetId="26"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30">'收益法 (元)'!$A$1:$AK$69</definedName>
    <definedName name="_xlnm.Print_Area" localSheetId="14">'数据-汇总表'!$A$1:$P$32</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修正!$C$17:$C$39</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19">[1]定义!$D$1:$D$4</definedName>
    <definedName name="判定">定义!$D$1:$D$4</definedName>
    <definedName name="七级">区片价!$N$1:$N$49</definedName>
    <definedName name="七通一平" localSheetId="19">[1]修正!$A$6:$A$14</definedName>
    <definedName name="七通一平">修正!$A$6:$A$14</definedName>
    <definedName name="区域土地利用方向" localSheetId="19">[1]定义!$P$1:$P$6</definedName>
    <definedName name="区域土地利用方向">定义!$P$1:$P$6</definedName>
    <definedName name="三级">区片价!$J$1:$J$21</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[1]修正!$C$59:$C$119</definedName>
    <definedName name="商业街名称">修正!$C$59:$C$119</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'土地比较法-住宅、综合'!$A$73:$M$73</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'土地比较法-住宅、综合'!$B$106:$M$106</definedName>
    <definedName name="套综工程地质条件" localSheetId="19">'[1]土地比较法-住宅、综合'!$B$125:$M$125</definedName>
    <definedName name="套综工程地质条件">'土地比较法-住宅、综合'!$B$125:$M$125</definedName>
    <definedName name="套综交易情况" localSheetId="19">'[1]土地比较法-住宅、综合'!$A$73:$M$73</definedName>
    <definedName name="套综交易情况">'土地比较法-住宅、综合'!$A$73:$M$73</definedName>
    <definedName name="套综临街宽度及深度" localSheetId="19">'[1]土地比较法-住宅、综合'!$B$121:$M$121</definedName>
    <definedName name="套综临街宽度及深度">'土地比较法-住宅、综合'!$B$121:$M$121</definedName>
    <definedName name="套综土地级别" localSheetId="19">'[1]土地比较法-住宅、综合'!$B$108:$M$108</definedName>
    <definedName name="套综土地级别">'土地比较法-住宅、综合'!$B$108:$M$108</definedName>
    <definedName name="套综用途" localSheetId="19">'[1]土地比较法-住宅、综合'!$B$75:$M$75</definedName>
    <definedName name="套综用途">'土地比较法-住宅、综合'!$B$75:$M$75</definedName>
    <definedName name="套综宗地内开发程度" localSheetId="19">'[1]土地比较法-住宅、综合'!$B$123:$M$123</definedName>
    <definedName name="套综宗地内开发程度">'土地比较法-住宅、综合'!$B$123:$M$123</definedName>
    <definedName name="套综宗地形状" localSheetId="19">'[1]土地比较法-住宅、综合'!$B$119:$M$119</definedName>
    <definedName name="套综宗地形状">'土地比较法-住宅、综合'!$B$119:$M$119</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27">'比较法-公寓'!$B$88:$M$88</definedName>
    <definedName name="住宅朝向" localSheetId="19">'[1]比较法-住宅'!$B$88:$M$88</definedName>
    <definedName name="住宅朝向">'比较法-住宅'!$B$88:$M$88</definedName>
    <definedName name="住宅房型" localSheetId="27">'比较法-公寓'!$B$118:$M$118</definedName>
    <definedName name="住宅房型" localSheetId="19">'[1]比较法-住宅'!$B$118:$M$118</definedName>
    <definedName name="住宅房型">'比较法-住宅'!$B$118:$M$118</definedName>
    <definedName name="住宅公共部分装修" localSheetId="27">'比较法-公寓'!$B$109:$M$109</definedName>
    <definedName name="住宅公共部分装修" localSheetId="19">'[1]比较法-住宅'!$B$109:$M$109</definedName>
    <definedName name="住宅公共部分装修">'比较法-住宅'!$B$109:$M$109</definedName>
    <definedName name="住宅基础设施水平" localSheetId="27">'比较法-公寓'!$B$116:$M$116</definedName>
    <definedName name="住宅基础设施水平" localSheetId="19">'[1]比较法-住宅'!$B$116:$M$116</definedName>
    <definedName name="住宅基础设施水平">'比较法-住宅'!$B$116:$M$116</definedName>
    <definedName name="住宅建筑结构" localSheetId="27">'比较法-公寓'!$B$105:$M$105</definedName>
    <definedName name="住宅建筑结构" localSheetId="19">'[1]比较法-住宅'!$B$105:$M$105</definedName>
    <definedName name="住宅建筑结构">'比较法-住宅'!$B$105:$M$105</definedName>
    <definedName name="住宅建筑类型" localSheetId="27">'比较法-公寓'!$B$100:$M$100</definedName>
    <definedName name="住宅建筑类型" localSheetId="19">'[1]比较法-住宅'!$B$100:$M$100</definedName>
    <definedName name="住宅建筑类型">'比较法-住宅'!$B$100:$M$100</definedName>
    <definedName name="住宅建筑品质" localSheetId="27">'比较法-公寓'!$B$107:$M$107</definedName>
    <definedName name="住宅建筑品质" localSheetId="19">'[1]比较法-住宅'!$B$107:$M$107</definedName>
    <definedName name="住宅建筑品质">'比较法-住宅'!$B$107:$M$107</definedName>
    <definedName name="住宅交易情况" localSheetId="27">'比较法-公寓'!$A$61:$M$61</definedName>
    <definedName name="住宅交易情况" localSheetId="19">'[1]比较法-住宅'!$A$61:$M$61</definedName>
    <definedName name="住宅交易情况">'比较法-住宅'!$A$61:$M$61</definedName>
    <definedName name="住宅楼层" localSheetId="27">'比较法-公寓'!$B$86:$M$86</definedName>
    <definedName name="住宅楼层" localSheetId="19">'[1]比较法-住宅'!$B$86:$M$86</definedName>
    <definedName name="住宅楼层">'比较法-住宅'!$B$86:$M$86</definedName>
    <definedName name="住宅内部装修" localSheetId="27">'比较法-公寓'!$B$122:$M$122</definedName>
    <definedName name="住宅内部装修" localSheetId="19">'[1]比较法-住宅'!$B$122:$M$122</definedName>
    <definedName name="住宅内部装修">'比较法-住宅'!$B$122:$M$122</definedName>
    <definedName name="住宅物业管理" localSheetId="27">'比较法-公寓'!$B$114:$M$114</definedName>
    <definedName name="住宅物业管理" localSheetId="19">'[1]比较法-住宅'!$B$114:$M$114</definedName>
    <definedName name="住宅物业管理">'比较法-住宅'!$B$114:$M$114</definedName>
    <definedName name="住宅用途" localSheetId="27">'比较法-公寓'!$B$63:$M$63</definedName>
    <definedName name="住宅用途" localSheetId="19">'[1]比较法-住宅'!$B$63:$M$63</definedName>
    <definedName name="住宅用途">'比较法-住宅'!$B$63:$M$63</definedName>
    <definedName name="住宅主力户型面积" localSheetId="27">'比较法-公寓'!$B$120:$M$120</definedName>
    <definedName name="住宅主力户型面积">'比较法-住宅'!$B$120:$M$120</definedName>
    <definedName name="注册房地产估价师" localSheetId="1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N48" i="83" l="1"/>
  <c r="N47" i="83"/>
  <c r="N49" i="83" s="1"/>
  <c r="L48" i="83"/>
  <c r="L51" i="83"/>
  <c r="O52" i="83" l="1"/>
  <c r="O49" i="83"/>
  <c r="L53" i="83"/>
  <c r="L52" i="83"/>
  <c r="N28" i="83"/>
  <c r="L28" i="83"/>
  <c r="N27" i="83"/>
  <c r="L27" i="83"/>
  <c r="N24" i="83"/>
  <c r="N26" i="83"/>
  <c r="N23" i="83"/>
  <c r="L24" i="83"/>
  <c r="L26" i="83"/>
  <c r="L23" i="83"/>
  <c r="K28" i="83"/>
  <c r="K26" i="83"/>
  <c r="B3" i="80" l="1"/>
  <c r="B4" i="80"/>
  <c r="C15" i="74"/>
  <c r="B15" i="74"/>
  <c r="C68" i="82"/>
  <c r="D68" i="82"/>
  <c r="F68" i="82"/>
  <c r="H68" i="82"/>
  <c r="B68" i="82"/>
  <c r="F27" i="68"/>
  <c r="C28" i="68" s="1"/>
  <c r="C27" i="68" s="1"/>
  <c r="F34" i="68"/>
  <c r="C34" i="68" s="1"/>
  <c r="D9" i="68"/>
  <c r="C9" i="68" s="1"/>
  <c r="D10" i="68"/>
  <c r="C10" i="68" s="1"/>
  <c r="R8" i="1"/>
  <c r="C11" i="12"/>
  <c r="C12" i="12" s="1"/>
  <c r="C13" i="12"/>
  <c r="D14" i="12"/>
  <c r="D17" i="12" s="1"/>
  <c r="C17" i="12" s="1"/>
  <c r="F11" i="12"/>
  <c r="D19" i="12"/>
  <c r="C19" i="12" s="1"/>
  <c r="D20" i="12"/>
  <c r="C20" i="12" s="1"/>
  <c r="F28" i="12"/>
  <c r="C29" i="12" s="1"/>
  <c r="D28" i="12" s="1"/>
  <c r="A2" i="80"/>
  <c r="B10" i="80"/>
  <c r="C37" i="9" s="1"/>
  <c r="H105" i="9" s="1"/>
  <c r="B11" i="80"/>
  <c r="B12" i="80"/>
  <c r="C38" i="9" s="1"/>
  <c r="H106" i="9" s="1"/>
  <c r="C8" i="80"/>
  <c r="D8" i="80"/>
  <c r="B13" i="80" s="1"/>
  <c r="C55" i="82"/>
  <c r="F55" i="82"/>
  <c r="I15" i="82"/>
  <c r="L2" i="82"/>
  <c r="L1" i="82"/>
  <c r="I91" i="9"/>
  <c r="C91" i="9"/>
  <c r="I3" i="82"/>
  <c r="C88" i="9"/>
  <c r="C89" i="9"/>
  <c r="C87" i="9"/>
  <c r="I12" i="82"/>
  <c r="C90" i="9"/>
  <c r="C92" i="9"/>
  <c r="C94" i="9"/>
  <c r="D6" i="80"/>
  <c r="B2" i="80"/>
  <c r="M15" i="3"/>
  <c r="K14" i="3"/>
  <c r="I13" i="3"/>
  <c r="A3" i="3"/>
  <c r="I32" i="77"/>
  <c r="I33" i="77"/>
  <c r="I34" i="77"/>
  <c r="I35" i="77"/>
  <c r="I36" i="77"/>
  <c r="I37" i="77"/>
  <c r="I38" i="77"/>
  <c r="I39" i="77"/>
  <c r="I40" i="77"/>
  <c r="I41" i="77"/>
  <c r="I42" i="77"/>
  <c r="I43" i="77"/>
  <c r="I31" i="77"/>
  <c r="H31" i="77"/>
  <c r="H32" i="77"/>
  <c r="H33" i="77"/>
  <c r="H39" i="77"/>
  <c r="H42" i="77"/>
  <c r="H43" i="77"/>
  <c r="G31" i="77"/>
  <c r="G33" i="77"/>
  <c r="G39" i="77"/>
  <c r="G42" i="77"/>
  <c r="G43" i="77"/>
  <c r="F33" i="77"/>
  <c r="F39" i="77"/>
  <c r="F42" i="77"/>
  <c r="F43" i="77"/>
  <c r="E33" i="77"/>
  <c r="E39" i="77"/>
  <c r="E42" i="77"/>
  <c r="E43" i="77"/>
  <c r="D33" i="77"/>
  <c r="D39" i="77"/>
  <c r="D42" i="77"/>
  <c r="D43" i="77"/>
  <c r="C33" i="77"/>
  <c r="C39" i="77"/>
  <c r="C42" i="77"/>
  <c r="C43" i="77"/>
  <c r="C1" i="73"/>
  <c r="J1" i="73"/>
  <c r="B22" i="1"/>
  <c r="E1" i="73"/>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F7" i="39"/>
  <c r="AA7" i="39"/>
  <c r="F8" i="39"/>
  <c r="AA8" i="39"/>
  <c r="F9" i="39"/>
  <c r="AA9" i="39"/>
  <c r="D81" i="39"/>
  <c r="E81" i="39"/>
  <c r="F81" i="39"/>
  <c r="G81" i="39"/>
  <c r="H81" i="39"/>
  <c r="F11" i="39"/>
  <c r="AA11" i="39"/>
  <c r="B82" i="39"/>
  <c r="F12" i="39"/>
  <c r="AA12" i="39"/>
  <c r="B84" i="39"/>
  <c r="F13" i="39"/>
  <c r="AA13" i="39"/>
  <c r="B86" i="39"/>
  <c r="F14" i="39"/>
  <c r="AA14" i="39"/>
  <c r="D89" i="39"/>
  <c r="E89" i="39"/>
  <c r="F15" i="39"/>
  <c r="AA15" i="39"/>
  <c r="D91" i="39"/>
  <c r="E91" i="39"/>
  <c r="F17" i="39"/>
  <c r="AA17" i="39"/>
  <c r="F19" i="39"/>
  <c r="AA19" i="39"/>
  <c r="D95" i="39"/>
  <c r="F21" i="39"/>
  <c r="AA21" i="39"/>
  <c r="D97" i="39"/>
  <c r="F23" i="39"/>
  <c r="AA23" i="39"/>
  <c r="D99" i="39"/>
  <c r="F25" i="39"/>
  <c r="AA25" i="39"/>
  <c r="D101" i="39"/>
  <c r="F27" i="39"/>
  <c r="AA27" i="39"/>
  <c r="F29" i="39"/>
  <c r="AA29" i="39"/>
  <c r="B104" i="39"/>
  <c r="D105" i="39"/>
  <c r="F31" i="39"/>
  <c r="AA31" i="39"/>
  <c r="F32" i="39"/>
  <c r="AA32" i="39"/>
  <c r="F34" i="39"/>
  <c r="AA34" i="39"/>
  <c r="B110" i="39"/>
  <c r="F35" i="39"/>
  <c r="AA35" i="39"/>
  <c r="B112" i="39"/>
  <c r="F36" i="39"/>
  <c r="AA36" i="39"/>
  <c r="B114" i="39"/>
  <c r="F37" i="39"/>
  <c r="AA37" i="39"/>
  <c r="F38" i="39"/>
  <c r="AA38" i="39"/>
  <c r="D120" i="39"/>
  <c r="F39" i="39"/>
  <c r="AA39" i="39"/>
  <c r="D122" i="39"/>
  <c r="F40" i="39"/>
  <c r="AA40" i="39"/>
  <c r="D124" i="39"/>
  <c r="E124" i="39"/>
  <c r="F41" i="39"/>
  <c r="AA41" i="39"/>
  <c r="D126" i="39"/>
  <c r="F42" i="39"/>
  <c r="AA42" i="39"/>
  <c r="B127" i="39"/>
  <c r="F43" i="39"/>
  <c r="AA43" i="39"/>
  <c r="B129" i="39"/>
  <c r="F44" i="39"/>
  <c r="AA44" i="39"/>
  <c r="B131" i="39"/>
  <c r="F45" i="39"/>
  <c r="AA45" i="39"/>
  <c r="C19" i="68"/>
  <c r="F21" i="68"/>
  <c r="B23" i="1"/>
  <c r="C21" i="68"/>
  <c r="B24" i="1"/>
  <c r="BB11"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BA5" i="3"/>
  <c r="BC5" i="3"/>
  <c r="BD5" i="3"/>
  <c r="BE5" i="3"/>
  <c r="BF5" i="3"/>
  <c r="BG5" i="3"/>
  <c r="BH5" i="3"/>
  <c r="BI5" i="3"/>
  <c r="BJ5" i="3"/>
  <c r="BK5" i="3"/>
  <c r="BL5" i="3"/>
  <c r="BM5" i="3"/>
  <c r="BN5" i="3"/>
  <c r="BO5" i="3"/>
  <c r="BP5" i="3"/>
  <c r="BQ5" i="3"/>
  <c r="BR5" i="3"/>
  <c r="BS5" i="3"/>
  <c r="BT5" i="3"/>
  <c r="E5" i="6"/>
  <c r="E3" i="6"/>
  <c r="E6" i="6"/>
  <c r="E37" i="68"/>
  <c r="C40" i="68"/>
  <c r="C19" i="6"/>
  <c r="A6" i="1"/>
  <c r="C20" i="6"/>
  <c r="A7" i="1"/>
  <c r="C21" i="6"/>
  <c r="A8" i="1"/>
  <c r="G1" i="15"/>
  <c r="F21" i="6"/>
  <c r="E21" i="6"/>
  <c r="K8" i="1"/>
  <c r="L1" i="73"/>
  <c r="B43" i="1"/>
  <c r="B41" i="1"/>
  <c r="F32" i="15"/>
  <c r="C42" i="1"/>
  <c r="F33" i="15"/>
  <c r="J23" i="77"/>
  <c r="B3" i="3"/>
  <c r="AY6" i="3"/>
  <c r="D3" i="6"/>
  <c r="D21" i="6"/>
  <c r="F28" i="6"/>
  <c r="G28" i="6"/>
  <c r="E28" i="6"/>
  <c r="F19" i="6"/>
  <c r="E19" i="6"/>
  <c r="F20" i="6"/>
  <c r="E20" i="6"/>
  <c r="E22" i="6"/>
  <c r="E23" i="6"/>
  <c r="E24" i="6"/>
  <c r="E25" i="6"/>
  <c r="E26" i="6"/>
  <c r="E27" i="6"/>
  <c r="K21" i="6"/>
  <c r="L21" i="6"/>
  <c r="M21" i="6"/>
  <c r="I21" i="6"/>
  <c r="H21" i="6"/>
  <c r="R21" i="6"/>
  <c r="B52" i="1"/>
  <c r="F34" i="15"/>
  <c r="M8" i="1"/>
  <c r="S8" i="1"/>
  <c r="T8" i="1"/>
  <c r="F15" i="15"/>
  <c r="F17" i="15"/>
  <c r="F18" i="15"/>
  <c r="F20" i="15"/>
  <c r="F23" i="15"/>
  <c r="F21" i="15"/>
  <c r="F28" i="15"/>
  <c r="C28" i="15"/>
  <c r="E15" i="4"/>
  <c r="F8" i="1"/>
  <c r="M47" i="15"/>
  <c r="J50" i="15"/>
  <c r="J51" i="15"/>
  <c r="R47" i="21"/>
  <c r="C7" i="21"/>
  <c r="E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G69" i="21"/>
  <c r="H69" i="21"/>
  <c r="F11" i="21"/>
  <c r="AA11" i="21"/>
  <c r="B70" i="21"/>
  <c r="F12" i="21"/>
  <c r="AA12" i="21"/>
  <c r="B72" i="21"/>
  <c r="F13" i="21"/>
  <c r="AA13" i="21"/>
  <c r="B74" i="21"/>
  <c r="F14" i="21"/>
  <c r="AA14" i="21"/>
  <c r="D77" i="21"/>
  <c r="F15" i="21"/>
  <c r="AA15" i="21"/>
  <c r="D79" i="21"/>
  <c r="E79" i="21"/>
  <c r="F17" i="21"/>
  <c r="AA17" i="21"/>
  <c r="D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F34" i="21"/>
  <c r="AA34" i="21"/>
  <c r="D108" i="21"/>
  <c r="F35" i="21"/>
  <c r="AA35" i="21"/>
  <c r="D110" i="21"/>
  <c r="F36" i="21"/>
  <c r="AA36" i="21"/>
  <c r="D113" i="21"/>
  <c r="E113" i="21"/>
  <c r="F113" i="21"/>
  <c r="G113" i="21"/>
  <c r="F37" i="21"/>
  <c r="AA37" i="21"/>
  <c r="F38" i="21"/>
  <c r="AA38" i="21"/>
  <c r="F39" i="21"/>
  <c r="AA39" i="21"/>
  <c r="D119" i="21"/>
  <c r="F40" i="21"/>
  <c r="AA40" i="21"/>
  <c r="F41" i="21"/>
  <c r="AA41" i="21"/>
  <c r="D123" i="21"/>
  <c r="E123" i="21"/>
  <c r="F123" i="21"/>
  <c r="F42" i="21"/>
  <c r="AA42" i="21"/>
  <c r="F43" i="21"/>
  <c r="AA43" i="21"/>
  <c r="B126" i="21"/>
  <c r="F44" i="21"/>
  <c r="AA44" i="21"/>
  <c r="B128" i="21"/>
  <c r="F45" i="21"/>
  <c r="AA45" i="21"/>
  <c r="B130" i="21"/>
  <c r="F46" i="21"/>
  <c r="AA46" i="21"/>
  <c r="R48" i="21"/>
  <c r="T47" i="21"/>
  <c r="G7" i="21"/>
  <c r="H7" i="21"/>
  <c r="AB7" i="21"/>
  <c r="H8" i="21"/>
  <c r="AB8" i="21"/>
  <c r="H9" i="21"/>
  <c r="AB9" i="21"/>
  <c r="H10" i="21"/>
  <c r="AB10" i="21"/>
  <c r="I69"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11" i="21"/>
  <c r="AC11" i="21"/>
  <c r="J12" i="21"/>
  <c r="AC12" i="21"/>
  <c r="J13" i="21"/>
  <c r="AC13" i="21"/>
  <c r="J14" i="21"/>
  <c r="AC14"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D3" i="21"/>
  <c r="B2" i="21"/>
  <c r="C8" i="12"/>
  <c r="R47" i="79"/>
  <c r="C7" i="79"/>
  <c r="E7" i="79"/>
  <c r="C58" i="79"/>
  <c r="D58" i="79"/>
  <c r="E58" i="79"/>
  <c r="F58" i="79"/>
  <c r="G58" i="79"/>
  <c r="H58" i="79"/>
  <c r="I58" i="79"/>
  <c r="J58" i="79"/>
  <c r="K58" i="79"/>
  <c r="L58" i="79"/>
  <c r="M58" i="79"/>
  <c r="N58" i="79"/>
  <c r="O58" i="79"/>
  <c r="F7" i="79"/>
  <c r="AA7" i="79"/>
  <c r="F8" i="79"/>
  <c r="AA8" i="79"/>
  <c r="C63" i="79"/>
  <c r="F9" i="79"/>
  <c r="AA9" i="79"/>
  <c r="D66" i="79"/>
  <c r="E66" i="79"/>
  <c r="F66" i="79"/>
  <c r="F10" i="79"/>
  <c r="AA10" i="79"/>
  <c r="D69" i="79"/>
  <c r="E69" i="79"/>
  <c r="F69" i="79"/>
  <c r="G69" i="79"/>
  <c r="H69" i="79"/>
  <c r="F11" i="79"/>
  <c r="AA11" i="79"/>
  <c r="B70" i="79"/>
  <c r="F12" i="79"/>
  <c r="AA12" i="79"/>
  <c r="B72" i="79"/>
  <c r="F13" i="79"/>
  <c r="AA13" i="79"/>
  <c r="B74" i="79"/>
  <c r="F14" i="79"/>
  <c r="AA14" i="79"/>
  <c r="D77" i="79"/>
  <c r="F15" i="79"/>
  <c r="AA15" i="79"/>
  <c r="D79" i="79"/>
  <c r="E79" i="79"/>
  <c r="F17" i="79"/>
  <c r="AA17" i="79"/>
  <c r="D81" i="79"/>
  <c r="F19" i="79"/>
  <c r="AA19" i="79"/>
  <c r="F21" i="79"/>
  <c r="AA21" i="79"/>
  <c r="D85" i="79"/>
  <c r="F23" i="79"/>
  <c r="AA23" i="79"/>
  <c r="F25" i="79"/>
  <c r="AA25" i="79"/>
  <c r="F26" i="79"/>
  <c r="AA26" i="79"/>
  <c r="B90" i="79"/>
  <c r="F27" i="79"/>
  <c r="AA27" i="79"/>
  <c r="B92" i="79"/>
  <c r="F28" i="79"/>
  <c r="AA28" i="79"/>
  <c r="B94" i="79"/>
  <c r="F29" i="79"/>
  <c r="AA29" i="79"/>
  <c r="B96" i="79"/>
  <c r="F30" i="79"/>
  <c r="AA30" i="79"/>
  <c r="B98" i="79"/>
  <c r="F31" i="79"/>
  <c r="AA31" i="79"/>
  <c r="F32" i="79"/>
  <c r="AA32" i="79"/>
  <c r="F33" i="79"/>
  <c r="AA33" i="79"/>
  <c r="F34" i="79"/>
  <c r="AA34" i="79"/>
  <c r="D108" i="79"/>
  <c r="F35" i="79"/>
  <c r="AA35" i="79"/>
  <c r="D110" i="79"/>
  <c r="F36" i="79"/>
  <c r="AA36" i="79"/>
  <c r="D113" i="79"/>
  <c r="E113" i="79"/>
  <c r="F113" i="79"/>
  <c r="G113" i="79"/>
  <c r="F37" i="79"/>
  <c r="AA37" i="79"/>
  <c r="F38" i="79"/>
  <c r="AA38" i="79"/>
  <c r="F39" i="79"/>
  <c r="AA39" i="79"/>
  <c r="D119" i="79"/>
  <c r="F40" i="79"/>
  <c r="AA40" i="79"/>
  <c r="F41" i="79"/>
  <c r="AA41" i="79"/>
  <c r="D123" i="79"/>
  <c r="E123" i="79"/>
  <c r="F123" i="79"/>
  <c r="F42" i="79"/>
  <c r="AA42" i="79"/>
  <c r="F43" i="79"/>
  <c r="AA43" i="79"/>
  <c r="B126" i="79"/>
  <c r="F44" i="79"/>
  <c r="AA44" i="79"/>
  <c r="B128" i="79"/>
  <c r="F45" i="79"/>
  <c r="AA45" i="79"/>
  <c r="B130" i="79"/>
  <c r="F46" i="79"/>
  <c r="AA46" i="79"/>
  <c r="R48" i="79"/>
  <c r="T47" i="79"/>
  <c r="G7" i="79"/>
  <c r="H7" i="79"/>
  <c r="AB7" i="79"/>
  <c r="H8" i="79"/>
  <c r="AB8" i="79"/>
  <c r="H9" i="79"/>
  <c r="AB9" i="79"/>
  <c r="H10" i="79"/>
  <c r="AB10" i="79"/>
  <c r="H11" i="79"/>
  <c r="AB11" i="79"/>
  <c r="H12" i="79"/>
  <c r="AB12" i="79"/>
  <c r="H13" i="79"/>
  <c r="AB13" i="79"/>
  <c r="H14" i="79"/>
  <c r="AB14" i="79"/>
  <c r="E77" i="79"/>
  <c r="H15" i="79"/>
  <c r="AB15" i="79"/>
  <c r="H17" i="79"/>
  <c r="AB17" i="79"/>
  <c r="H19" i="79"/>
  <c r="AB19" i="79"/>
  <c r="H21" i="79"/>
  <c r="AB21" i="79"/>
  <c r="E85" i="79"/>
  <c r="H23" i="79"/>
  <c r="AB23" i="79"/>
  <c r="H25" i="79"/>
  <c r="AB25" i="79"/>
  <c r="H26" i="79"/>
  <c r="AB26" i="79"/>
  <c r="H27" i="79"/>
  <c r="AB27" i="79"/>
  <c r="H28" i="79"/>
  <c r="AB28" i="79"/>
  <c r="H29" i="79"/>
  <c r="AB29" i="79"/>
  <c r="H30" i="79"/>
  <c r="AB30" i="79"/>
  <c r="H31" i="79"/>
  <c r="AB31" i="79"/>
  <c r="H32" i="79"/>
  <c r="AB32" i="79"/>
  <c r="H33" i="79"/>
  <c r="AB33" i="79"/>
  <c r="H34" i="79"/>
  <c r="AB34" i="79"/>
  <c r="H35" i="79"/>
  <c r="AB35" i="79"/>
  <c r="H36" i="79"/>
  <c r="AB36" i="79"/>
  <c r="H37" i="79"/>
  <c r="AB37" i="79"/>
  <c r="H38" i="79"/>
  <c r="AB38" i="79"/>
  <c r="H39" i="79"/>
  <c r="AB39" i="79"/>
  <c r="H40" i="79"/>
  <c r="AB40" i="79"/>
  <c r="H41" i="79"/>
  <c r="AB41" i="79"/>
  <c r="H42" i="79"/>
  <c r="AB42" i="79"/>
  <c r="H43" i="79"/>
  <c r="AB43" i="79"/>
  <c r="H44" i="79"/>
  <c r="AB44" i="79"/>
  <c r="H45" i="79"/>
  <c r="AB45" i="79"/>
  <c r="H46" i="79"/>
  <c r="AB46" i="79"/>
  <c r="T48" i="79"/>
  <c r="V47" i="79"/>
  <c r="I7" i="79"/>
  <c r="J7" i="79"/>
  <c r="AC7" i="79"/>
  <c r="J8" i="79"/>
  <c r="AC8" i="79"/>
  <c r="J9" i="79"/>
  <c r="AC9" i="79"/>
  <c r="J10" i="79"/>
  <c r="AC10" i="79"/>
  <c r="J11" i="79"/>
  <c r="AC11" i="79"/>
  <c r="J12" i="79"/>
  <c r="AC12" i="79"/>
  <c r="J13" i="79"/>
  <c r="AC13" i="79"/>
  <c r="J14" i="79"/>
  <c r="AC14" i="79"/>
  <c r="J15" i="79"/>
  <c r="AC15" i="79"/>
  <c r="J17" i="79"/>
  <c r="AC17" i="79"/>
  <c r="E81" i="79"/>
  <c r="J19" i="79"/>
  <c r="AC19" i="79"/>
  <c r="J21" i="79"/>
  <c r="AC21" i="79"/>
  <c r="J23" i="79"/>
  <c r="AC23" i="79"/>
  <c r="J25" i="79"/>
  <c r="AC25" i="79"/>
  <c r="J26" i="79"/>
  <c r="AC26" i="79"/>
  <c r="J27" i="79"/>
  <c r="AC27" i="79"/>
  <c r="J28" i="79"/>
  <c r="AC28" i="79"/>
  <c r="J29" i="79"/>
  <c r="AC29" i="79"/>
  <c r="J30" i="79"/>
  <c r="AC30" i="79"/>
  <c r="J31" i="79"/>
  <c r="AC31" i="79"/>
  <c r="J32" i="79"/>
  <c r="AC32" i="79"/>
  <c r="J33" i="79"/>
  <c r="AC33" i="79"/>
  <c r="J34" i="79"/>
  <c r="AC34" i="79"/>
  <c r="J35" i="79"/>
  <c r="AC35" i="79"/>
  <c r="J36" i="79"/>
  <c r="AC36" i="79"/>
  <c r="J37" i="79"/>
  <c r="AC37" i="79"/>
  <c r="J38" i="79"/>
  <c r="AC38" i="79"/>
  <c r="J39" i="79"/>
  <c r="AC39" i="79"/>
  <c r="J40" i="79"/>
  <c r="AC40" i="79"/>
  <c r="J41" i="79"/>
  <c r="AC41" i="79"/>
  <c r="J42" i="79"/>
  <c r="AC42" i="79"/>
  <c r="J43" i="79"/>
  <c r="AC43" i="79"/>
  <c r="J44" i="79"/>
  <c r="AC44" i="79"/>
  <c r="J45" i="79"/>
  <c r="AC45" i="79"/>
  <c r="J46" i="79"/>
  <c r="AC46" i="79"/>
  <c r="V48" i="79"/>
  <c r="R49" i="79"/>
  <c r="C49" i="79"/>
  <c r="D3" i="79"/>
  <c r="B2" i="79"/>
  <c r="D8" i="12"/>
  <c r="K6" i="1"/>
  <c r="M6" i="1"/>
  <c r="O6" i="1"/>
  <c r="P6" i="1"/>
  <c r="K7" i="1"/>
  <c r="M7" i="1"/>
  <c r="O7" i="1"/>
  <c r="P7" i="1"/>
  <c r="O8" i="1"/>
  <c r="P8" i="1"/>
  <c r="A9" i="1"/>
  <c r="K9" i="1"/>
  <c r="M9" i="1"/>
  <c r="O9" i="1"/>
  <c r="P9" i="1"/>
  <c r="A10" i="1"/>
  <c r="K10" i="1"/>
  <c r="M10" i="1"/>
  <c r="O10" i="1"/>
  <c r="P10" i="1"/>
  <c r="A11" i="1"/>
  <c r="K11" i="1"/>
  <c r="M11" i="1"/>
  <c r="O11" i="1"/>
  <c r="P11" i="1"/>
  <c r="A12" i="1"/>
  <c r="K12" i="1"/>
  <c r="M12" i="1"/>
  <c r="O12" i="1"/>
  <c r="P12" i="1"/>
  <c r="A13" i="1"/>
  <c r="K13" i="1"/>
  <c r="M13" i="1"/>
  <c r="O13" i="1"/>
  <c r="P13" i="1"/>
  <c r="K14" i="1"/>
  <c r="M14" i="1"/>
  <c r="O14" i="1"/>
  <c r="P14" i="1"/>
  <c r="P16" i="1"/>
  <c r="F12" i="12"/>
  <c r="F13" i="12"/>
  <c r="E14" i="12"/>
  <c r="F15" i="12"/>
  <c r="E17" i="12"/>
  <c r="E19" i="12"/>
  <c r="E20" i="12"/>
  <c r="F23" i="12"/>
  <c r="F31" i="12"/>
  <c r="F24" i="12"/>
  <c r="C24" i="12"/>
  <c r="BB10" i="3"/>
  <c r="BC10" i="3"/>
  <c r="BD10" i="3"/>
  <c r="BE10" i="3"/>
  <c r="BF10" i="3"/>
  <c r="BG10" i="3"/>
  <c r="BH10" i="3"/>
  <c r="BI10" i="3"/>
  <c r="BJ10" i="3"/>
  <c r="BK10" i="3"/>
  <c r="E8" i="6"/>
  <c r="F27" i="6"/>
  <c r="AA5" i="77"/>
  <c r="AC5" i="77"/>
  <c r="AA6" i="77"/>
  <c r="AC6" i="77"/>
  <c r="AA7" i="77"/>
  <c r="AC7" i="77"/>
  <c r="AA8" i="77"/>
  <c r="AC8" i="77"/>
  <c r="AA9" i="77"/>
  <c r="AC9" i="77"/>
  <c r="AA10" i="77"/>
  <c r="AC10" i="77"/>
  <c r="AA11" i="77"/>
  <c r="AC11" i="77"/>
  <c r="AC12" i="77"/>
  <c r="AC13" i="77"/>
  <c r="AA14" i="77"/>
  <c r="AC14" i="77"/>
  <c r="E107" i="9"/>
  <c r="D89" i="9"/>
  <c r="I23" i="77"/>
  <c r="M83" i="9"/>
  <c r="M85" i="9"/>
  <c r="AC15" i="77"/>
  <c r="F29" i="6"/>
  <c r="F30" i="6"/>
  <c r="F31" i="6"/>
  <c r="AA15" i="77"/>
  <c r="L107" i="9"/>
  <c r="L108" i="9"/>
  <c r="K107" i="9"/>
  <c r="L96" i="9"/>
  <c r="L104" i="9"/>
  <c r="I4" i="6"/>
  <c r="B3" i="79"/>
  <c r="D6" i="12"/>
  <c r="J140" i="79"/>
  <c r="C145" i="79"/>
  <c r="K139" i="79"/>
  <c r="K145" i="79"/>
  <c r="K144" i="79"/>
  <c r="K143" i="79"/>
  <c r="J142" i="79"/>
  <c r="K141" i="79"/>
  <c r="D125" i="79"/>
  <c r="E125" i="79"/>
  <c r="F125" i="79"/>
  <c r="G125" i="79"/>
  <c r="G123" i="79"/>
  <c r="H123" i="79"/>
  <c r="I123" i="79"/>
  <c r="J123" i="79"/>
  <c r="K123" i="79"/>
  <c r="L123" i="79"/>
  <c r="M123"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H113" i="79"/>
  <c r="H111" i="79"/>
  <c r="G111" i="79"/>
  <c r="F111" i="79"/>
  <c r="E111" i="79"/>
  <c r="D111" i="79"/>
  <c r="C111" i="79"/>
  <c r="E110" i="79"/>
  <c r="F110" i="79"/>
  <c r="G110" i="79"/>
  <c r="H110" i="79"/>
  <c r="I110" i="79"/>
  <c r="J110" i="79"/>
  <c r="K110" i="79"/>
  <c r="L110" i="79"/>
  <c r="M110"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D89" i="79"/>
  <c r="E89" i="79"/>
  <c r="F89" i="79"/>
  <c r="G89" i="79"/>
  <c r="H89" i="79"/>
  <c r="I89" i="79"/>
  <c r="J89" i="79"/>
  <c r="K89" i="79"/>
  <c r="L89" i="79"/>
  <c r="M89" i="79"/>
  <c r="M87" i="79"/>
  <c r="L87" i="79"/>
  <c r="K87" i="79"/>
  <c r="J87" i="79"/>
  <c r="I87" i="79"/>
  <c r="H87" i="79"/>
  <c r="G87" i="79"/>
  <c r="F87" i="79"/>
  <c r="E87" i="79"/>
  <c r="D87" i="79"/>
  <c r="F85" i="79"/>
  <c r="G85" i="79"/>
  <c r="D83" i="79"/>
  <c r="E83" i="79"/>
  <c r="F83" i="79"/>
  <c r="G83" i="79"/>
  <c r="F81" i="79"/>
  <c r="G81" i="79"/>
  <c r="F79" i="79"/>
  <c r="G79" i="79"/>
  <c r="F77" i="79"/>
  <c r="G77" i="79"/>
  <c r="I69" i="79"/>
  <c r="J69" i="79"/>
  <c r="K69" i="79"/>
  <c r="L69" i="79"/>
  <c r="M69" i="79"/>
  <c r="M67" i="79"/>
  <c r="L67" i="79"/>
  <c r="K67" i="79"/>
  <c r="J67" i="79"/>
  <c r="I67" i="79"/>
  <c r="H67" i="79"/>
  <c r="G67" i="79"/>
  <c r="F67" i="79"/>
  <c r="E67" i="79"/>
  <c r="D67" i="79"/>
  <c r="C67" i="79"/>
  <c r="G66" i="79"/>
  <c r="H66" i="79"/>
  <c r="I66" i="79"/>
  <c r="I54" i="79"/>
  <c r="J54" i="79"/>
  <c r="G54" i="79"/>
  <c r="H54" i="79"/>
  <c r="E54" i="79"/>
  <c r="F54" i="79"/>
  <c r="I48" i="79"/>
  <c r="E48" i="79"/>
  <c r="I53" i="79"/>
  <c r="J53" i="79"/>
  <c r="G48" i="79"/>
  <c r="G53" i="79"/>
  <c r="H53" i="79"/>
  <c r="E53" i="79"/>
  <c r="F53" i="79"/>
  <c r="I52" i="79"/>
  <c r="J52" i="79"/>
  <c r="G52" i="79"/>
  <c r="H52" i="79"/>
  <c r="E52" i="79"/>
  <c r="F52" i="79"/>
  <c r="P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B3" i="21"/>
  <c r="C6" i="12"/>
  <c r="D19" i="6"/>
  <c r="D20" i="6"/>
  <c r="D22" i="6"/>
  <c r="D23" i="6"/>
  <c r="D24" i="6"/>
  <c r="D25" i="6"/>
  <c r="D26" i="6"/>
  <c r="D27" i="6"/>
  <c r="D28" i="6"/>
  <c r="G29" i="6"/>
  <c r="E29" i="6"/>
  <c r="D29" i="6"/>
  <c r="D30" i="6"/>
  <c r="D31" i="6"/>
  <c r="I6" i="6"/>
  <c r="K19" i="6"/>
  <c r="E32" i="6"/>
  <c r="L19" i="6"/>
  <c r="M19" i="6"/>
  <c r="I19" i="6"/>
  <c r="H19" i="6"/>
  <c r="R19" i="6"/>
  <c r="R6" i="1"/>
  <c r="S6" i="1"/>
  <c r="T6" i="1"/>
  <c r="D15" i="4"/>
  <c r="F6" i="1"/>
  <c r="AE6" i="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D6" i="71"/>
  <c r="F7" i="69"/>
  <c r="F7" i="68"/>
  <c r="M15" i="45"/>
  <c r="L15" i="45"/>
  <c r="K15" i="45"/>
  <c r="J15" i="45"/>
  <c r="I15" i="45"/>
  <c r="H15" i="45"/>
  <c r="G15" i="45"/>
  <c r="F15" i="45"/>
  <c r="E15" i="45"/>
  <c r="D15" i="45"/>
  <c r="C15" i="45"/>
  <c r="B15" i="45"/>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A10" i="71"/>
  <c r="X10" i="71"/>
  <c r="Q14" i="71"/>
  <c r="Q15" i="71"/>
  <c r="Q16" i="71"/>
  <c r="Q17" i="71"/>
  <c r="Q18" i="71"/>
  <c r="Q19" i="71"/>
  <c r="Q20" i="71"/>
  <c r="Q21" i="71"/>
  <c r="Q22" i="71"/>
  <c r="Q23" i="71"/>
  <c r="Q24" i="71"/>
  <c r="Q25" i="71"/>
  <c r="Q26" i="71"/>
  <c r="Q27" i="71"/>
  <c r="Q28" i="71"/>
  <c r="AB10" i="71"/>
  <c r="AA11" i="71"/>
  <c r="Y10" i="71"/>
  <c r="Z10" i="71"/>
  <c r="M19" i="43"/>
  <c r="D14" i="71"/>
  <c r="M19" i="9"/>
  <c r="C118" i="9"/>
  <c r="C14" i="74"/>
  <c r="M18" i="9"/>
  <c r="B118" i="9"/>
  <c r="B14" i="74"/>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7" i="74"/>
  <c r="F17" i="74"/>
  <c r="E18" i="74"/>
  <c r="F18" i="74"/>
  <c r="E19" i="74"/>
  <c r="F19" i="74"/>
  <c r="E20" i="74"/>
  <c r="F20" i="74"/>
  <c r="E21" i="74"/>
  <c r="F21" i="74"/>
  <c r="E22" i="74"/>
  <c r="F22" i="74"/>
  <c r="E23" i="74"/>
  <c r="F23" i="74"/>
  <c r="B3" i="74"/>
  <c r="M16" i="1"/>
  <c r="O16" i="1"/>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C7" i="69"/>
  <c r="AC21" i="37"/>
  <c r="W21" i="37"/>
  <c r="AC21" i="34"/>
  <c r="W21" i="34"/>
  <c r="AC21" i="33"/>
  <c r="W21" i="33"/>
  <c r="U21" i="21"/>
  <c r="G83" i="21"/>
  <c r="C40" i="69"/>
  <c r="F38" i="68"/>
  <c r="F36" i="68"/>
  <c r="F35" i="68"/>
  <c r="F20" i="68"/>
  <c r="E10" i="68"/>
  <c r="E9" i="68"/>
  <c r="W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F7" i="1"/>
  <c r="G7" i="1"/>
  <c r="F19" i="4"/>
  <c r="F2" i="52"/>
  <c r="B50" i="72"/>
  <c r="D2" i="52"/>
  <c r="B46" i="72"/>
  <c r="B8" i="53"/>
  <c r="B23" i="72"/>
  <c r="L4" i="9"/>
  <c r="B17" i="72"/>
  <c r="B15" i="72"/>
  <c r="A3" i="51"/>
  <c r="C8" i="11"/>
  <c r="B2" i="49"/>
  <c r="B7" i="49" s="1"/>
  <c r="C4" i="4" s="1"/>
  <c r="B40" i="48"/>
  <c r="B3" i="72"/>
  <c r="I2" i="43"/>
  <c r="N1" i="43"/>
  <c r="F35" i="4"/>
  <c r="J55" i="39"/>
  <c r="H34" i="43"/>
  <c r="H35" i="43"/>
  <c r="H36" i="43"/>
  <c r="H37" i="43"/>
  <c r="H38" i="43"/>
  <c r="H39" i="43"/>
  <c r="H33" i="43"/>
  <c r="J20" i="43"/>
  <c r="C18" i="43"/>
  <c r="F15" i="43"/>
  <c r="E15" i="43"/>
  <c r="D15" i="43"/>
  <c r="C15" i="43"/>
  <c r="C10" i="43"/>
  <c r="C11" i="43"/>
  <c r="C9" i="43"/>
  <c r="A7" i="43"/>
  <c r="F61" i="15"/>
  <c r="M19" i="15"/>
  <c r="D78" i="9"/>
  <c r="D24" i="15"/>
  <c r="F35" i="11"/>
  <c r="F36" i="11"/>
  <c r="F38" i="11"/>
  <c r="E37" i="11"/>
  <c r="F20" i="11"/>
  <c r="F21" i="11"/>
  <c r="C21" i="11"/>
  <c r="F7" i="11"/>
  <c r="C7" i="11"/>
  <c r="C5" i="11"/>
  <c r="F22" i="12"/>
  <c r="C17" i="9"/>
  <c r="D17" i="9"/>
  <c r="I55" i="9"/>
  <c r="F55" i="9"/>
  <c r="O53"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124" i="39"/>
  <c r="G124" i="39"/>
  <c r="H124" i="39"/>
  <c r="I124" i="39"/>
  <c r="J124" i="39"/>
  <c r="K124" i="39"/>
  <c r="L124" i="39"/>
  <c r="M124" i="39"/>
  <c r="E120" i="39"/>
  <c r="F120" i="39"/>
  <c r="G120" i="39"/>
  <c r="H120" i="39"/>
  <c r="I120" i="39"/>
  <c r="J120" i="39"/>
  <c r="K120" i="39"/>
  <c r="L120" i="39"/>
  <c r="M120" i="39"/>
  <c r="J37" i="39"/>
  <c r="D109" i="39"/>
  <c r="D107" i="39"/>
  <c r="E107"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H45" i="39"/>
  <c r="H44" i="39"/>
  <c r="J43" i="39"/>
  <c r="E126" i="39"/>
  <c r="F126" i="39"/>
  <c r="G126" i="39"/>
  <c r="H126" i="39"/>
  <c r="I126" i="39"/>
  <c r="J126" i="39"/>
  <c r="K126" i="39"/>
  <c r="L126" i="39"/>
  <c r="M126" i="39"/>
  <c r="E122" i="39"/>
  <c r="F122" i="39"/>
  <c r="G122" i="39"/>
  <c r="H122" i="39"/>
  <c r="I122" i="39"/>
  <c r="J122" i="39"/>
  <c r="K122" i="39"/>
  <c r="L122" i="39"/>
  <c r="M122" i="39"/>
  <c r="H35" i="39"/>
  <c r="AB35" i="39"/>
  <c r="J23" i="39"/>
  <c r="AC23" i="39"/>
  <c r="E95" i="39"/>
  <c r="F95" i="39"/>
  <c r="D93" i="39"/>
  <c r="E93" i="39"/>
  <c r="F93" i="39"/>
  <c r="G93" i="39"/>
  <c r="F91" i="39"/>
  <c r="G91" i="39"/>
  <c r="F89" i="39"/>
  <c r="G89" i="39"/>
  <c r="J12" i="39"/>
  <c r="M79" i="39"/>
  <c r="L79" i="39"/>
  <c r="K79" i="39"/>
  <c r="J79" i="39"/>
  <c r="I79" i="39"/>
  <c r="H79" i="39"/>
  <c r="G79" i="39"/>
  <c r="F79" i="39"/>
  <c r="E79" i="39"/>
  <c r="D79" i="39"/>
  <c r="C79" i="39"/>
  <c r="P48" i="39"/>
  <c r="P47" i="39"/>
  <c r="V46" i="39"/>
  <c r="T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J8" i="39"/>
  <c r="AC8" i="39"/>
  <c r="H8"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17" i="21"/>
  <c r="E117" i="21"/>
  <c r="F117" i="21"/>
  <c r="G117" i="21"/>
  <c r="D115" i="21"/>
  <c r="E115" i="21"/>
  <c r="F115" i="21"/>
  <c r="G115" i="21"/>
  <c r="H115" i="21"/>
  <c r="I115" i="21"/>
  <c r="J115" i="21"/>
  <c r="K115" i="21"/>
  <c r="L115" i="21"/>
  <c r="M115" i="21"/>
  <c r="H113"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J69" i="21"/>
  <c r="K69" i="21"/>
  <c r="L69" i="21"/>
  <c r="M69" i="21"/>
  <c r="D66" i="21"/>
  <c r="E66" i="21"/>
  <c r="F66" i="21"/>
  <c r="G66" i="21"/>
  <c r="H66" i="21"/>
  <c r="I66" i="21"/>
  <c r="D111" i="21"/>
  <c r="E111" i="21"/>
  <c r="F111" i="21"/>
  <c r="C111" i="21"/>
  <c r="F79" i="21"/>
  <c r="G79"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S45" i="39"/>
  <c r="J45" i="39"/>
  <c r="W45" i="39"/>
  <c r="J44" i="39"/>
  <c r="AC44" i="39"/>
  <c r="S36" i="39"/>
  <c r="H36" i="39"/>
  <c r="AB36" i="39"/>
  <c r="J35" i="39"/>
  <c r="AC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H40" i="39"/>
  <c r="AB40" i="39"/>
  <c r="H39" i="39"/>
  <c r="U39" i="39"/>
  <c r="S38" i="39"/>
  <c r="S34" i="39"/>
  <c r="H34" i="39"/>
  <c r="U34" i="39"/>
  <c r="E109" i="39"/>
  <c r="H31" i="39"/>
  <c r="AB31" i="39"/>
  <c r="E101" i="39"/>
  <c r="H19" i="39"/>
  <c r="AB19" i="39"/>
  <c r="H17" i="39"/>
  <c r="AB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H15" i="39"/>
  <c r="U15" i="39"/>
  <c r="J15" i="39"/>
  <c r="W15" i="39"/>
  <c r="H41" i="39"/>
  <c r="W27" i="39"/>
  <c r="AB34" i="39"/>
  <c r="U40" i="39"/>
  <c r="S42" i="39"/>
  <c r="W14" i="39"/>
  <c r="W9" i="39"/>
  <c r="W8" i="39"/>
  <c r="J19" i="40"/>
  <c r="AC19" i="40"/>
  <c r="J50" i="40"/>
  <c r="B54" i="72"/>
  <c r="B16" i="53"/>
  <c r="B33" i="72"/>
  <c r="C7" i="37"/>
  <c r="C7" i="34"/>
  <c r="C7" i="36"/>
  <c r="W35" i="40"/>
  <c r="A118" i="9"/>
  <c r="A4" i="52"/>
  <c r="B41" i="72"/>
  <c r="J11" i="39"/>
  <c r="W11" i="39"/>
  <c r="A12" i="52"/>
  <c r="B56" i="72"/>
  <c r="S11" i="39"/>
  <c r="G4" i="4"/>
  <c r="I4" i="4"/>
  <c r="K5" i="4"/>
  <c r="B47" i="48"/>
  <c r="A2" i="9"/>
  <c r="F59" i="43"/>
  <c r="H62" i="43"/>
  <c r="U36" i="40"/>
  <c r="F36" i="43"/>
  <c r="F81" i="43"/>
  <c r="H83" i="43"/>
  <c r="F48" i="43"/>
  <c r="H52" i="43"/>
  <c r="F70" i="43"/>
  <c r="H73" i="43"/>
  <c r="M11" i="43"/>
  <c r="D17" i="43"/>
  <c r="F39" i="43"/>
  <c r="I17" i="43"/>
  <c r="F35" i="43"/>
  <c r="J17" i="43"/>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J39" i="39"/>
  <c r="AC39" i="39"/>
  <c r="E97" i="39"/>
  <c r="F97" i="39"/>
  <c r="G97" i="39"/>
  <c r="C40" i="11"/>
  <c r="H75" i="43"/>
  <c r="H50" i="43"/>
  <c r="I20" i="43"/>
  <c r="H27" i="36"/>
  <c r="U27" i="36"/>
  <c r="F27" i="36"/>
  <c r="AA27" i="36"/>
  <c r="H33" i="34"/>
  <c r="U33" i="34"/>
  <c r="F32" i="37"/>
  <c r="AA32" i="37"/>
  <c r="G96" i="37"/>
  <c r="H96" i="37"/>
  <c r="I96" i="37"/>
  <c r="J96" i="37"/>
  <c r="K96" i="37"/>
  <c r="L96" i="37"/>
  <c r="M96" i="37"/>
  <c r="F20" i="36"/>
  <c r="AA20" i="36"/>
  <c r="J33" i="34"/>
  <c r="AC33" i="34"/>
  <c r="H23" i="39"/>
  <c r="U23" i="39"/>
  <c r="AB11" i="39"/>
  <c r="H7" i="39"/>
  <c r="AB7" i="39"/>
  <c r="J7" i="39"/>
  <c r="AC7" i="39"/>
  <c r="H86" i="43"/>
  <c r="H82" i="43"/>
  <c r="H87" i="43"/>
  <c r="AE9" i="1"/>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AB27" i="39"/>
  <c r="U31" i="39"/>
  <c r="S25" i="39"/>
  <c r="J21" i="39"/>
  <c r="G95" i="39"/>
  <c r="H21"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M1" i="43"/>
  <c r="N8" i="43"/>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S13" i="39"/>
  <c r="S14" i="39"/>
  <c r="U43" i="39"/>
  <c r="AB43" i="39"/>
  <c r="U11"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B13" i="49"/>
  <c r="E4" i="4" s="1"/>
  <c r="B5" i="62" s="1"/>
  <c r="B73" i="72" s="1"/>
  <c r="AQ13" i="1"/>
  <c r="F30" i="68"/>
  <c r="F30" i="11"/>
  <c r="C48" i="11"/>
  <c r="F28" i="67"/>
  <c r="F52" i="9"/>
  <c r="M18" i="67"/>
  <c r="F32" i="67"/>
  <c r="F60" i="67"/>
  <c r="F30" i="69"/>
  <c r="C48" i="69"/>
  <c r="F60" i="15"/>
  <c r="M18" i="15"/>
  <c r="E63" i="39"/>
  <c r="T11" i="1"/>
  <c r="D9" i="69"/>
  <c r="C9" i="69"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S32" i="39"/>
  <c r="AB21" i="39"/>
  <c r="U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S21" i="6"/>
  <c r="L27" i="6"/>
  <c r="S26" i="6"/>
  <c r="S22" i="6"/>
  <c r="M20" i="6"/>
  <c r="I20" i="6"/>
  <c r="AP7" i="1"/>
  <c r="H16" i="1"/>
  <c r="K16" i="1"/>
  <c r="W33" i="21"/>
  <c r="S33" i="21"/>
  <c r="W32" i="21"/>
  <c r="U9" i="21"/>
  <c r="S32" i="21"/>
  <c r="W9" i="21"/>
  <c r="U32" i="21"/>
  <c r="S10" i="21"/>
  <c r="C36" i="69"/>
  <c r="T7" i="1"/>
  <c r="AR7" i="1"/>
  <c r="C30" i="11"/>
  <c r="E6" i="70"/>
  <c r="K27" i="6"/>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S20" i="6"/>
  <c r="M27" i="6"/>
  <c r="AC11" i="37"/>
  <c r="W11" i="37"/>
  <c r="W11" i="34"/>
  <c r="AC11" i="34"/>
  <c r="H20" i="6"/>
  <c r="B2" i="74"/>
  <c r="E6" i="3"/>
  <c r="D10" i="11"/>
  <c r="C10" i="11"/>
  <c r="D15" i="6"/>
  <c r="C18" i="4"/>
  <c r="D8" i="6"/>
  <c r="D14" i="6"/>
  <c r="R20" i="6"/>
  <c r="R7" i="1"/>
  <c r="D5" i="6"/>
  <c r="D6" i="6"/>
  <c r="D12" i="6"/>
  <c r="D9" i="6"/>
  <c r="D11" i="6"/>
  <c r="D10" i="6"/>
  <c r="D13" i="6"/>
  <c r="L19" i="9"/>
  <c r="E61" i="40"/>
  <c r="H25" i="6"/>
  <c r="R25" i="6"/>
  <c r="H22" i="6"/>
  <c r="H23" i="6"/>
  <c r="H26" i="6"/>
  <c r="H24" i="6"/>
  <c r="S19" i="6"/>
  <c r="S27" i="6"/>
  <c r="I27" i="6"/>
  <c r="F50" i="11"/>
  <c r="F50" i="69"/>
  <c r="F50" i="68"/>
  <c r="L16" i="1"/>
  <c r="R26" i="6"/>
  <c r="R23" i="6"/>
  <c r="R24" i="6"/>
  <c r="R22" i="6"/>
  <c r="D16" i="6"/>
  <c r="A7" i="51"/>
  <c r="B7" i="72"/>
  <c r="C4" i="52"/>
  <c r="B45" i="72"/>
  <c r="A10" i="51"/>
  <c r="B9" i="72"/>
  <c r="H27" i="6"/>
  <c r="R27" i="6"/>
  <c r="I5" i="6"/>
  <c r="E2" i="70"/>
  <c r="C34" i="69"/>
  <c r="C38" i="69" s="1"/>
  <c r="D10" i="69"/>
  <c r="C10" i="69" s="1"/>
  <c r="S16" i="1"/>
  <c r="AE7" i="1"/>
  <c r="T16" i="1"/>
  <c r="AG6" i="1"/>
  <c r="H109" i="9"/>
  <c r="C48" i="68"/>
  <c r="H110" i="9"/>
  <c r="D18" i="53"/>
  <c r="B35" i="72" s="1"/>
  <c r="D124" i="9"/>
  <c r="D10" i="52" s="1"/>
  <c r="D16" i="53"/>
  <c r="B34" i="72" s="1"/>
  <c r="H14" i="74"/>
  <c r="B7" i="74" s="1"/>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C65" i="40"/>
  <c r="D63" i="40"/>
  <c r="AA7" i="33"/>
  <c r="R48" i="3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11" i="71"/>
  <c r="D12" i="71"/>
  <c r="D13" i="71"/>
  <c r="U13" i="71"/>
  <c r="S13" i="71"/>
  <c r="T13" i="71"/>
  <c r="AB11" i="71"/>
  <c r="X9" i="71"/>
  <c r="X8" i="71"/>
  <c r="AA9" i="71"/>
  <c r="AA8" i="71"/>
  <c r="X12" i="71"/>
  <c r="Z7" i="71"/>
  <c r="Y8" i="71"/>
  <c r="Z8" i="71"/>
  <c r="AB9" i="71"/>
  <c r="AB8" i="71"/>
  <c r="S9" i="71"/>
  <c r="C20" i="11"/>
  <c r="Y9" i="71"/>
  <c r="Z9" i="71"/>
  <c r="AB3" i="71"/>
  <c r="X3" i="71"/>
  <c r="E10" i="49"/>
  <c r="P24" i="43"/>
  <c r="B66" i="40"/>
  <c r="P21" i="43"/>
  <c r="P22" i="43"/>
  <c r="G20" i="43"/>
  <c r="D65" i="40"/>
  <c r="E63" i="40"/>
  <c r="G17" i="43"/>
  <c r="C16" i="43"/>
  <c r="D5" i="43"/>
  <c r="C5" i="43"/>
  <c r="U7" i="36"/>
  <c r="AB7" i="36"/>
  <c r="T36" i="36"/>
  <c r="G36" i="36"/>
  <c r="AA7" i="35"/>
  <c r="R38" i="35"/>
  <c r="S7" i="35"/>
  <c r="AC7" i="37"/>
  <c r="V42" i="37"/>
  <c r="I42" i="37"/>
  <c r="W7" i="37"/>
  <c r="I52" i="33"/>
  <c r="J52" i="33"/>
  <c r="I53" i="33"/>
  <c r="J53" i="33"/>
  <c r="H59" i="34"/>
  <c r="C49"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9" i="71"/>
  <c r="D10" i="71"/>
  <c r="P25" i="43"/>
  <c r="E65" i="40"/>
  <c r="F63" i="40"/>
  <c r="E41" i="43"/>
  <c r="C41" i="43"/>
  <c r="C20" i="43"/>
  <c r="I42" i="35"/>
  <c r="J42" i="35"/>
  <c r="G42" i="35"/>
  <c r="H42" i="35"/>
  <c r="G43" i="35"/>
  <c r="H43" i="35"/>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C38" i="35"/>
  <c r="C39" i="35"/>
  <c r="S7" i="34"/>
  <c r="AA7" i="34"/>
  <c r="R49" i="34"/>
  <c r="I52" i="21"/>
  <c r="J52" i="21"/>
  <c r="I53" i="21"/>
  <c r="J53" i="21"/>
  <c r="E40" i="36"/>
  <c r="F40" i="36"/>
  <c r="E41" i="36"/>
  <c r="F41" i="36"/>
  <c r="I41" i="36"/>
  <c r="J41" i="36"/>
  <c r="E47" i="37"/>
  <c r="F47" i="37"/>
  <c r="E46" i="37"/>
  <c r="F46" i="37"/>
  <c r="M20" i="43"/>
  <c r="C19" i="43"/>
  <c r="T14" i="43"/>
  <c r="V14" i="43"/>
  <c r="U9" i="71"/>
  <c r="G65" i="40"/>
  <c r="H63" i="40"/>
  <c r="R50" i="34"/>
  <c r="E49" i="34"/>
  <c r="U7" i="34"/>
  <c r="AB7" i="34"/>
  <c r="T49" i="34"/>
  <c r="G49" i="34"/>
  <c r="E52" i="21"/>
  <c r="F52" i="21"/>
  <c r="E53" i="21"/>
  <c r="F53" i="21"/>
  <c r="I53" i="34"/>
  <c r="J53" i="34"/>
  <c r="I54" i="34"/>
  <c r="J54" i="34"/>
  <c r="C48"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G53" i="34"/>
  <c r="H53" i="34"/>
  <c r="G54" i="34"/>
  <c r="H54" i="34"/>
  <c r="E54" i="34"/>
  <c r="F54" i="34"/>
  <c r="E53" i="34"/>
  <c r="F53" i="34"/>
  <c r="G39" i="43"/>
  <c r="I39" i="43"/>
  <c r="G34" i="43"/>
  <c r="I34" i="43"/>
  <c r="C27" i="43"/>
  <c r="I65" i="40"/>
  <c r="J63" i="40"/>
  <c r="B3" i="43"/>
  <c r="K63" i="40"/>
  <c r="J65" i="40"/>
  <c r="L63" i="40"/>
  <c r="K65" i="40"/>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F31" i="67"/>
  <c r="F31" i="15"/>
  <c r="E22" i="49"/>
  <c r="F59" i="15"/>
  <c r="F59" i="67"/>
  <c r="M17" i="15"/>
  <c r="M17" i="67"/>
  <c r="D113" i="43"/>
  <c r="Y6" i="71"/>
  <c r="Z6" i="71"/>
  <c r="Y5" i="71"/>
  <c r="Z5" i="71"/>
  <c r="X6" i="71"/>
  <c r="X5" i="71"/>
  <c r="AA5" i="71"/>
  <c r="AA6" i="71"/>
  <c r="AB5" i="71"/>
  <c r="AB6" i="71"/>
  <c r="AB7" i="71"/>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Q16" i="1"/>
  <c r="N16" i="1"/>
  <c r="U10" i="39"/>
  <c r="W10" i="39"/>
  <c r="J10" i="40"/>
  <c r="W10" i="40"/>
  <c r="AC10" i="40"/>
  <c r="H10" i="40"/>
  <c r="U10" i="40"/>
  <c r="AB10" i="40"/>
  <c r="F10" i="40"/>
  <c r="AA10" i="40"/>
  <c r="S10" i="40"/>
  <c r="S10" i="39"/>
  <c r="I47" i="39"/>
  <c r="I51" i="39"/>
  <c r="J51" i="39"/>
  <c r="E47" i="39"/>
  <c r="I52" i="39"/>
  <c r="J52" i="39"/>
  <c r="G47" i="39"/>
  <c r="G51" i="39"/>
  <c r="H51" i="39"/>
  <c r="G52" i="39"/>
  <c r="H52" i="39"/>
  <c r="C47" i="39"/>
  <c r="E52" i="39"/>
  <c r="F52" i="39"/>
  <c r="E51" i="39"/>
  <c r="F51" i="39"/>
  <c r="B3" i="39"/>
  <c r="F27" i="69"/>
  <c r="C47" i="69" s="1"/>
  <c r="D45" i="69" s="1"/>
  <c r="F34" i="11"/>
  <c r="C34" i="11"/>
  <c r="C35" i="11"/>
  <c r="C36" i="11"/>
  <c r="C37" i="11"/>
  <c r="C38" i="11"/>
  <c r="C33" i="11"/>
  <c r="C39" i="11"/>
  <c r="F27" i="11"/>
  <c r="C46" i="11"/>
  <c r="C45" i="11"/>
  <c r="C47" i="11"/>
  <c r="D45" i="11"/>
  <c r="C28" i="11"/>
  <c r="C27" i="11"/>
  <c r="C29" i="11"/>
  <c r="D27" i="11"/>
  <c r="F16" i="74"/>
  <c r="E16" i="74"/>
  <c r="D6" i="73"/>
  <c r="M9" i="15"/>
  <c r="C14" i="15"/>
  <c r="M6" i="15"/>
  <c r="F5" i="73"/>
  <c r="C76" i="67"/>
  <c r="F3" i="73"/>
  <c r="E7" i="76"/>
  <c r="F43" i="67"/>
  <c r="F40" i="67"/>
  <c r="AO11" i="1"/>
  <c r="AO10" i="1"/>
  <c r="F7" i="15"/>
  <c r="F16" i="15"/>
  <c r="D3" i="73"/>
  <c r="AO12" i="1"/>
  <c r="B9" i="76"/>
  <c r="E13" i="76"/>
  <c r="L47" i="67"/>
  <c r="M28" i="67"/>
  <c r="D5" i="73"/>
  <c r="F37" i="15"/>
  <c r="F26" i="67"/>
  <c r="J15" i="67"/>
  <c r="E6" i="76"/>
  <c r="D2" i="35"/>
  <c r="F6" i="15"/>
  <c r="F40" i="15"/>
  <c r="F9" i="15"/>
  <c r="F43" i="15"/>
  <c r="F38" i="15"/>
  <c r="D2" i="33"/>
  <c r="L48" i="67"/>
  <c r="M29" i="67"/>
  <c r="L47" i="15"/>
  <c r="E9" i="76"/>
  <c r="D2" i="36"/>
  <c r="B7" i="76"/>
  <c r="F16" i="67"/>
  <c r="F37" i="67"/>
  <c r="M23" i="67"/>
  <c r="M28" i="15"/>
  <c r="M27" i="15"/>
  <c r="AO6" i="1"/>
  <c r="M24" i="67"/>
  <c r="M22" i="67"/>
  <c r="E2" i="69"/>
  <c r="AO7" i="1"/>
  <c r="M29" i="15"/>
  <c r="M26" i="67"/>
  <c r="AO13" i="1"/>
  <c r="B6" i="76"/>
  <c r="F26" i="15"/>
  <c r="F4" i="73"/>
  <c r="F36" i="15"/>
  <c r="B10" i="76"/>
  <c r="M27" i="67"/>
  <c r="E11" i="76"/>
  <c r="J15" i="15"/>
  <c r="M26" i="15"/>
  <c r="E12" i="76"/>
  <c r="B12" i="76"/>
  <c r="F35" i="67"/>
  <c r="F9" i="67"/>
  <c r="F41" i="67"/>
  <c r="B11" i="76"/>
  <c r="M22" i="15"/>
  <c r="F8" i="15"/>
  <c r="D2" i="34"/>
  <c r="F20" i="31"/>
  <c r="F13" i="67"/>
  <c r="F6" i="73"/>
  <c r="E10" i="76"/>
  <c r="C76" i="15"/>
  <c r="B13" i="76"/>
  <c r="F6" i="67"/>
  <c r="M21" i="67"/>
  <c r="F35" i="15"/>
  <c r="F13" i="15"/>
  <c r="L48" i="15"/>
  <c r="M9" i="67"/>
  <c r="F36" i="67"/>
  <c r="E2" i="68"/>
  <c r="D2" i="37"/>
  <c r="F38" i="67"/>
  <c r="M21" i="15"/>
  <c r="M23" i="15"/>
  <c r="D4" i="73"/>
  <c r="F7" i="67"/>
  <c r="F7" i="73"/>
  <c r="F8" i="67"/>
  <c r="M8" i="15"/>
  <c r="F42" i="15"/>
  <c r="D2" i="79"/>
  <c r="AO9" i="1"/>
  <c r="B8" i="76"/>
  <c r="M24" i="15"/>
  <c r="D2" i="21"/>
  <c r="F42" i="67"/>
  <c r="D7" i="73"/>
  <c r="M6" i="67"/>
  <c r="E8" i="76"/>
  <c r="M8" i="67"/>
  <c r="C15" i="12" l="1"/>
  <c r="E21" i="49"/>
  <c r="B8" i="49"/>
  <c r="B6" i="49"/>
  <c r="B10" i="49"/>
  <c r="E13" i="49"/>
  <c r="B14" i="49"/>
  <c r="B9" i="49"/>
  <c r="B4" i="49"/>
  <c r="E11" i="49"/>
  <c r="E8" i="49"/>
  <c r="B11" i="49"/>
  <c r="E9" i="49"/>
  <c r="B22" i="49"/>
  <c r="E4" i="49"/>
  <c r="E6" i="49"/>
  <c r="E14" i="49"/>
  <c r="E7" i="49"/>
  <c r="C57" i="82"/>
  <c r="D12" i="53"/>
  <c r="B28" i="72" s="1"/>
  <c r="D17" i="53"/>
  <c r="B36" i="72" s="1"/>
  <c r="C14" i="12"/>
  <c r="C29" i="69"/>
  <c r="D27" i="69" s="1"/>
  <c r="C35" i="69"/>
  <c r="D19" i="68"/>
  <c r="D37" i="68" s="1"/>
  <c r="C37" i="68" s="1"/>
  <c r="C36" i="68"/>
  <c r="C29" i="68"/>
  <c r="D27" i="68" s="1"/>
  <c r="R16" i="1"/>
  <c r="D19" i="69"/>
  <c r="C19" i="69" s="1"/>
  <c r="C47" i="68"/>
  <c r="D45" i="68" s="1"/>
  <c r="C8" i="69"/>
  <c r="C5" i="69" s="1"/>
  <c r="C20" i="69" s="1"/>
  <c r="C35" i="68"/>
  <c r="C38" i="68"/>
  <c r="B2" i="76"/>
  <c r="F51" i="67"/>
  <c r="B13" i="70"/>
  <c r="J20" i="67"/>
  <c r="B2" i="35"/>
  <c r="B3" i="35" s="1"/>
  <c r="B10" i="70"/>
  <c r="M7" i="67"/>
  <c r="F50" i="67"/>
  <c r="C6" i="67"/>
  <c r="B7" i="70"/>
  <c r="F69" i="67"/>
  <c r="E20" i="43"/>
  <c r="B11" i="70"/>
  <c r="L58" i="67"/>
  <c r="L59" i="67"/>
  <c r="N59" i="67"/>
  <c r="M59" i="67"/>
  <c r="F63" i="67"/>
  <c r="C62" i="67" s="1"/>
  <c r="C34" i="67"/>
  <c r="F68" i="67"/>
  <c r="J6" i="67"/>
  <c r="B6" i="70"/>
  <c r="Q71" i="15"/>
  <c r="J20" i="15"/>
  <c r="F71" i="67"/>
  <c r="E2" i="76"/>
  <c r="F66" i="67"/>
  <c r="F65" i="67"/>
  <c r="B9" i="70"/>
  <c r="B2" i="37"/>
  <c r="B3" i="37" s="1"/>
  <c r="Q71" i="67"/>
  <c r="B2" i="36"/>
  <c r="B3" i="36" s="1"/>
  <c r="F70" i="67"/>
  <c r="B12" i="70"/>
  <c r="F64" i="67"/>
  <c r="M59" i="15"/>
  <c r="L59" i="15" s="1"/>
  <c r="L58" i="15"/>
  <c r="N59" i="15"/>
  <c r="B20" i="31"/>
  <c r="C27" i="67"/>
  <c r="J53" i="67"/>
  <c r="I54" i="67"/>
  <c r="J57" i="67"/>
  <c r="J55" i="67" s="1"/>
  <c r="J58" i="67" s="1"/>
  <c r="Q50" i="67" s="1"/>
  <c r="L56" i="67"/>
  <c r="B2" i="33"/>
  <c r="B3" i="33" s="1"/>
  <c r="B2" i="34"/>
  <c r="B3" i="34" s="1"/>
  <c r="J53" i="15"/>
  <c r="J60" i="15"/>
  <c r="Q48" i="15" s="1"/>
  <c r="J59" i="15"/>
  <c r="L60" i="15"/>
  <c r="J57" i="15"/>
  <c r="J55" i="15" s="1"/>
  <c r="J58" i="15" s="1"/>
  <c r="Q50" i="15" s="1"/>
  <c r="I54" i="15"/>
  <c r="L57" i="15"/>
  <c r="L56" i="15"/>
  <c r="F66" i="15"/>
  <c r="F65" i="15"/>
  <c r="F64" i="15"/>
  <c r="F71" i="15"/>
  <c r="C15" i="15"/>
  <c r="C18" i="15"/>
  <c r="I1" i="73"/>
  <c r="B39" i="1" s="1"/>
  <c r="F51" i="15"/>
  <c r="F68" i="15"/>
  <c r="C27" i="15"/>
  <c r="C34" i="15"/>
  <c r="F63" i="15"/>
  <c r="C62" i="15" s="1"/>
  <c r="M7" i="15"/>
  <c r="J6" i="15" s="1"/>
  <c r="F50" i="15"/>
  <c r="C6" i="15"/>
  <c r="K1" i="73"/>
  <c r="D11" i="53"/>
  <c r="B27" i="72" s="1"/>
  <c r="H103" i="9"/>
  <c r="C56" i="82"/>
  <c r="D7" i="74"/>
  <c r="C7" i="74"/>
  <c r="B4" i="62"/>
  <c r="B71" i="72" s="1"/>
  <c r="K4" i="4"/>
  <c r="B46" i="48" s="1"/>
  <c r="B4" i="72" s="1"/>
  <c r="D125" i="9"/>
  <c r="D11" i="52" s="1"/>
  <c r="C18" i="12"/>
  <c r="G1" i="73"/>
  <c r="C16" i="15"/>
  <c r="C17" i="15"/>
  <c r="C16" i="67"/>
  <c r="C17" i="67"/>
  <c r="C14" i="67"/>
  <c r="C16" i="12" l="1"/>
  <c r="C21" i="12" s="1"/>
  <c r="C22" i="12" s="1"/>
  <c r="C33" i="68"/>
  <c r="C39" i="68" s="1"/>
  <c r="C46" i="68" s="1"/>
  <c r="C45" i="68" s="1"/>
  <c r="D37" i="69"/>
  <c r="C37" i="69" s="1"/>
  <c r="C33" i="69" s="1"/>
  <c r="C39" i="69" s="1"/>
  <c r="C46" i="69" s="1"/>
  <c r="C45" i="69" s="1"/>
  <c r="L46" i="15"/>
  <c r="C28" i="69"/>
  <c r="C27" i="69" s="1"/>
  <c r="C19" i="15"/>
  <c r="C18" i="67"/>
  <c r="C15" i="67"/>
  <c r="B40" i="1"/>
  <c r="J18" i="15"/>
  <c r="C54" i="82"/>
  <c r="D8" i="53"/>
  <c r="D120" i="9"/>
  <c r="C33" i="15"/>
  <c r="C32" i="15"/>
  <c r="F11" i="15"/>
  <c r="C53" i="15" s="1"/>
  <c r="M11" i="15"/>
  <c r="J10" i="15" s="1"/>
  <c r="J5" i="15" s="1"/>
  <c r="M11" i="67"/>
  <c r="J10" i="67" s="1"/>
  <c r="J5" i="67" s="1"/>
  <c r="F11" i="67"/>
  <c r="Q66" i="15"/>
  <c r="Q57" i="15"/>
  <c r="F1" i="67"/>
  <c r="Q52" i="67"/>
  <c r="Q73" i="15"/>
  <c r="Q60" i="15"/>
  <c r="Q60" i="67"/>
  <c r="Q73" i="67"/>
  <c r="M28" i="43"/>
  <c r="P28" i="43"/>
  <c r="N28" i="43"/>
  <c r="O28" i="43"/>
  <c r="C49" i="67"/>
  <c r="C49" i="15"/>
  <c r="F1" i="15"/>
  <c r="Q52" i="15"/>
  <c r="Q74" i="15"/>
  <c r="Q61" i="15"/>
  <c r="J18" i="67"/>
  <c r="Q61" i="67"/>
  <c r="Q74" i="67"/>
  <c r="C32" i="67"/>
  <c r="B3" i="76"/>
  <c r="AE8" i="1"/>
  <c r="C19" i="67" l="1"/>
  <c r="C20" i="67" s="1"/>
  <c r="C31" i="15"/>
  <c r="J26" i="15"/>
  <c r="J24" i="15"/>
  <c r="J24" i="67"/>
  <c r="J26" i="67"/>
  <c r="J29" i="67" s="1"/>
  <c r="C48" i="15"/>
  <c r="C10" i="67"/>
  <c r="C5" i="67" s="1"/>
  <c r="C53" i="67"/>
  <c r="C48" i="67" s="1"/>
  <c r="D9" i="53"/>
  <c r="B25" i="72" s="1"/>
  <c r="B24" i="72"/>
  <c r="C10" i="15"/>
  <c r="C5" i="15" s="1"/>
  <c r="D6" i="52"/>
  <c r="D121" i="9"/>
  <c r="D7" i="52" s="1"/>
  <c r="K120" i="9"/>
  <c r="A18" i="62" s="1"/>
  <c r="B64" i="72" s="1"/>
  <c r="F24" i="15"/>
  <c r="C24" i="15" s="1"/>
  <c r="F25" i="12"/>
  <c r="C26" i="12" s="1"/>
  <c r="D25" i="12" s="1"/>
  <c r="F22" i="68"/>
  <c r="C43" i="68" s="1"/>
  <c r="F22" i="11"/>
  <c r="F24" i="67"/>
  <c r="C24" i="67" s="1"/>
  <c r="F22" i="69"/>
  <c r="C20" i="15"/>
  <c r="C26" i="15" s="1"/>
  <c r="F41" i="15"/>
  <c r="F69" i="15" l="1"/>
  <c r="J29" i="15"/>
  <c r="C26" i="67"/>
  <c r="C66" i="67"/>
  <c r="C60" i="67"/>
  <c r="C44" i="69"/>
  <c r="D41" i="69" s="1"/>
  <c r="C26" i="69"/>
  <c r="D22" i="69" s="1"/>
  <c r="C23" i="69"/>
  <c r="C24" i="69"/>
  <c r="C42" i="69"/>
  <c r="C25" i="69"/>
  <c r="C43" i="69"/>
  <c r="C44" i="11"/>
  <c r="D41" i="11" s="1"/>
  <c r="C26" i="11"/>
  <c r="D22" i="11" s="1"/>
  <c r="C23" i="11"/>
  <c r="C24" i="11"/>
  <c r="C42" i="11"/>
  <c r="C25" i="11"/>
  <c r="C43" i="11"/>
  <c r="C23" i="15"/>
  <c r="C29" i="15" s="1"/>
  <c r="C23" i="68"/>
  <c r="C25" i="68"/>
  <c r="C24" i="68"/>
  <c r="C26" i="68"/>
  <c r="D22" i="68" s="1"/>
  <c r="C44" i="68"/>
  <c r="D41" i="68" s="1"/>
  <c r="C42" i="68"/>
  <c r="C41" i="68" s="1"/>
  <c r="C23" i="67"/>
  <c r="C38" i="15"/>
  <c r="C38" i="67"/>
  <c r="C60" i="15"/>
  <c r="C66" i="15"/>
  <c r="C29" i="67" l="1"/>
  <c r="J19" i="67" s="1"/>
  <c r="J17" i="67" s="1"/>
  <c r="C22" i="11"/>
  <c r="C31" i="11" s="1"/>
  <c r="C36" i="15"/>
  <c r="C13" i="15"/>
  <c r="J14" i="15"/>
  <c r="J19" i="15"/>
  <c r="J17" i="15" s="1"/>
  <c r="C57" i="15"/>
  <c r="Q49" i="15"/>
  <c r="C22" i="68"/>
  <c r="C31" i="68" s="1"/>
  <c r="C41" i="11"/>
  <c r="C49" i="11" s="1"/>
  <c r="C51" i="11" s="1"/>
  <c r="C33" i="67"/>
  <c r="C31" i="67" s="1"/>
  <c r="C49" i="68"/>
  <c r="C51" i="68" s="1"/>
  <c r="C41" i="69"/>
  <c r="C49" i="69" s="1"/>
  <c r="C51" i="69" s="1"/>
  <c r="C22" i="69"/>
  <c r="C31" i="69" s="1"/>
  <c r="C36" i="67" l="1"/>
  <c r="J59" i="67"/>
  <c r="J60" i="67" s="1"/>
  <c r="L46" i="67" s="1"/>
  <c r="Q49" i="67"/>
  <c r="C57" i="67"/>
  <c r="C61" i="67" s="1"/>
  <c r="C59" i="67" s="1"/>
  <c r="J14" i="67"/>
  <c r="J13" i="67" s="1"/>
  <c r="J23" i="67" s="1"/>
  <c r="C13" i="67"/>
  <c r="Q70" i="67" s="1"/>
  <c r="C52" i="11"/>
  <c r="B2" i="11" s="1"/>
  <c r="B3" i="11" s="1"/>
  <c r="C52" i="69"/>
  <c r="B2" i="69" s="1"/>
  <c r="B3" i="69" s="1"/>
  <c r="J22" i="67"/>
  <c r="C37" i="15"/>
  <c r="C30" i="15" s="1"/>
  <c r="C39" i="15" s="1"/>
  <c r="C75" i="15"/>
  <c r="Q70" i="15"/>
  <c r="C56" i="15"/>
  <c r="C65" i="15" s="1"/>
  <c r="Q48" i="67"/>
  <c r="C52" i="68"/>
  <c r="B2" i="68" s="1"/>
  <c r="C61" i="15"/>
  <c r="C59" i="15" s="1"/>
  <c r="C64" i="15"/>
  <c r="J13" i="15"/>
  <c r="J23" i="15" s="1"/>
  <c r="J22" i="15"/>
  <c r="C19" i="9"/>
  <c r="C64" i="67" l="1"/>
  <c r="C37" i="67"/>
  <c r="C30" i="67" s="1"/>
  <c r="C39" i="67" s="1"/>
  <c r="C40" i="67" s="1"/>
  <c r="C75" i="67"/>
  <c r="C56" i="67"/>
  <c r="C65" i="67" s="1"/>
  <c r="C56" i="11"/>
  <c r="C57" i="11" s="1"/>
  <c r="C58" i="15"/>
  <c r="C67" i="15" s="1"/>
  <c r="C68" i="15" s="1"/>
  <c r="C71" i="15" s="1"/>
  <c r="J16" i="15"/>
  <c r="J25" i="15" s="1"/>
  <c r="J16" i="67"/>
  <c r="J25" i="67" s="1"/>
  <c r="C102" i="9"/>
  <c r="C21" i="9"/>
  <c r="C40" i="15"/>
  <c r="Q69" i="15"/>
  <c r="Q68" i="15" s="1"/>
  <c r="B3" i="68"/>
  <c r="C57" i="69"/>
  <c r="C56" i="69" s="1"/>
  <c r="C80" i="15"/>
  <c r="C79" i="15" s="1"/>
  <c r="C57" i="68"/>
  <c r="C56" i="68" s="1"/>
  <c r="D35" i="9"/>
  <c r="L51" i="67"/>
  <c r="C20" i="9"/>
  <c r="L51" i="15"/>
  <c r="D34" i="9"/>
  <c r="Q69" i="67" l="1"/>
  <c r="Q68" i="67" s="1"/>
  <c r="C58" i="67"/>
  <c r="C67" i="67" s="1"/>
  <c r="C68" i="67" s="1"/>
  <c r="C45" i="67" s="1"/>
  <c r="C46" i="67" s="1"/>
  <c r="C80" i="67"/>
  <c r="C79" i="67" s="1"/>
  <c r="C46" i="15"/>
  <c r="Q67" i="67"/>
  <c r="L57" i="67"/>
  <c r="L60" i="67" s="1"/>
  <c r="C103" i="9"/>
  <c r="Q67" i="15"/>
  <c r="Q56" i="67"/>
  <c r="Q47" i="67"/>
  <c r="Q53" i="67" s="1"/>
  <c r="Q65" i="67"/>
  <c r="C43" i="67"/>
  <c r="D2" i="67"/>
  <c r="C83" i="67"/>
  <c r="C82" i="67" s="1"/>
  <c r="B2" i="15"/>
  <c r="Q47" i="15"/>
  <c r="Q53" i="15" s="1"/>
  <c r="Q56" i="15"/>
  <c r="Q62" i="15" s="1"/>
  <c r="Q65" i="15"/>
  <c r="Q75" i="15" s="1"/>
  <c r="C43" i="15"/>
  <c r="C83" i="15"/>
  <c r="C82" i="15" s="1"/>
  <c r="AO8" i="1"/>
  <c r="C71" i="67" l="1"/>
  <c r="B8" i="70"/>
  <c r="B2" i="70" s="1"/>
  <c r="B3" i="70" s="1"/>
  <c r="E8" i="12"/>
  <c r="C4" i="12" s="1"/>
  <c r="B3" i="15"/>
  <c r="E6" i="12" s="1"/>
  <c r="B3" i="67"/>
  <c r="B2" i="67"/>
  <c r="Q66" i="67"/>
  <c r="Q75" i="67" s="1"/>
  <c r="Q57" i="67"/>
  <c r="Q62" i="67" s="1"/>
  <c r="C31" i="12" l="1"/>
  <c r="C23" i="12"/>
  <c r="C30" i="12" l="1"/>
  <c r="C28" i="12" s="1"/>
  <c r="C27" i="12"/>
  <c r="C25" i="12" s="1"/>
  <c r="C32" i="12" l="1"/>
  <c r="B2" i="12" s="1"/>
  <c r="D19" i="9"/>
  <c r="D21" i="9" l="1"/>
  <c r="D102" i="9"/>
  <c r="G19" i="9"/>
  <c r="P55" i="83" s="1"/>
  <c r="V51" i="83" s="1"/>
  <c r="V49" i="83" s="1"/>
  <c r="D22" i="9"/>
  <c r="B3" i="12"/>
  <c r="D20" i="9"/>
  <c r="U51" i="83" l="1"/>
  <c r="U49" i="83" s="1"/>
  <c r="T51" i="83"/>
  <c r="T49" i="83" s="1"/>
  <c r="D103" i="9"/>
  <c r="G20" i="9"/>
  <c r="C32" i="9"/>
  <c r="G21" i="9"/>
  <c r="H118" i="9" l="1"/>
  <c r="C35" i="9"/>
  <c r="F118" i="9" s="1"/>
  <c r="C34" i="9" l="1"/>
  <c r="D118" i="9" s="1"/>
  <c r="D4" i="52" s="1"/>
  <c r="B47" i="72" s="1"/>
  <c r="F4" i="52"/>
  <c r="B51" i="72" s="1"/>
  <c r="F119" i="9"/>
  <c r="F5" i="52" s="1"/>
  <c r="B53" i="72" s="1"/>
  <c r="G118" i="9"/>
  <c r="G4" i="52" s="1"/>
  <c r="B52" i="72" s="1"/>
  <c r="I118" i="9"/>
  <c r="H101" i="9"/>
  <c r="C104" i="9"/>
  <c r="D14" i="74"/>
  <c r="H4" i="52"/>
  <c r="H119" i="9"/>
  <c r="H5" i="52" s="1"/>
  <c r="D119" i="9" l="1"/>
  <c r="D5" i="52" s="1"/>
  <c r="B49" i="72" s="1"/>
  <c r="F14" i="74"/>
  <c r="E14" i="74"/>
  <c r="H107" i="9"/>
  <c r="D45" i="9"/>
  <c r="C52" i="82"/>
  <c r="D5" i="53"/>
  <c r="M48" i="9"/>
  <c r="H102" i="9"/>
  <c r="E118" i="9"/>
  <c r="E4" i="52" s="1"/>
  <c r="B48" i="72" s="1"/>
  <c r="I4" i="52"/>
  <c r="C105" i="9"/>
  <c r="C53" i="82" l="1"/>
  <c r="D7" i="53"/>
  <c r="B21" i="72" s="1"/>
  <c r="D6" i="53"/>
  <c r="B22" i="72" s="1"/>
  <c r="B20" i="72"/>
  <c r="C93" i="9"/>
  <c r="C86" i="9" s="1"/>
  <c r="C85" i="9"/>
  <c r="C64" i="9"/>
  <c r="C63" i="9" s="1"/>
  <c r="C67" i="9" s="1"/>
  <c r="C68" i="9" s="1"/>
  <c r="D54" i="9" s="1"/>
  <c r="C72" i="9"/>
  <c r="D55" i="9"/>
  <c r="M53" i="9" s="1"/>
  <c r="D52" i="9"/>
  <c r="C78" i="9"/>
  <c r="C73" i="9" s="1"/>
  <c r="D53" i="9"/>
  <c r="D48" i="9" s="1"/>
  <c r="M52" i="9" s="1"/>
  <c r="C58" i="82"/>
  <c r="H108" i="9"/>
  <c r="M49" i="9"/>
  <c r="D122" i="9"/>
  <c r="D13" i="53"/>
  <c r="G14" i="74" l="1"/>
  <c r="D123" i="9"/>
  <c r="D9" i="52" s="1"/>
  <c r="D8" i="52"/>
  <c r="C59" i="82"/>
  <c r="D15" i="53"/>
  <c r="B31" i="72" s="1"/>
  <c r="D14" i="53"/>
  <c r="B32" i="72" s="1"/>
  <c r="B30" i="72"/>
  <c r="L64" i="9"/>
  <c r="M64" i="9" s="1"/>
  <c r="L66" i="9"/>
  <c r="M66" i="9" s="1"/>
  <c r="L68" i="9"/>
  <c r="M68" i="9" s="1"/>
  <c r="L63" i="9"/>
  <c r="M63" i="9" s="1"/>
  <c r="L65" i="9"/>
  <c r="M65" i="9" s="1"/>
  <c r="L67" i="9"/>
  <c r="M67" i="9" s="1"/>
  <c r="C79" i="9"/>
  <c r="C95" i="9"/>
  <c r="C80" i="9" l="1"/>
  <c r="E80" i="9" s="1"/>
  <c r="E81" i="9" s="1"/>
  <c r="M69" i="9"/>
  <c r="N69" i="9" s="1"/>
  <c r="C96" i="9"/>
  <c r="E96" i="9" s="1"/>
  <c r="E97" i="9" s="1"/>
  <c r="C97" i="9" l="1"/>
  <c r="C81" i="9"/>
  <c r="D58" i="9" l="1"/>
  <c r="D56" i="9" s="1"/>
  <c r="M54" i="9" s="1"/>
  <c r="N57" i="9" s="1"/>
  <c r="G25" i="9"/>
  <c r="C60" i="82" s="1"/>
  <c r="N58" i="9" l="1"/>
  <c r="P57" i="9"/>
  <c r="N59" i="9"/>
  <c r="N60" i="9" l="1"/>
  <c r="N61" i="9"/>
  <c r="E11" i="80" l="1"/>
  <c r="E13" i="80"/>
  <c r="E12" i="80" l="1"/>
  <c r="E10" i="80"/>
  <c r="D57" i="82"/>
  <c r="F57" i="82" s="1"/>
  <c r="D56" i="82"/>
  <c r="F56" i="82" s="1"/>
  <c r="D54" i="82" l="1"/>
  <c r="F54" i="82" s="1"/>
  <c r="D15" i="74" l="1"/>
  <c r="D52" i="82"/>
  <c r="F52" i="82" s="1"/>
  <c r="B5" i="74" l="1"/>
  <c r="E15" i="74"/>
  <c r="F15" i="74"/>
  <c r="D58" i="82"/>
  <c r="F58" i="82" s="1"/>
  <c r="D53" i="82"/>
  <c r="F53" i="82" s="1"/>
  <c r="D5" i="74" l="1"/>
  <c r="C5" i="74"/>
  <c r="D59" i="82"/>
  <c r="F59" i="82" s="1"/>
  <c r="G15" i="74" l="1"/>
  <c r="B6" i="74" s="1"/>
  <c r="C6" i="74" l="1"/>
  <c r="D6" i="74"/>
  <c r="D60" i="82" l="1"/>
  <c r="F60" i="8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<sst xmlns="http://schemas.openxmlformats.org/spreadsheetml/2006/main" count="8133" uniqueCount="3345">
  <si>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</si>
  <si>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</si>
  <si>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</si>
  <si>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</si>
  <si>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</si>
  <si>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</si>
  <si>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</si>
  <si>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</si>
  <si>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</si>
  <si>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</si>
  <si>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</si>
  <si>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</si>
  <si>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</si>
  <si>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</si>
  <si>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</si>
  <si>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</si>
  <si>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</si>
  <si>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</si>
  <si>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</si>
  <si>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</si>
  <si>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</si>
  <si>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</si>
  <si>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</si>
  <si>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</si>
  <si>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</si>
  <si>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</si>
  <si>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</si>
  <si>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</si>
  <si>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</si>
  <si>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</si>
  <si>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</si>
  <si>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</si>
  <si>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</si>
  <si>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</si>
  <si>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</si>
  <si>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</si>
  <si>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</si>
  <si>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</si>
  <si>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</si>
  <si>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</si>
  <si>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</si>
  <si>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</si>
  <si>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</si>
  <si>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</si>
  <si>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</si>
  <si>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</si>
  <si>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</si>
  <si>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</si>
  <si>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</si>
  <si>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</si>
  <si>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</si>
  <si>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</si>
  <si>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</si>
  <si>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</si>
  <si>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</si>
  <si>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</si>
  <si>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</si>
  <si>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</si>
  <si>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</si>
  <si>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</si>
  <si>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</si>
  <si>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</si>
  <si>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</si>
  <si>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</si>
  <si>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</si>
  <si>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</si>
  <si>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</si>
  <si>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</si>
  <si>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</si>
  <si>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</si>
  <si>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</si>
  <si>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</si>
  <si>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</si>
  <si>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</si>
  <si>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</si>
  <si>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</si>
  <si>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</si>
  <si>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</si>
  <si>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</si>
  <si>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</si>
  <si>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</si>
  <si>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</si>
  <si>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</si>
  <si>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</si>
  <si>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</si>
  <si>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</si>
  <si>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</si>
  <si>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</si>
  <si>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</si>
  <si>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</si>
  <si>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</si>
  <si>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</si>
  <si>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</si>
  <si>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</si>
  <si>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</si>
  <si>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</si>
  <si>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</si>
  <si>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</si>
  <si>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</si>
  <si>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</si>
  <si>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</si>
  <si>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</si>
  <si>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</si>
  <si>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</si>
  <si>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</si>
  <si>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</si>
  <si>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</si>
  <si>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</si>
  <si>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</si>
  <si>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</si>
  <si>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</si>
  <si>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</si>
  <si>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</si>
  <si>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</si>
  <si>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</si>
  <si>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</si>
  <si>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</si>
  <si>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</si>
  <si>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</si>
  <si>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</si>
  <si>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</si>
  <si>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</si>
  <si>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</si>
  <si>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</si>
  <si>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</si>
  <si>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</si>
  <si>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</si>
  <si>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</si>
  <si>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</si>
  <si>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</si>
  <si>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</si>
  <si>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</si>
  <si>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</si>
  <si>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</si>
  <si>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</si>
  <si>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</si>
  <si>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</si>
  <si>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</si>
  <si>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</si>
  <si>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</si>
  <si>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</si>
  <si>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</si>
  <si>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</si>
  <si>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</si>
  <si>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</si>
  <si>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</si>
  <si>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</si>
  <si>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</si>
  <si>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</si>
  <si>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</si>
  <si>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</si>
  <si>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</si>
  <si>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</si>
  <si>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</si>
  <si>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</si>
  <si>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</si>
  <si>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</si>
  <si>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</si>
  <si>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</si>
  <si>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</si>
  <si>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</si>
  <si>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</si>
  <si>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</si>
  <si>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</si>
  <si>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</si>
  <si>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</si>
  <si>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</si>
  <si>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</si>
  <si>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</si>
  <si>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</si>
  <si>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</si>
  <si>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</si>
  <si>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</si>
  <si>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</si>
  <si>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</si>
  <si>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</si>
  <si>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</si>
  <si>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</si>
  <si>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</si>
  <si>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</si>
  <si>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</si>
  <si>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</si>
  <si>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</si>
  <si>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</si>
  <si>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</si>
  <si>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</si>
  <si>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</si>
  <si>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</si>
  <si>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</si>
  <si>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</si>
  <si>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</si>
  <si>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</si>
  <si>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</si>
  <si>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</si>
  <si>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</si>
  <si>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</si>
  <si>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</si>
  <si>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</si>
  <si>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</si>
  <si>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</si>
  <si>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</si>
  <si>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</si>
  <si>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</si>
  <si>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</si>
  <si>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</si>
  <si>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</si>
  <si>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</si>
  <si>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</si>
  <si>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</si>
  <si>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</si>
  <si>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</si>
  <si>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</si>
  <si>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</si>
  <si>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</si>
  <si>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</si>
  <si>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</si>
  <si>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</si>
  <si>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</si>
  <si>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</si>
  <si>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</si>
  <si>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</si>
  <si>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</si>
  <si>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</si>
  <si>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</si>
  <si>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</si>
  <si>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</si>
  <si>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</si>
  <si>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</si>
  <si>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</si>
  <si>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</si>
  <si>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</si>
  <si>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</si>
  <si>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</si>
  <si>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</si>
  <si>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</si>
  <si>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</si>
  <si>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</si>
  <si>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</si>
  <si>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</si>
  <si>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</si>
  <si>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</si>
  <si>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</si>
  <si>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</si>
  <si>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</si>
  <si>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</si>
  <si>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</si>
  <si>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</si>
  <si>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</si>
  <si>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</si>
  <si>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</si>
  <si>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</si>
  <si>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</si>
  <si>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</si>
  <si>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</si>
  <si>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</si>
  <si>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</si>
  <si>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</si>
  <si>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</si>
  <si>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</si>
  <si>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</si>
  <si>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</si>
  <si>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</si>
  <si>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</si>
  <si>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</si>
  <si>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</si>
  <si>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</si>
  <si>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</si>
  <si>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</si>
  <si>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</si>
  <si>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</si>
  <si>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</si>
  <si>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</si>
  <si>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</si>
  <si>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</si>
  <si>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</si>
  <si>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</si>
  <si>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</si>
  <si>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</si>
  <si>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</si>
  <si>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</si>
  <si>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</si>
  <si>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</si>
  <si>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</si>
  <si>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</si>
  <si>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</si>
  <si>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</si>
  <si>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</si>
  <si>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</si>
  <si>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</si>
  <si>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</si>
  <si>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</si>
  <si>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</si>
  <si>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</si>
  <si>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</si>
  <si>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</si>
  <si>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</si>
  <si>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</si>
  <si>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</si>
  <si>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</si>
  <si>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</si>
  <si>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</si>
  <si>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</si>
  <si>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</si>
  <si>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</si>
  <si>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</si>
  <si>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</si>
  <si>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</si>
  <si>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</si>
  <si>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</si>
  <si>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</si>
  <si>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</si>
  <si>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</si>
  <si>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</si>
  <si>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</si>
  <si>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</si>
  <si>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</si>
  <si>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</si>
  <si>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</si>
  <si>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</si>
  <si>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</si>
  <si>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</si>
  <si>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</si>
  <si>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</si>
  <si>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</si>
  <si>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</si>
  <si>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</si>
  <si>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</si>
  <si>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</si>
  <si>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</si>
  <si>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</si>
  <si>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</si>
  <si>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</si>
  <si>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</si>
  <si>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</si>
  <si>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</si>
  <si>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</si>
  <si>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</si>
  <si>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</si>
  <si>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</si>
  <si>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</si>
  <si>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</si>
  <si>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</si>
  <si>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</si>
  <si>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</si>
  <si>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</si>
  <si>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</si>
  <si>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</si>
  <si>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</si>
  <si>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</si>
  <si>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</si>
  <si>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</si>
  <si>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</si>
  <si>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</si>
  <si>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</si>
  <si>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</si>
  <si>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</si>
  <si>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</si>
  <si>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</si>
  <si>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</si>
  <si>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</si>
  <si>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</si>
  <si>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</si>
  <si>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</si>
  <si>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</si>
  <si>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</si>
  <si>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</si>
  <si>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</si>
  <si>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</si>
  <si>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</si>
  <si>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</si>
  <si>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</si>
  <si>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</si>
  <si>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</si>
  <si>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</si>
  <si>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</si>
  <si>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</si>
  <si>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</si>
  <si>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</si>
  <si>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</si>
  <si>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</si>
  <si>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</si>
  <si>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</si>
  <si>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</si>
  <si>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</si>
  <si>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</si>
  <si>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</si>
  <si>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</si>
  <si>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</si>
  <si>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</si>
  <si>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</si>
  <si>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</si>
  <si>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</si>
  <si>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</si>
  <si>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</si>
  <si>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</si>
  <si>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</si>
  <si>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</si>
  <si>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</si>
  <si>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</si>
  <si>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</si>
  <si>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</si>
  <si>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</si>
  <si>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</si>
  <si>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</si>
  <si>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</si>
  <si>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</si>
  <si>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</si>
  <si>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</si>
  <si>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</si>
  <si>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</si>
  <si>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</si>
  <si>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</si>
  <si>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</si>
  <si>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</si>
  <si>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</si>
  <si>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</si>
  <si>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</si>
  <si>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</si>
  <si>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</si>
  <si>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</si>
  <si>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</si>
  <si>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</si>
  <si>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</si>
  <si>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</si>
  <si>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</si>
  <si>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</si>
  <si>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</si>
  <si>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</si>
  <si>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</si>
  <si>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</si>
  <si>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</si>
  <si>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</si>
  <si>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</si>
  <si>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</si>
  <si>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</si>
  <si>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</si>
  <si>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</si>
  <si>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</si>
  <si>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</si>
  <si>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</si>
  <si>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</si>
  <si>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</si>
  <si>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</si>
  <si>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</si>
  <si>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</si>
  <si>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</si>
  <si>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</si>
  <si>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</si>
  <si>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</si>
  <si>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</si>
  <si>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</si>
  <si>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</si>
  <si>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</si>
  <si>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</si>
  <si>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</si>
  <si>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</si>
  <si>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</si>
  <si>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</si>
  <si>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</si>
  <si>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</si>
  <si>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</si>
  <si>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</si>
  <si>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</si>
  <si>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</si>
  <si>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</si>
  <si>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</si>
  <si>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</si>
  <si>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</si>
  <si>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</si>
  <si>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</si>
  <si>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</si>
  <si>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</si>
  <si>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</si>
  <si>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</si>
  <si>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</si>
  <si>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</si>
  <si>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</si>
  <si>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</si>
  <si>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</si>
  <si>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</si>
  <si>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</si>
  <si>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</si>
  <si>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</si>
  <si>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</si>
  <si>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</si>
  <si>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</si>
  <si>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</si>
  <si>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</si>
  <si>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</si>
  <si>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</si>
  <si>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</si>
  <si>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</si>
  <si>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</si>
  <si>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</si>
  <si>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</si>
  <si>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</si>
  <si>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</si>
  <si>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</si>
  <si>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</si>
  <si>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</si>
  <si>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</si>
  <si>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</si>
  <si>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</si>
  <si>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</si>
  <si>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</si>
  <si>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</si>
  <si>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</si>
  <si>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</si>
  <si>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</si>
  <si>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</si>
  <si>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</si>
  <si>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</si>
  <si>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</si>
  <si>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</si>
  <si>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</si>
  <si>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</si>
  <si>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</si>
  <si>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</si>
  <si>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</si>
  <si>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</si>
  <si>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</si>
  <si>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</si>
  <si>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</si>
  <si>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</si>
  <si>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</si>
  <si>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</si>
  <si>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</si>
  <si>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</si>
  <si>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</si>
  <si>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</si>
  <si>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</si>
  <si>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</si>
  <si>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</si>
  <si>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</si>
  <si>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</si>
  <si>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</si>
  <si>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</si>
  <si>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</si>
  <si>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</si>
  <si>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</si>
  <si>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</si>
  <si>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</si>
  <si>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</si>
  <si>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</si>
  <si>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</si>
  <si>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</si>
  <si>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</si>
  <si>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</si>
  <si>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</si>
  <si>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</si>
  <si>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</si>
  <si>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</si>
  <si>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</si>
  <si>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</si>
  <si>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</si>
  <si>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</si>
  <si>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</si>
  <si>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</si>
  <si>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</si>
  <si>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</si>
  <si>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</si>
  <si>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</si>
  <si>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</si>
  <si>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</si>
  <si>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</si>
  <si>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</si>
  <si>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</si>
  <si>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</si>
  <si>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</si>
  <si>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</si>
  <si>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</si>
  <si>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</si>
  <si>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</si>
  <si>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</si>
  <si>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</si>
  <si>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</si>
  <si>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</si>
  <si>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</si>
  <si>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</si>
  <si>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</si>
  <si>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</si>
  <si>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</si>
  <si>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</si>
  <si>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</si>
  <si>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</si>
  <si>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</si>
  <si>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</si>
  <si>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</si>
  <si>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</si>
  <si>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</si>
  <si>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</si>
  <si>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</si>
  <si>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</si>
  <si>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</si>
  <si>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</si>
  <si>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</si>
  <si>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</si>
  <si>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</si>
  <si>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</si>
  <si>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</si>
  <si>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</si>
  <si>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</si>
  <si>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</si>
  <si>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</si>
  <si>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</si>
  <si>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</si>
  <si>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</si>
  <si>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</si>
  <si>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</si>
  <si>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</si>
  <si>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</si>
  <si>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</si>
  <si>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</si>
  <si>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</si>
  <si>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</si>
  <si>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</si>
  <si>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</si>
  <si>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</si>
  <si>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</si>
  <si>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</si>
  <si>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</si>
  <si>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</si>
  <si>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</si>
  <si>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</si>
  <si>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</si>
  <si>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</si>
  <si>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</si>
  <si>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</si>
  <si>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</si>
  <si>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</si>
  <si>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</si>
  <si>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</si>
  <si>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</si>
  <si>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</si>
  <si>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</si>
  <si>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</si>
  <si>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</si>
  <si>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</si>
  <si>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</si>
  <si>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</si>
  <si>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</si>
  <si>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</si>
  <si>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</si>
  <si>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</si>
  <si>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</si>
  <si>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</si>
  <si>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</si>
  <si>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</si>
  <si>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</si>
  <si>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</si>
  <si>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</si>
  <si>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</si>
  <si>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</si>
  <si>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</si>
  <si>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</si>
  <si>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</si>
  <si>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</si>
  <si>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</si>
  <si>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</si>
  <si>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</si>
  <si>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</si>
  <si>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</si>
  <si>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</si>
  <si>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</si>
  <si>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</si>
  <si>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</si>
  <si>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</si>
  <si>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</si>
  <si>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</si>
  <si>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</si>
  <si>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</si>
  <si>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</si>
  <si>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</si>
  <si>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</si>
  <si>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</si>
  <si>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</si>
  <si>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</si>
  <si>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</si>
  <si>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</si>
  <si>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</si>
  <si>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</si>
  <si>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</si>
  <si>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</si>
  <si>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</si>
  <si>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</si>
  <si>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</si>
  <si>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</si>
  <si>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</si>
  <si>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</si>
  <si>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</si>
  <si>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</si>
  <si>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</si>
  <si>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</si>
  <si>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</si>
  <si>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</si>
  <si>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</si>
  <si>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</si>
  <si>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</si>
  <si>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</si>
  <si>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</si>
  <si>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</si>
  <si>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</si>
  <si>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</si>
  <si>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</si>
  <si>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</si>
  <si>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</si>
  <si>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</si>
  <si>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</si>
  <si>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</si>
  <si>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</si>
  <si>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</si>
  <si>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</si>
  <si>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</si>
  <si>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</si>
  <si>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</si>
  <si>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</si>
  <si>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</si>
  <si>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</si>
  <si>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</si>
  <si>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</si>
  <si>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</si>
  <si>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</si>
  <si>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</si>
  <si>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</si>
  <si>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</si>
  <si>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</si>
  <si>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</si>
  <si>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</si>
  <si>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</si>
  <si>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</si>
  <si>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</si>
  <si>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</si>
  <si>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</si>
  <si>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</si>
  <si>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</si>
  <si>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</si>
  <si>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</si>
  <si>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</si>
  <si>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</si>
  <si>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</si>
  <si>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</si>
  <si>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</si>
  <si>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</si>
  <si>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</si>
  <si>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</si>
  <si>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</si>
  <si>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</si>
  <si>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</si>
  <si>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</si>
  <si>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</si>
  <si>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</si>
  <si>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</si>
  <si>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</si>
  <si>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</si>
  <si>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</si>
  <si>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</si>
  <si>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</si>
  <si>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</si>
  <si>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</si>
  <si>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</si>
  <si>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</si>
  <si>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</si>
  <si>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</si>
  <si>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</si>
  <si>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</si>
  <si>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</si>
  <si>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</si>
  <si>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</si>
  <si>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</si>
  <si>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</si>
  <si>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</si>
  <si>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</si>
  <si>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</si>
  <si>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</si>
  <si>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</si>
  <si>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</si>
  <si>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</si>
  <si>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</si>
  <si>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</si>
  <si>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</si>
  <si>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</si>
  <si>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</si>
  <si>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</si>
  <si>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</si>
  <si>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</si>
  <si>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</si>
  <si>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</si>
  <si>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</si>
  <si>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</si>
  <si>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</si>
  <si>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</si>
  <si>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</si>
  <si>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</si>
  <si>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</si>
  <si>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</si>
  <si>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</si>
  <si>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</si>
  <si>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</si>
  <si>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</si>
  <si>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</si>
  <si>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</si>
  <si>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</si>
  <si>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</si>
  <si>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</si>
  <si>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</si>
  <si>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</si>
  <si>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</si>
  <si>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</si>
  <si>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</si>
  <si>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</si>
  <si>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</si>
  <si>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</si>
  <si>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</si>
  <si>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</si>
  <si>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</si>
  <si>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</si>
  <si>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</si>
  <si>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</si>
  <si>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</si>
  <si>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</si>
  <si>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</si>
  <si>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</si>
  <si>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</si>
  <si>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</si>
  <si>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</si>
  <si>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</si>
  <si>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</si>
  <si>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</si>
  <si>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</si>
  <si>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</si>
  <si>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</si>
  <si>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</si>
  <si>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</si>
  <si>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</si>
  <si>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</si>
  <si>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</si>
  <si>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</si>
  <si>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</si>
  <si>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</si>
  <si>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</si>
  <si>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</si>
  <si>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</si>
  <si>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</si>
  <si>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</si>
  <si>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</si>
  <si>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</si>
  <si>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</si>
  <si>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</si>
  <si>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</si>
  <si>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</si>
  <si>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</si>
  <si>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</si>
  <si>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</si>
  <si>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</si>
  <si>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</si>
  <si>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</si>
  <si>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</si>
  <si>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</si>
  <si>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</si>
  <si>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</si>
  <si>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</si>
  <si>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</si>
  <si>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</si>
  <si>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</si>
  <si>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</si>
  <si>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</si>
  <si>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</si>
  <si>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</si>
  <si>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</si>
  <si>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</si>
  <si>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</si>
  <si>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</si>
  <si>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</si>
  <si>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</si>
  <si>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</si>
  <si>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</si>
  <si>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</si>
  <si>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</si>
  <si>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</si>
  <si>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</si>
  <si>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</si>
  <si>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</si>
  <si>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</si>
  <si>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</si>
  <si>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</si>
  <si>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</si>
  <si>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</si>
  <si>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</si>
  <si>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</si>
  <si>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</si>
  <si>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</si>
  <si>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</si>
  <si>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</si>
  <si>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</si>
  <si>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</si>
  <si>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</si>
  <si>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</si>
  <si>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</si>
  <si>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</si>
  <si>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</si>
  <si>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</si>
  <si>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</si>
  <si>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</si>
  <si>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</si>
  <si>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</si>
  <si>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</si>
  <si>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</si>
  <si>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</si>
  <si>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</si>
  <si>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</si>
  <si>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</si>
  <si>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</si>
  <si>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</si>
  <si>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</si>
  <si>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</si>
  <si>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</si>
  <si>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</si>
  <si>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</si>
  <si>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</si>
  <si>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</si>
  <si>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</si>
  <si>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</si>
  <si>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</si>
  <si>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</si>
  <si>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</si>
  <si>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</si>
  <si>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</si>
  <si>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</si>
  <si>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</si>
  <si>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</si>
  <si>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</si>
  <si>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</si>
  <si>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</si>
  <si>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</si>
  <si>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</si>
  <si>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</si>
  <si>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</si>
  <si>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</si>
  <si>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</si>
  <si>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</si>
  <si>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</si>
  <si>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</si>
  <si>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</si>
  <si>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</si>
  <si>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</si>
  <si>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</si>
  <si>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</si>
  <si>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</si>
  <si>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</si>
  <si>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</si>
  <si>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</si>
  <si>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</si>
  <si>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</si>
  <si>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</si>
  <si>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</si>
  <si>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</si>
  <si>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</si>
  <si>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</si>
  <si>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</si>
  <si>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</si>
  <si>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</si>
  <si>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</si>
  <si>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</si>
  <si>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</si>
  <si>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</si>
  <si>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</si>
  <si>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</si>
  <si>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</si>
  <si>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</si>
  <si>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</si>
  <si>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</si>
  <si>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</si>
  <si>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</si>
  <si>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</si>
  <si>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</si>
  <si>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</si>
  <si>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</si>
  <si>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</si>
  <si>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</si>
  <si>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</si>
  <si>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</si>
  <si>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</si>
  <si>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</si>
  <si>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</si>
  <si>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</si>
  <si>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</si>
  <si>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</si>
  <si>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</si>
  <si>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</si>
  <si>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</si>
  <si>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</si>
  <si>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</si>
  <si>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</si>
  <si>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</si>
  <si>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</si>
  <si>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</si>
  <si>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</si>
  <si>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</si>
  <si>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</si>
  <si>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</si>
  <si>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</si>
  <si>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</si>
  <si>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</si>
  <si>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</si>
  <si>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</si>
  <si>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</si>
  <si>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</si>
  <si>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</si>
  <si>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</si>
  <si>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</si>
  <si>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</si>
  <si>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</si>
  <si>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</si>
  <si>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</si>
  <si>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</si>
  <si>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</si>
  <si>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</si>
  <si>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</si>
  <si>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</si>
  <si>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</si>
  <si>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</si>
  <si>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</si>
  <si>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</si>
  <si>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</si>
  <si>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</si>
  <si>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</si>
  <si>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</si>
  <si>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</si>
  <si>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</si>
  <si>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</si>
  <si>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</si>
  <si>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</si>
  <si>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</si>
  <si>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</si>
  <si>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</si>
  <si>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</si>
  <si>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</si>
  <si>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</si>
  <si>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</si>
  <si>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</si>
  <si>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</si>
  <si>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</si>
  <si>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</si>
  <si>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</si>
  <si>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</si>
  <si>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</si>
  <si>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</si>
  <si>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</si>
  <si>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</si>
  <si>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</si>
  <si>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</si>
  <si>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</si>
  <si>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</si>
  <si>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</si>
  <si>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</si>
  <si>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</si>
  <si>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</si>
  <si>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</si>
  <si>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</si>
  <si>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</si>
  <si>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</si>
  <si>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</si>
  <si>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</si>
  <si>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</si>
  <si>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</si>
  <si>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</si>
  <si>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</si>
  <si>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</si>
  <si>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</si>
  <si>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</si>
  <si>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</si>
  <si>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</si>
  <si>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</si>
  <si>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</si>
  <si>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</si>
  <si>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</si>
  <si>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</si>
  <si>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</si>
  <si>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</si>
  <si>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</si>
  <si>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</si>
  <si>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</si>
  <si>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</si>
  <si>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</si>
  <si>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</si>
  <si>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</si>
  <si>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</si>
  <si>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</si>
  <si>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</si>
  <si>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</si>
  <si>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</si>
  <si>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</si>
  <si>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</si>
  <si>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</si>
  <si>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</si>
  <si>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</si>
  <si>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</si>
  <si>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</si>
  <si>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</si>
  <si>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</si>
  <si>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</si>
  <si>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</si>
  <si>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</si>
  <si>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</si>
  <si>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</si>
  <si>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</si>
  <si>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</si>
  <si>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</si>
  <si>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</si>
  <si>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</si>
  <si>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</si>
  <si>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</si>
  <si>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</si>
  <si>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</si>
  <si>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</si>
  <si>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</si>
  <si>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</si>
  <si>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</si>
  <si>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</si>
  <si>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</si>
  <si>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</si>
  <si>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</si>
  <si>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</si>
  <si>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</si>
  <si>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</si>
  <si>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</si>
  <si>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</si>
  <si>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</si>
  <si>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</si>
  <si>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</si>
  <si>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</si>
  <si>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</si>
  <si>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</si>
  <si>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</si>
  <si>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</si>
  <si>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</si>
  <si>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</si>
  <si>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</si>
  <si>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</si>
  <si>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</si>
  <si>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</si>
  <si>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</si>
  <si>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</si>
  <si>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</si>
  <si>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</si>
  <si>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</si>
  <si>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</si>
  <si>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</si>
  <si>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</si>
  <si>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</si>
  <si>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</si>
  <si>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</si>
  <si>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</si>
  <si>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</si>
  <si>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</si>
  <si>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</si>
  <si>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</si>
  <si>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</si>
  <si>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</si>
  <si>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</si>
  <si>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</si>
  <si>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</si>
  <si>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</si>
  <si>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</si>
  <si>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</si>
  <si>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</si>
  <si>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</si>
  <si>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</si>
  <si>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</si>
  <si>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</si>
  <si>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</si>
  <si>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</si>
  <si>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</si>
  <si>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</si>
  <si>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</si>
  <si>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</si>
  <si>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</si>
  <si>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</si>
  <si>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</si>
  <si>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</si>
  <si>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</si>
  <si>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</si>
  <si>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</si>
  <si>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</si>
  <si>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</si>
  <si>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</si>
  <si>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</si>
  <si>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</si>
  <si>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</si>
  <si>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</si>
  <si>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</si>
  <si>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</si>
  <si>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</si>
  <si>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</si>
  <si>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</si>
  <si>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</si>
  <si>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</si>
  <si>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</si>
  <si>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</si>
  <si>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</si>
  <si>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</si>
  <si>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</si>
  <si>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</si>
  <si>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</si>
  <si>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</si>
  <si>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</si>
  <si>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</si>
  <si>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</si>
  <si>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</si>
  <si>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</si>
  <si>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</si>
  <si>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</si>
  <si>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</si>
  <si>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</si>
  <si>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</si>
  <si>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</si>
  <si>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</si>
  <si>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</si>
  <si>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</si>
  <si>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</si>
  <si>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</si>
  <si>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</si>
  <si>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</si>
  <si>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</si>
  <si>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</si>
  <si>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</si>
  <si>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</si>
  <si>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</si>
  <si>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</si>
  <si>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</si>
  <si>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</si>
  <si>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</si>
  <si>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</si>
  <si>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</si>
  <si>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</si>
  <si>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</si>
  <si>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</si>
  <si>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</si>
  <si>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</si>
  <si>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</si>
  <si>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</si>
  <si>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</si>
  <si>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</si>
  <si>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</si>
  <si>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</si>
  <si>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</si>
  <si>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</si>
  <si>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</si>
  <si>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</si>
  <si>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</si>
  <si>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</si>
  <si>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</si>
  <si>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</si>
  <si>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</si>
  <si>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</si>
  <si>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</si>
  <si>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</si>
  <si>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</si>
  <si>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</si>
  <si>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</si>
  <si>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</si>
  <si>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</si>
  <si>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</si>
  <si>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</si>
  <si>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</si>
  <si>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</si>
  <si>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</si>
  <si>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</si>
  <si>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</si>
  <si>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</si>
  <si>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</si>
  <si>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</si>
  <si>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</si>
  <si>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</si>
  <si>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</si>
  <si>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</si>
  <si>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</si>
  <si>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</si>
  <si>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</si>
  <si>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</si>
  <si>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</si>
  <si>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</si>
  <si>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</si>
  <si>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</si>
  <si>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</si>
  <si>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</si>
  <si>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</si>
  <si>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</si>
  <si>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</si>
  <si>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</si>
  <si>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</si>
  <si>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</si>
  <si>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</si>
  <si>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</si>
  <si>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</si>
  <si>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</si>
  <si>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</si>
  <si>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</si>
  <si>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</si>
  <si>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</si>
  <si>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</si>
  <si>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</si>
  <si>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</si>
  <si>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</si>
  <si>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</si>
  <si>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</si>
  <si>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</si>
  <si>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</si>
  <si>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</si>
  <si>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</si>
  <si>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</si>
  <si>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</si>
  <si>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</si>
  <si>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</si>
  <si>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</si>
  <si>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</si>
  <si>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</si>
  <si>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</si>
  <si>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</si>
  <si>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</si>
  <si>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</si>
  <si>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</si>
  <si>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</si>
  <si>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</si>
  <si>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</si>
  <si>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</si>
  <si>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</si>
  <si>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</si>
  <si>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</si>
  <si>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</si>
  <si>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</si>
  <si>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</si>
  <si>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</si>
  <si>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</si>
  <si>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</si>
  <si>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</si>
  <si>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</si>
  <si>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</si>
  <si>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</si>
  <si>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</si>
  <si>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</si>
  <si>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</si>
  <si>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</si>
  <si>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</si>
  <si>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</si>
  <si>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</si>
  <si>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</si>
  <si>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</si>
  <si>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</si>
  <si>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</si>
  <si>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</si>
  <si>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</si>
  <si>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</si>
  <si>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</si>
  <si>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</si>
  <si>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</si>
  <si>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</si>
  <si>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</si>
  <si>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</si>
  <si>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</si>
  <si>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</si>
  <si>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</si>
  <si>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</si>
  <si>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</si>
  <si>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</si>
  <si>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</si>
  <si>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</si>
  <si>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</si>
  <si>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</si>
  <si>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</si>
  <si>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</si>
  <si>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</si>
  <si>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</si>
  <si>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</si>
  <si>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</si>
  <si>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</si>
  <si>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</si>
  <si>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</si>
  <si>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</si>
  <si>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</si>
  <si>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</si>
  <si>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</si>
  <si>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</si>
  <si>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</si>
  <si>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</si>
  <si>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</si>
  <si>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</si>
  <si>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</si>
  <si>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</si>
  <si>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</si>
  <si>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</si>
  <si>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</si>
  <si>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</si>
  <si>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</si>
  <si>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</si>
  <si>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</si>
  <si>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</si>
  <si>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</si>
  <si>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</si>
  <si>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</si>
  <si>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</si>
  <si>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</si>
  <si>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</si>
  <si>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</si>
  <si>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</si>
  <si>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</si>
  <si>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</si>
  <si>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</si>
  <si>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</si>
  <si>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</si>
  <si>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</si>
  <si>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</si>
  <si>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</si>
  <si>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</si>
  <si>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</si>
  <si>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</si>
  <si>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</si>
  <si>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</si>
  <si>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</si>
  <si>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</si>
  <si>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</si>
  <si>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</si>
  <si>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</si>
  <si>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</si>
  <si>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</si>
  <si>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</si>
  <si>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</si>
  <si>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</si>
  <si>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</si>
  <si>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</si>
  <si>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</si>
  <si>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</si>
  <si>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</si>
  <si>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</si>
  <si>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</si>
  <si>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</si>
  <si>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</si>
  <si>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</si>
  <si>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</si>
  <si>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</si>
  <si>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</si>
  <si>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</si>
  <si>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</si>
  <si>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</si>
  <si>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</si>
  <si>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</si>
  <si>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</si>
  <si>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</si>
  <si>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</si>
  <si>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</si>
  <si>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</si>
  <si>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</si>
  <si>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</si>
  <si>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</si>
  <si>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</si>
  <si>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</si>
  <si>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</si>
  <si>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</si>
  <si>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</si>
  <si>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</si>
  <si>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</si>
  <si>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</si>
  <si>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</si>
  <si>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</si>
  <si>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</si>
  <si>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</si>
  <si>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</si>
  <si>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</si>
  <si>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</si>
  <si>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</si>
  <si>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</si>
  <si>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</si>
  <si>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</si>
  <si>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</si>
  <si>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</si>
  <si>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</si>
  <si>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</si>
  <si>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</si>
  <si>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</si>
  <si>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</si>
  <si>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</si>
  <si>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</si>
  <si>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</si>
  <si>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</si>
  <si>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</si>
  <si>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</si>
  <si>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</si>
  <si>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</si>
  <si>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</si>
  <si>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</si>
  <si>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</si>
  <si>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</si>
  <si>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</si>
  <si>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</si>
  <si>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</si>
  <si>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</si>
  <si>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</si>
  <si>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</si>
  <si>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</si>
  <si>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</si>
  <si>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</si>
  <si>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</si>
  <si>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</si>
  <si>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</si>
  <si>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</si>
  <si>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</si>
  <si>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</si>
  <si>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</si>
  <si>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</si>
  <si>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</si>
  <si>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</si>
  <si>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</si>
  <si>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</si>
  <si>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</si>
  <si>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</si>
  <si>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</si>
  <si>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</si>
  <si>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</si>
  <si>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</si>
  <si>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</si>
  <si>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</si>
  <si>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</si>
  <si>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</si>
  <si>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</si>
  <si>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</si>
  <si>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</si>
  <si>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</si>
  <si>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</si>
  <si>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</si>
  <si>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</si>
  <si>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</si>
  <si>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</si>
  <si>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</si>
  <si>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</si>
  <si>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</si>
  <si>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</si>
  <si>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</si>
  <si>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</si>
  <si>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</si>
  <si>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</si>
  <si>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</si>
  <si>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</si>
  <si>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</si>
  <si>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</si>
  <si>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</si>
  <si>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</si>
  <si>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</si>
  <si>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</si>
  <si>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</si>
  <si>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</si>
  <si>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</si>
  <si>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</si>
  <si>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</si>
  <si>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</si>
  <si>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</si>
  <si>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</si>
  <si>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</si>
  <si>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</si>
  <si>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</si>
  <si>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</si>
  <si>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</si>
  <si>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</si>
  <si>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</si>
  <si>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</si>
  <si>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</si>
  <si>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</si>
  <si>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</si>
  <si>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</si>
  <si>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</si>
  <si>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</si>
  <si>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</si>
  <si>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</si>
  <si>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</si>
  <si>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</si>
  <si>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</si>
  <si>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</si>
  <si>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</si>
  <si>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</si>
  <si>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</si>
  <si>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</si>
  <si>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</si>
  <si>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</si>
  <si>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</si>
  <si>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</si>
  <si>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</si>
  <si>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</si>
  <si>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</si>
  <si>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</si>
  <si>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</si>
  <si>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</si>
  <si>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</si>
  <si>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</si>
  <si>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</si>
  <si>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</si>
  <si>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</si>
  <si>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</si>
  <si>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</si>
  <si>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</si>
  <si>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</si>
  <si>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</si>
  <si>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</si>
  <si>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</si>
  <si>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</si>
  <si>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</si>
  <si>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</si>
  <si>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</si>
  <si>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</si>
  <si>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</si>
  <si>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</si>
  <si>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</si>
  <si>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</si>
  <si>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</si>
  <si>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</si>
  <si>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</si>
  <si>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</si>
  <si>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</si>
  <si>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</si>
  <si>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</si>
  <si>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</si>
  <si>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</si>
  <si>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</si>
  <si>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</si>
  <si>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</si>
  <si>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</si>
  <si>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</si>
  <si>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</si>
  <si>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</si>
  <si>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</si>
  <si>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</si>
  <si>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</si>
  <si>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</si>
  <si>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</si>
  <si>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</si>
  <si>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</si>
  <si>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</si>
  <si>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</si>
  <si>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</si>
  <si>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</si>
  <si>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</si>
  <si>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</si>
  <si>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</si>
  <si>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</si>
  <si>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</si>
  <si>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</si>
  <si>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</si>
  <si>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</si>
  <si>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</si>
  <si>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</si>
  <si>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</si>
  <si>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</si>
  <si>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</si>
  <si>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</si>
  <si>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</si>
  <si>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</si>
  <si>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</si>
  <si>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</si>
  <si>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</si>
  <si>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</si>
  <si>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</si>
  <si>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</si>
  <si>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</si>
  <si>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</si>
  <si>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</si>
  <si>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</si>
  <si>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</si>
  <si>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</si>
  <si>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</si>
  <si>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</si>
  <si>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</si>
  <si>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</si>
  <si>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</si>
  <si>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</si>
  <si>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</si>
  <si>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</si>
  <si>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</si>
  <si>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</si>
  <si>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</si>
  <si>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</si>
  <si>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</si>
  <si>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</si>
  <si>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</si>
  <si>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</si>
  <si>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</si>
  <si>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</si>
  <si>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</si>
  <si>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</si>
  <si>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</si>
  <si>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</si>
  <si>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</si>
  <si>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</si>
  <si>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</si>
  <si>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</si>
  <si>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</si>
  <si>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</si>
  <si>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</si>
  <si>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</si>
  <si>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</si>
  <si>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</si>
  <si>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</si>
  <si>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</si>
  <si>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</si>
  <si>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</si>
  <si>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</si>
  <si>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</si>
  <si>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</si>
  <si>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</si>
  <si>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</si>
  <si>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</si>
  <si>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</si>
  <si>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</si>
  <si>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</si>
  <si>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</si>
  <si>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</si>
  <si>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</si>
  <si>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</si>
  <si>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</si>
  <si>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</si>
  <si>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</si>
  <si>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</si>
  <si>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</si>
  <si>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</si>
  <si>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</si>
  <si>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</si>
  <si>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</si>
  <si>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</si>
  <si>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</si>
  <si>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</si>
  <si>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</si>
  <si>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</si>
  <si>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</si>
  <si>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</si>
  <si>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</si>
  <si>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</si>
  <si>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</si>
  <si>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</si>
  <si>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</si>
  <si>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</si>
  <si>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</si>
  <si>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</si>
  <si>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</si>
  <si>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</si>
  <si>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</si>
  <si>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</si>
  <si>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</si>
  <si>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</si>
  <si>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</si>
  <si>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</si>
  <si>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</si>
  <si>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</si>
  <si>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</si>
  <si>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</si>
  <si>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</si>
  <si>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</si>
  <si>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</si>
  <si>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</si>
  <si>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</si>
  <si>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</si>
  <si>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</si>
  <si>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</si>
  <si>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</si>
  <si>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</si>
  <si>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</si>
  <si>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</si>
  <si>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</si>
  <si>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</si>
  <si>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</si>
  <si>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</si>
  <si>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</si>
  <si>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</si>
  <si>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</si>
  <si>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</si>
  <si>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</si>
  <si>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</si>
  <si>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</si>
  <si>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</si>
  <si>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</si>
  <si>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</si>
  <si>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</si>
  <si>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</si>
  <si>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</si>
  <si>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</si>
  <si>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</si>
  <si>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</si>
  <si>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</si>
  <si>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</si>
  <si>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</si>
  <si>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</si>
  <si>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</si>
  <si>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</si>
  <si>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</si>
  <si>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</si>
  <si>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</si>
  <si>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</si>
  <si>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</si>
  <si>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</si>
  <si>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</si>
  <si>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</si>
  <si>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</si>
  <si>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</si>
  <si>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</si>
  <si>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</si>
  <si>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</si>
  <si>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</si>
  <si>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</si>
  <si>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</si>
  <si>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</si>
  <si>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</si>
  <si>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</si>
  <si>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</si>
  <si>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</si>
  <si>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</si>
  <si>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</si>
  <si>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</si>
  <si>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</si>
  <si>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</si>
  <si>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</si>
  <si>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</si>
  <si>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</si>
  <si>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</si>
  <si>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</si>
  <si>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</si>
  <si>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</si>
  <si>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</si>
  <si>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</si>
  <si>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</si>
  <si>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</si>
  <si>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</si>
  <si>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</si>
  <si>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</si>
  <si>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</si>
  <si>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</si>
  <si>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</si>
  <si>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</si>
  <si>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</si>
  <si>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</si>
  <si>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</si>
  <si>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</si>
  <si>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</si>
  <si>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</si>
  <si>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</si>
  <si>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</si>
  <si>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</si>
  <si>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</si>
  <si>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</si>
  <si>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</si>
  <si>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</si>
  <si>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</si>
  <si>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</si>
  <si>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</si>
  <si>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</si>
  <si>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</si>
  <si>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</si>
  <si>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</si>
  <si>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</si>
  <si>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</si>
  <si>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</si>
  <si>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</si>
  <si>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</si>
  <si>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</si>
  <si>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</si>
  <si>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</si>
  <si>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</si>
  <si>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</si>
  <si>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</si>
  <si>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</si>
  <si>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</si>
  <si>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</si>
  <si>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</si>
  <si>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</si>
  <si>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</si>
  <si>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</si>
  <si>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</si>
  <si>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</si>
  <si>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</si>
  <si>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</si>
  <si>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</si>
  <si>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</si>
  <si>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</si>
  <si>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</si>
  <si>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</si>
  <si>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</si>
  <si>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</si>
  <si>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</si>
  <si>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</si>
  <si>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</si>
  <si>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</si>
  <si>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</si>
  <si>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</si>
  <si>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</si>
  <si>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</si>
  <si>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</si>
  <si>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</si>
  <si>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</si>
  <si>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</si>
  <si>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</si>
  <si>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</si>
  <si>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</si>
  <si>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</si>
  <si>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</si>
  <si>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</si>
  <si>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</si>
  <si>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</si>
  <si>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</si>
  <si>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</si>
  <si>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</si>
  <si>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</si>
  <si>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</si>
  <si>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</si>
  <si>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</si>
  <si>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</si>
  <si>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</si>
  <si>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</si>
  <si>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</si>
  <si>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</si>
  <si>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</si>
  <si>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</si>
  <si>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</si>
  <si>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</si>
  <si>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</si>
  <si>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</si>
  <si>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</si>
  <si>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</si>
  <si>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</si>
  <si>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</si>
  <si>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</si>
  <si>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</si>
  <si>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</si>
  <si>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</si>
  <si>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</si>
  <si>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</si>
  <si>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</si>
  <si>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</si>
  <si>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</si>
  <si>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</si>
  <si>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</si>
  <si>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</si>
  <si>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</si>
  <si>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</si>
  <si>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</si>
  <si>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</si>
  <si>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</si>
  <si>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</si>
  <si>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</si>
  <si>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</si>
  <si>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</si>
  <si>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</si>
  <si>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</si>
  <si>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</si>
  <si>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</si>
  <si>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</si>
  <si>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</si>
  <si>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</si>
  <si>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</si>
  <si>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</si>
  <si>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</si>
  <si>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</si>
  <si>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</si>
  <si>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</si>
  <si>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</si>
  <si>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</si>
  <si>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</si>
  <si>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</si>
  <si>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</si>
  <si>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</si>
  <si>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</si>
  <si>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</si>
  <si>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</si>
  <si>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</si>
  <si>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</si>
  <si>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</si>
  <si>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</si>
  <si>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</si>
  <si>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</si>
  <si>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</si>
  <si>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</si>
  <si>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</si>
  <si>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</si>
  <si>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</si>
  <si>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</si>
  <si>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</si>
  <si>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</si>
  <si>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</si>
  <si>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</si>
  <si>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</si>
  <si>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</si>
  <si>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</si>
  <si>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</si>
  <si>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</si>
  <si>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</si>
  <si>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</si>
  <si>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</si>
  <si>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</si>
  <si>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</si>
  <si>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</si>
  <si>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</si>
  <si>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</si>
  <si>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</si>
  <si>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</si>
  <si>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</si>
  <si>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</si>
  <si>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</si>
  <si>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</si>
  <si>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</si>
  <si>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</si>
  <si>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</si>
  <si>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</si>
  <si>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</si>
  <si>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</si>
  <si>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</si>
  <si>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</si>
  <si>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</si>
  <si>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</si>
  <si>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</si>
  <si>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</si>
  <si>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</si>
  <si>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</si>
  <si>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</si>
  <si>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</si>
  <si>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</si>
  <si>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</si>
  <si>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</si>
  <si>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</si>
  <si>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</si>
  <si>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</si>
  <si>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</si>
  <si>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</si>
  <si>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</si>
  <si>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</si>
  <si>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</si>
  <si>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</si>
  <si>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</si>
  <si>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</si>
  <si>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</si>
  <si>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</si>
  <si>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</si>
  <si>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</si>
  <si>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</si>
  <si>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</si>
  <si>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</si>
  <si>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</si>
  <si>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</si>
  <si>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</si>
  <si>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</si>
  <si>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</si>
  <si>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</si>
  <si>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</si>
  <si>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</si>
  <si>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</si>
  <si>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</si>
  <si>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</si>
  <si>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</si>
  <si>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</si>
  <si>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</si>
  <si>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</si>
  <si>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</si>
  <si>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</si>
  <si>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</si>
  <si>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</si>
  <si>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</si>
  <si>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</si>
  <si>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</si>
  <si>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</si>
  <si>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</si>
  <si>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</si>
  <si>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</si>
  <si>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</si>
  <si>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</si>
  <si>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</si>
  <si>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</si>
  <si>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</si>
  <si>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</si>
  <si>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</si>
  <si>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</si>
  <si>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</si>
  <si>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</si>
  <si>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</si>
  <si>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</si>
  <si>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</si>
  <si>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</si>
  <si>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</si>
  <si>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</si>
  <si>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</si>
  <si>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</si>
  <si>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</si>
  <si>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</si>
  <si>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</si>
  <si>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</si>
  <si>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</si>
  <si>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</si>
  <si>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</si>
  <si>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</si>
  <si>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</si>
  <si>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</si>
  <si>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</si>
  <si>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</si>
  <si>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</si>
  <si>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</si>
  <si>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</si>
  <si>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</si>
  <si>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</si>
  <si>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</si>
  <si>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</si>
  <si>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</si>
  <si>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</si>
  <si>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</si>
  <si>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</si>
  <si>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</si>
  <si>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</si>
  <si>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</si>
  <si>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</si>
  <si>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</si>
  <si>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</si>
  <si>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</si>
  <si>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</si>
  <si>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</si>
  <si>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</si>
  <si>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</si>
  <si>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</si>
  <si>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</si>
  <si>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</si>
  <si>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</si>
  <si>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</si>
  <si>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</si>
  <si>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</si>
  <si>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</si>
  <si>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</si>
  <si>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</si>
  <si>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</si>
  <si>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</si>
  <si>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</si>
  <si>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</si>
  <si>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</si>
  <si>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</si>
  <si>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</si>
  <si>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</si>
  <si>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</si>
  <si>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</si>
  <si>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</si>
  <si>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</si>
  <si>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</si>
  <si>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</si>
  <si>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</si>
  <si>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</si>
  <si>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</si>
  <si>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</si>
  <si>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</si>
  <si>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</si>
  <si>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</si>
  <si>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</si>
  <si>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</si>
  <si>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</si>
  <si>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</si>
  <si>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</si>
  <si>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</si>
  <si>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</si>
  <si>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</si>
  <si>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</si>
  <si>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</si>
  <si>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</si>
  <si>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</si>
  <si>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</si>
  <si>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</si>
  <si>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</si>
  <si>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</si>
  <si>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</si>
  <si>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</si>
  <si>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</si>
  <si>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</si>
  <si>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</si>
  <si>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</si>
  <si>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</si>
  <si>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</si>
  <si>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</si>
  <si>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</si>
  <si>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</si>
  <si>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</si>
  <si>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</si>
  <si>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</si>
  <si>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</si>
  <si>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</si>
  <si>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</si>
  <si>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</si>
  <si>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</si>
  <si>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</si>
  <si>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</si>
  <si>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</si>
  <si>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</si>
  <si>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</si>
  <si>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</si>
  <si>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</si>
  <si>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</si>
  <si>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</si>
  <si>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</si>
  <si>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</si>
  <si>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</si>
  <si>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</si>
  <si>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</si>
  <si>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</si>
  <si>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</si>
  <si>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</si>
  <si>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</si>
  <si>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</si>
  <si>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</si>
  <si>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</si>
  <si>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</si>
  <si>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</si>
  <si>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</si>
  <si>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</si>
  <si>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</si>
  <si>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</si>
  <si>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</si>
  <si>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</si>
  <si>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</si>
  <si>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</si>
  <si>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</si>
  <si>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</si>
  <si>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</si>
  <si>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</si>
  <si>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</si>
  <si>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</si>
  <si>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</si>
  <si>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</si>
  <si>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</si>
  <si>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</si>
  <si>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</si>
  <si>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</si>
  <si>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</si>
  <si>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</si>
  <si>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</si>
  <si>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</si>
  <si>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</si>
  <si>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</si>
  <si>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</si>
  <si>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</si>
  <si>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</si>
  <si>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</si>
  <si>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</si>
  <si>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</si>
  <si>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</si>
  <si>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</si>
  <si>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</si>
  <si>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</si>
  <si>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</si>
  <si>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</si>
  <si>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</si>
  <si>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</si>
  <si>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</si>
  <si>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</si>
  <si>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</si>
  <si>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</si>
  <si>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</si>
  <si>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</si>
  <si>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</si>
  <si>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</si>
  <si>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</si>
  <si>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</si>
  <si>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</si>
  <si>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</si>
  <si>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</si>
  <si>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</si>
  <si>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</si>
  <si>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</si>
  <si>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</si>
  <si>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</si>
  <si>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</si>
  <si>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</si>
  <si>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</si>
  <si>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</si>
  <si>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</si>
  <si>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</si>
  <si>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</si>
  <si>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</si>
  <si>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</si>
  <si>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</si>
  <si>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</si>
  <si>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</si>
  <si>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</si>
  <si>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</si>
  <si>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</si>
  <si>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</si>
  <si>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</si>
  <si>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</si>
  <si>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</si>
  <si>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</si>
  <si>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</si>
  <si>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</si>
  <si>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</si>
  <si>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</si>
  <si>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</si>
  <si>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</si>
  <si>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</si>
  <si>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</si>
  <si>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</si>
  <si>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</si>
  <si>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</si>
  <si>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</si>
  <si>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</si>
  <si>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</si>
  <si>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</si>
  <si>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</si>
  <si>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</si>
  <si>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</si>
  <si>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</si>
  <si>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</si>
  <si>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</si>
  <si>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</si>
  <si>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</si>
  <si>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</si>
  <si>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</si>
  <si>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</si>
  <si>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</si>
  <si>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</si>
  <si>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</si>
  <si>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</si>
  <si>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</si>
  <si>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</si>
  <si>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</si>
  <si>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</si>
  <si>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</si>
  <si>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</si>
  <si>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</si>
  <si>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</si>
  <si>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</si>
  <si>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</si>
  <si>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</si>
  <si>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</si>
  <si>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</si>
  <si>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</si>
  <si>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</si>
  <si>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</si>
  <si>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</si>
  <si>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</si>
  <si>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</si>
  <si>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</si>
  <si>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</si>
  <si>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</si>
  <si>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</si>
  <si>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</si>
  <si>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</si>
  <si>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</si>
  <si>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</si>
  <si>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</si>
  <si>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</si>
  <si>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</si>
  <si>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</si>
  <si>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</si>
  <si>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</si>
  <si>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</si>
  <si>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</si>
  <si>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</si>
  <si>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</si>
  <si>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</si>
  <si>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</si>
  <si>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</si>
  <si>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</si>
  <si>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</si>
  <si>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</si>
  <si>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</si>
  <si>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</si>
  <si>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</si>
  <si>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</si>
  <si>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</si>
  <si>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</si>
  <si>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</si>
  <si>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</si>
  <si>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</si>
  <si>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</si>
  <si>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</si>
  <si>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</si>
  <si>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</si>
  <si>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</si>
  <si>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</si>
  <si>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</si>
  <si>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</si>
  <si>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</si>
  <si>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</si>
  <si>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</si>
  <si>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</si>
  <si>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</si>
  <si>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</si>
  <si>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</si>
  <si>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</si>
  <si>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</si>
  <si>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</si>
  <si>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</si>
  <si>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</si>
  <si>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</si>
  <si>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</si>
  <si>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</si>
  <si>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</si>
  <si>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</si>
  <si>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</si>
  <si>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</si>
  <si>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</si>
  <si>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</si>
  <si>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</si>
  <si>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</si>
  <si>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</si>
  <si>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</si>
  <si>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</si>
  <si>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</si>
  <si>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</si>
  <si>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</si>
  <si>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</si>
  <si>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</si>
  <si>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</si>
  <si>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</si>
  <si>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</si>
  <si>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</si>
  <si>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</si>
  <si>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</si>
  <si>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</si>
  <si>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</si>
  <si>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</si>
  <si>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</si>
  <si>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</si>
  <si>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</si>
  <si>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</si>
  <si>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</si>
  <si>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</si>
  <si>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</si>
  <si>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</si>
  <si>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</si>
  <si>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</si>
  <si>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</si>
  <si>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</si>
  <si>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</si>
  <si>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</si>
  <si>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</si>
  <si>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</si>
  <si>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</si>
  <si>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</si>
  <si>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</si>
  <si>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</si>
  <si>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</si>
  <si>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</si>
  <si>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</si>
  <si>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</si>
  <si>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</si>
  <si>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</si>
  <si>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</si>
  <si>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</si>
  <si>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</si>
  <si>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</si>
  <si>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</si>
  <si>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</si>
  <si>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</si>
  <si>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</si>
  <si>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</si>
  <si>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</si>
  <si>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</si>
  <si>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</si>
  <si>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</si>
  <si>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</si>
  <si>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</si>
  <si>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</si>
  <si>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</si>
  <si>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</si>
  <si>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</si>
  <si>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</si>
  <si>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</si>
  <si>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</si>
  <si>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</si>
  <si>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</si>
  <si>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</si>
  <si>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</si>
  <si>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</si>
  <si>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</si>
  <si>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</si>
  <si>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</si>
  <si>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</si>
  <si>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</si>
  <si>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</si>
  <si>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</si>
  <si>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</si>
  <si>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</si>
  <si>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</si>
  <si>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</si>
  <si>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</si>
  <si>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</si>
  <si>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</si>
  <si>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</si>
  <si>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</si>
  <si>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</si>
  <si>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</si>
  <si>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</si>
  <si>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</si>
  <si>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</si>
  <si>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</si>
  <si>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</si>
  <si>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</si>
  <si>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</si>
  <si>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</si>
  <si>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</si>
  <si>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</si>
  <si>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</si>
  <si>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</si>
  <si>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</si>
  <si>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</si>
  <si>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</si>
  <si>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</si>
  <si>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</si>
  <si>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</si>
  <si>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</si>
  <si>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</si>
  <si>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</si>
  <si>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</si>
  <si>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</si>
  <si>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</si>
  <si>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</si>
  <si>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</si>
  <si>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</si>
  <si>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</si>
  <si>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</si>
  <si>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</si>
  <si>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</si>
  <si>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</si>
  <si>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</si>
  <si>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</si>
  <si>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</si>
  <si>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</si>
  <si>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</si>
  <si>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</si>
  <si>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</si>
  <si>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</si>
  <si>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</si>
  <si>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</si>
  <si>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</si>
  <si>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</si>
  <si>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</si>
  <si>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</si>
  <si>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</si>
  <si>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</si>
  <si>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</si>
  <si>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</si>
  <si>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</si>
  <si>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</si>
  <si>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</si>
  <si>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</si>
  <si>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</si>
  <si>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</si>
  <si>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</si>
  <si>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</si>
  <si>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</si>
  <si>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</si>
  <si>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</si>
  <si>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</si>
  <si>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</si>
  <si>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</si>
  <si>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</si>
  <si>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</si>
  <si>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</si>
  <si>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</si>
  <si>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</si>
  <si>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</si>
  <si>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</si>
  <si>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</si>
  <si>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</si>
  <si>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</si>
  <si>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</si>
  <si>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</si>
  <si>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</si>
  <si>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</si>
  <si>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</si>
  <si>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</si>
  <si>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</si>
  <si>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</si>
  <si>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</si>
  <si>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</si>
  <si>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</si>
  <si>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</si>
  <si>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</si>
  <si>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</si>
  <si>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</si>
  <si>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</si>
  <si>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</si>
  <si>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</si>
  <si>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</si>
  <si>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</si>
  <si>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</si>
  <si>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</si>
  <si>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</si>
  <si>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</si>
  <si>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</si>
  <si>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</si>
  <si>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</si>
  <si>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</si>
  <si>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</si>
  <si>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</si>
  <si>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</si>
  <si>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</si>
  <si>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</si>
  <si>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</si>
  <si>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</si>
  <si>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</si>
  <si>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</si>
  <si>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</si>
  <si>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</si>
  <si>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</si>
  <si>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</si>
  <si>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</si>
  <si>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</si>
  <si>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</si>
  <si>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</si>
  <si>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</si>
  <si>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</si>
  <si>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</si>
  <si>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</si>
  <si>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</si>
  <si>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</si>
  <si>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</si>
  <si>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</si>
  <si>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</si>
  <si>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</si>
  <si>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</si>
  <si>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</si>
  <si>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</si>
  <si>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</si>
  <si>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</si>
  <si>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</si>
  <si>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</si>
  <si>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</si>
  <si>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</si>
  <si>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</si>
  <si>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</si>
  <si>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</si>
  <si>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</si>
  <si>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</si>
  <si>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</si>
  <si>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</si>
  <si>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</si>
  <si>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</si>
  <si>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</si>
  <si>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</si>
  <si>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</si>
  <si>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</si>
  <si>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</si>
  <si>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</si>
  <si>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</si>
  <si>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</si>
  <si>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</si>
  <si>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</si>
  <si>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</si>
  <si>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</si>
  <si>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</si>
  <si>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</si>
  <si>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</si>
  <si>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</si>
  <si>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</si>
  <si>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</si>
  <si>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</si>
  <si>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</si>
  <si>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</si>
  <si>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</si>
  <si>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</si>
  <si>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</si>
  <si>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</si>
  <si>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</si>
  <si>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</si>
  <si>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</si>
  <si>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</si>
  <si>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</si>
  <si>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</si>
  <si>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</si>
  <si>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</si>
  <si>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</si>
  <si>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</si>
  <si>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</si>
  <si>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</si>
  <si>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</si>
  <si>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</si>
  <si>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</si>
  <si>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</si>
  <si>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</si>
  <si>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</si>
  <si>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</si>
  <si>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</si>
  <si>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</si>
  <si>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</si>
  <si>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</si>
  <si>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</si>
  <si>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</si>
  <si>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</si>
  <si>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</si>
  <si>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</si>
  <si>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</si>
  <si>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</si>
  <si>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</si>
  <si>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</si>
  <si>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</si>
  <si>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</si>
  <si>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</si>
  <si>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</si>
  <si>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</si>
  <si>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</si>
  <si>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</si>
  <si>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</si>
  <si>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</si>
  <si>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</si>
  <si>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</si>
  <si>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</si>
  <si>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</si>
  <si>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</si>
  <si>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</si>
  <si>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</si>
  <si>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</si>
  <si>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</si>
  <si>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</si>
  <si>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</si>
  <si>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</si>
  <si>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</si>
  <si>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</si>
  <si>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</si>
  <si>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</si>
  <si>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</si>
  <si>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</si>
  <si>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</si>
  <si>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</si>
  <si>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</si>
  <si>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</si>
  <si>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</si>
  <si>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</si>
  <si>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</si>
  <si>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</si>
  <si>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</si>
  <si>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</si>
  <si>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</si>
  <si>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</si>
  <si>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</si>
  <si>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</si>
  <si>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</si>
  <si>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</si>
  <si>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</si>
  <si>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</si>
  <si>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</si>
  <si>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</si>
  <si>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</si>
  <si>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</si>
  <si>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</si>
  <si>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</si>
  <si>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</si>
  <si>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</si>
  <si>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</si>
  <si>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</si>
  <si>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</si>
  <si>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</si>
  <si>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</si>
  <si>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</si>
  <si>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</si>
  <si>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</si>
  <si>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</si>
  <si>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</si>
  <si>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</si>
  <si>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</si>
  <si>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</si>
  <si>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</si>
  <si>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</si>
  <si>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</si>
  <si>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</si>
  <si>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</si>
  <si>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</si>
  <si>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</si>
  <si>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</si>
  <si>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</si>
  <si>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</si>
  <si>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</si>
  <si>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</si>
  <si>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</si>
  <si>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</si>
  <si>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</si>
  <si>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</si>
  <si>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</si>
  <si>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</si>
  <si>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</si>
  <si>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</si>
  <si>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</si>
  <si>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</si>
  <si>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</si>
  <si>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</si>
  <si>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</si>
  <si>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</si>
  <si>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</si>
  <si>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</si>
  <si>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</si>
  <si>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</si>
  <si>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</si>
  <si>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</si>
  <si>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</si>
  <si>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</si>
  <si>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</si>
  <si>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</si>
  <si>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</si>
  <si>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</si>
  <si>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</si>
  <si>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</si>
  <si>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</si>
  <si>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</si>
  <si>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</si>
  <si>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</si>
  <si>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</si>
  <si>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</si>
  <si>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</si>
  <si>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</si>
  <si>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</si>
  <si>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</si>
  <si>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</si>
  <si>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</si>
  <si>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</si>
  <si>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</si>
  <si>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</si>
  <si>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</si>
  <si>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</si>
  <si>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</si>
  <si>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</si>
  <si>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</si>
  <si>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</si>
  <si>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</si>
  <si>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</si>
  <si>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</si>
  <si>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</si>
  <si>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</si>
  <si>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</si>
  <si>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</si>
  <si>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</si>
  <si>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</si>
  <si>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</si>
  <si>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</si>
  <si>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</si>
  <si>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</si>
  <si>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</si>
  <si>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</si>
  <si>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</si>
  <si>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</si>
  <si>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</si>
  <si>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</si>
  <si>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</si>
  <si>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</si>
  <si>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</si>
  <si>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</si>
  <si>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</si>
  <si>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</si>
  <si>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</si>
  <si>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</si>
  <si>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</si>
  <si>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</si>
  <si>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</si>
  <si>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</si>
  <si>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</si>
  <si>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</si>
  <si>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</si>
  <si>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</si>
  <si>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</si>
  <si>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</si>
  <si>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</si>
  <si>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</si>
  <si>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</si>
  <si>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</si>
  <si>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</si>
  <si>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</si>
  <si>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</si>
  <si>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</si>
  <si>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</si>
  <si>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</si>
  <si>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</si>
  <si>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</si>
  <si>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</si>
  <si>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</si>
  <si>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</si>
  <si>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</si>
  <si>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</si>
  <si>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</si>
  <si>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</si>
  <si>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</si>
  <si>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</si>
  <si>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</si>
  <si>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</si>
  <si>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</si>
  <si>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</si>
  <si>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</si>
  <si>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</si>
  <si>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</si>
  <si>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</si>
  <si>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</si>
  <si>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</si>
  <si>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</si>
  <si>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</si>
  <si>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</si>
  <si>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</si>
  <si>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</si>
  <si>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</si>
  <si>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</si>
  <si>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</si>
  <si>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</si>
  <si>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</si>
  <si>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</si>
  <si>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</si>
  <si>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</si>
  <si>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</si>
  <si>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</si>
  <si>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</si>
  <si>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</si>
  <si>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</si>
  <si>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</si>
  <si>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</si>
  <si>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</si>
  <si>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</si>
  <si>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</si>
  <si>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</si>
  <si>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</si>
  <si>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</si>
  <si>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</si>
  <si>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</si>
  <si>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</si>
  <si>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</si>
  <si>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</si>
  <si>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</si>
  <si>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</si>
  <si>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</si>
  <si>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</si>
  <si>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</si>
  <si>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</si>
  <si>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</si>
  <si>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</si>
  <si>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</si>
  <si>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</si>
  <si>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</si>
  <si>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</si>
  <si>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</si>
  <si>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</si>
  <si>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</si>
  <si>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</si>
  <si>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</si>
  <si>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</si>
  <si>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</si>
  <si>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</si>
  <si>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</si>
  <si>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</si>
  <si>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</si>
  <si>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</si>
  <si>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</si>
  <si>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</si>
  <si>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</si>
  <si>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</si>
  <si>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</si>
  <si>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</si>
  <si>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</si>
  <si>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</si>
  <si>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</si>
  <si>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</si>
  <si>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</si>
  <si>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</si>
  <si>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</si>
  <si>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</si>
  <si>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</si>
  <si>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</si>
  <si>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</si>
  <si>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</si>
  <si>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</si>
  <si>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</si>
  <si>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</si>
  <si>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</si>
  <si>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</si>
  <si>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</si>
  <si>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</si>
  <si>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</si>
  <si>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</si>
  <si>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</si>
  <si>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</si>
  <si>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</si>
  <si>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</si>
  <si>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</si>
  <si>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</si>
  <si>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</si>
  <si>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</si>
  <si>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</si>
  <si>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</si>
  <si>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</si>
  <si>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</si>
  <si>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</si>
  <si>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</si>
  <si>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</si>
  <si>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</si>
  <si>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</si>
  <si>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</si>
  <si>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</si>
  <si>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</si>
  <si>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</si>
  <si>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</si>
  <si>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</si>
  <si>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</si>
  <si>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</si>
  <si>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</si>
  <si>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</si>
  <si>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</si>
  <si>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</si>
  <si>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</si>
  <si>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</si>
  <si>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</si>
  <si>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</si>
  <si>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</si>
  <si>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</si>
  <si>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</si>
  <si>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</si>
  <si>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</si>
  <si>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</si>
  <si>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</si>
  <si>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</si>
  <si>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</si>
  <si>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</si>
  <si>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</si>
  <si>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</si>
  <si>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</si>
  <si>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</si>
  <si>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</si>
  <si>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</si>
  <si>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</si>
  <si>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</si>
  <si>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</si>
  <si>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</si>
  <si>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</si>
  <si>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</si>
  <si>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</si>
  <si>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</si>
  <si>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</si>
  <si>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</si>
  <si>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</si>
  <si>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</si>
  <si>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</si>
  <si>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</si>
  <si>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</si>
  <si>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</si>
  <si>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</si>
  <si>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</si>
  <si>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</si>
  <si>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</si>
  <si>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</si>
  <si>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</si>
  <si>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</si>
  <si>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</si>
  <si>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</si>
  <si>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</si>
  <si>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</si>
  <si>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</si>
  <si>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</si>
  <si>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刘俊财</t>
    <phoneticPr fontId="4" type="noConversion"/>
  </si>
  <si>
    <t>抵押</t>
  </si>
  <si>
    <t>房地产抵押价值</t>
  </si>
  <si>
    <t>其他：</t>
  </si>
  <si>
    <t>企业</t>
  </si>
  <si>
    <t>出让</t>
  </si>
  <si>
    <t>无</t>
  </si>
  <si>
    <t>否</t>
  </si>
  <si>
    <t>在建</t>
  </si>
  <si>
    <t>通路</t>
  </si>
  <si>
    <t>通电</t>
  </si>
  <si>
    <t>通讯</t>
  </si>
  <si>
    <t>通上水</t>
  </si>
  <si>
    <t>通下水</t>
  </si>
  <si>
    <t>通热</t>
  </si>
  <si>
    <t>燃气</t>
  </si>
  <si>
    <t>是</t>
  </si>
  <si>
    <t>套数</t>
  </si>
  <si>
    <t>建筑</t>
  </si>
  <si>
    <t>结构</t>
  </si>
  <si>
    <r>
      <t>用</t>
    </r>
    <r>
      <rPr>
        <sz val="12"/>
        <color theme="1"/>
        <rFont val="Times New Roman"/>
        <family val="1"/>
      </rPr>
      <t xml:space="preserve"> </t>
    </r>
    <r>
      <rPr>
        <sz val="12"/>
        <color theme="1"/>
        <rFont val="楷体"/>
        <family val="3"/>
        <charset val="134"/>
      </rPr>
      <t>途</t>
    </r>
  </si>
  <si>
    <t>面积</t>
  </si>
  <si>
    <t>钢混</t>
  </si>
  <si>
    <t>商业服务</t>
  </si>
  <si>
    <t>住宅</t>
  </si>
  <si>
    <t>幢号</t>
  </si>
  <si>
    <t>单元</t>
  </si>
  <si>
    <t>所在</t>
  </si>
  <si>
    <t>层次</t>
  </si>
  <si>
    <t>户号</t>
  </si>
  <si>
    <t>总</t>
  </si>
  <si>
    <t>层数</t>
  </si>
  <si>
    <t>地下室及北区商业</t>
  </si>
  <si>
    <t>26-30</t>
  </si>
  <si>
    <t>32-33</t>
  </si>
  <si>
    <t>分摊土地</t>
  </si>
  <si>
    <t>1-5</t>
  </si>
  <si>
    <t>5-31</t>
  </si>
  <si>
    <t>地上</t>
  </si>
  <si>
    <t>收益法</t>
  </si>
  <si>
    <t>未包含在土地购买价格中</t>
  </si>
  <si>
    <t>已包含在土地取得成本中</t>
  </si>
  <si>
    <t>部分缴纳</t>
  </si>
  <si>
    <t>在建（套用方法）</t>
  </si>
  <si>
    <t>押二</t>
  </si>
  <si>
    <t>按租金收入计税</t>
  </si>
  <si>
    <t>非生产用房</t>
  </si>
  <si>
    <t>正常</t>
  </si>
  <si>
    <t>较差</t>
  </si>
  <si>
    <t>一般</t>
  </si>
  <si>
    <t>较好</t>
  </si>
  <si>
    <t>七通</t>
  </si>
  <si>
    <t>双面临街</t>
  </si>
  <si>
    <t>次干道</t>
  </si>
  <si>
    <t>较规则</t>
  </si>
  <si>
    <t>比例较适宜</t>
  </si>
  <si>
    <t>六通一平</t>
  </si>
  <si>
    <t>主干道</t>
  </si>
  <si>
    <t>五通一平</t>
  </si>
  <si>
    <t>三通一平</t>
  </si>
  <si>
    <t>估价对象名称</t>
  </si>
  <si>
    <r>
      <rPr>
        <sz val="11"/>
        <color theme="9" tint="-0.249977111117893"/>
        <rFont val="宋体"/>
        <family val="3"/>
        <charset val="134"/>
      </rPr>
      <t>郑政东出〔</t>
    </r>
    <r>
      <rPr>
        <sz val="11"/>
        <color theme="9" tint="-0.249977111117893"/>
        <rFont val="Arial"/>
        <family val="2"/>
      </rPr>
      <t>2018</t>
    </r>
    <r>
      <rPr>
        <sz val="11"/>
        <color theme="9" tint="-0.249977111117893"/>
        <rFont val="宋体"/>
        <family val="3"/>
        <charset val="134"/>
      </rPr>
      <t>〕</t>
    </r>
    <r>
      <rPr>
        <sz val="11"/>
        <color theme="9" tint="-0.249977111117893"/>
        <rFont val="Arial"/>
        <family val="2"/>
      </rPr>
      <t>6</t>
    </r>
    <r>
      <rPr>
        <sz val="11"/>
        <color theme="9" tint="-0.249977111117893"/>
        <rFont val="宋体"/>
        <family val="3"/>
        <charset val="134"/>
      </rPr>
      <t>号（网）</t>
    </r>
    <phoneticPr fontId="4" type="noConversion"/>
  </si>
  <si>
    <t>金水区红旗路北、经七路东</t>
  </si>
  <si>
    <t>龙湖中环南路北、如意西路西</t>
    <phoneticPr fontId="4" type="noConversion"/>
  </si>
  <si>
    <t>有</t>
  </si>
  <si>
    <t>商业</t>
    <phoneticPr fontId="32" type="noConversion"/>
  </si>
  <si>
    <t>高速路</t>
  </si>
  <si>
    <t>快速路</t>
  </si>
  <si>
    <t>支路</t>
  </si>
  <si>
    <t>规则</t>
  </si>
  <si>
    <t>较不规则</t>
  </si>
  <si>
    <t>不规则</t>
  </si>
  <si>
    <t>比例适宜</t>
  </si>
  <si>
    <t>比例较不适宜</t>
  </si>
  <si>
    <t>比例不适宜</t>
  </si>
  <si>
    <t>七通一平</t>
  </si>
  <si>
    <t>四通一平</t>
  </si>
  <si>
    <t>好</t>
  </si>
  <si>
    <t>差</t>
  </si>
  <si>
    <t>成本法</t>
  </si>
  <si>
    <t>假设开发法</t>
  </si>
  <si>
    <t>本次抵押</t>
    <phoneticPr fontId="144" type="noConversion"/>
  </si>
  <si>
    <t>已抵押</t>
    <phoneticPr fontId="144" type="noConversion"/>
  </si>
  <si>
    <t>5-16</t>
  </si>
  <si>
    <t>5-21</t>
  </si>
  <si>
    <t>5-25</t>
  </si>
  <si>
    <t>3-27</t>
  </si>
  <si>
    <t>3-31</t>
  </si>
  <si>
    <t>1-2</t>
  </si>
  <si>
    <t>河南恒祥实业有限公司</t>
  </si>
  <si>
    <t>中诚信托有限责任公司</t>
  </si>
  <si>
    <t>王鹏</t>
  </si>
  <si>
    <t>郑燚</t>
  </si>
  <si>
    <t>河南省郑州市</t>
  </si>
  <si>
    <t>金水区红旗路北、经七路东“恒祥百悦城一号院”项目局部住宅、办公（公寓）、商业用房</t>
  </si>
  <si>
    <t>居住项目</t>
  </si>
  <si>
    <t>含保障性住房</t>
  </si>
  <si>
    <t>公寓</t>
  </si>
  <si>
    <t>底商</t>
  </si>
  <si>
    <t>平层住宅</t>
  </si>
  <si>
    <t>40、70</t>
  </si>
  <si>
    <t>纯商品房</t>
  </si>
  <si>
    <t>2016-4</t>
    <phoneticPr fontId="32" type="noConversion"/>
  </si>
  <si>
    <t>2016-3</t>
    <phoneticPr fontId="32" type="noConversion"/>
  </si>
  <si>
    <t>2016-2</t>
    <phoneticPr fontId="32" type="noConversion"/>
  </si>
  <si>
    <t>回迁混居</t>
  </si>
  <si>
    <t>居住品质</t>
    <phoneticPr fontId="32" type="noConversion"/>
  </si>
  <si>
    <t>60-70（含）</t>
  </si>
  <si>
    <t>高层住宅</t>
  </si>
  <si>
    <t>中档</t>
  </si>
  <si>
    <t>普通装修</t>
  </si>
  <si>
    <t>专业</t>
  </si>
  <si>
    <t>平层</t>
  </si>
  <si>
    <t>毛坯</t>
  </si>
  <si>
    <t>砖混</t>
  </si>
  <si>
    <t>高档</t>
  </si>
  <si>
    <t>精装修</t>
  </si>
  <si>
    <t>简装</t>
  </si>
  <si>
    <t>普通</t>
  </si>
  <si>
    <t>六通</t>
  </si>
  <si>
    <t>五通</t>
  </si>
  <si>
    <t>四通</t>
  </si>
  <si>
    <t>三通</t>
  </si>
  <si>
    <t>LOFT</t>
  </si>
  <si>
    <t>住宅</t>
    <phoneticPr fontId="144" type="noConversion"/>
  </si>
  <si>
    <t>泰山誉景</t>
    <phoneticPr fontId="4" type="noConversion"/>
  </si>
  <si>
    <t>高层公寓</t>
  </si>
  <si>
    <t>高层公寓</t>
    <phoneticPr fontId="144" type="noConversion"/>
  </si>
  <si>
    <t>公寓</t>
    <phoneticPr fontId="144" type="noConversion"/>
  </si>
  <si>
    <t>30-40（含）</t>
  </si>
  <si>
    <t>成本比率</t>
  </si>
  <si>
    <t>商业面积</t>
    <phoneticPr fontId="144" type="noConversion"/>
  </si>
  <si>
    <t>工程款合计</t>
    <phoneticPr fontId="144" type="noConversion"/>
  </si>
  <si>
    <t>元/月</t>
    <phoneticPr fontId="144" type="noConversion"/>
  </si>
  <si>
    <t>过渡费合计</t>
    <phoneticPr fontId="144" type="noConversion"/>
  </si>
  <si>
    <t>安置房后续投入</t>
    <phoneticPr fontId="144" type="noConversion"/>
  </si>
  <si>
    <t>建筑面积</t>
    <phoneticPr fontId="144" type="noConversion"/>
  </si>
  <si>
    <t>万元</t>
    <phoneticPr fontId="144" type="noConversion"/>
  </si>
  <si>
    <t>住宅部分工程款</t>
    <phoneticPr fontId="144" type="noConversion"/>
  </si>
  <si>
    <t>企业提供（在右侧录入）</t>
  </si>
  <si>
    <t>支付郑州市国土资源局土地出让金</t>
  </si>
  <si>
    <t>支付土地出让金契税和配套费契税</t>
  </si>
  <si>
    <t>预付款项</t>
  </si>
  <si>
    <t>河南恒祥实业有限公司土地出让金返还明细表</t>
    <phoneticPr fontId="4" type="noConversion"/>
  </si>
  <si>
    <t>单位：元</t>
    <phoneticPr fontId="4" type="noConversion"/>
  </si>
  <si>
    <t>收款日期</t>
    <phoneticPr fontId="4" type="noConversion"/>
  </si>
  <si>
    <t>摘要</t>
    <phoneticPr fontId="4" type="noConversion"/>
  </si>
  <si>
    <t>本次收款金额</t>
    <phoneticPr fontId="4" type="noConversion"/>
  </si>
  <si>
    <t>2016.5.31</t>
    <phoneticPr fontId="4" type="noConversion"/>
  </si>
  <si>
    <t>收到土地出让金返还</t>
    <phoneticPr fontId="4" type="noConversion"/>
  </si>
  <si>
    <t>2016.9.30</t>
    <phoneticPr fontId="4" type="noConversion"/>
  </si>
  <si>
    <t>收到土地出让金返还</t>
    <phoneticPr fontId="4" type="noConversion"/>
  </si>
  <si>
    <t>合计</t>
    <phoneticPr fontId="4" type="noConversion"/>
  </si>
  <si>
    <t>河南恒祥实业有限公司截止目前已经投入成本表</t>
    <phoneticPr fontId="4" type="noConversion"/>
  </si>
  <si>
    <t>序号</t>
    <phoneticPr fontId="4" type="noConversion"/>
  </si>
  <si>
    <t>单位名称</t>
    <phoneticPr fontId="4" type="noConversion"/>
  </si>
  <si>
    <t>付款金额</t>
    <phoneticPr fontId="4" type="noConversion"/>
  </si>
  <si>
    <t>备注（付款截止时间）</t>
    <phoneticPr fontId="4" type="noConversion"/>
  </si>
  <si>
    <t>拆迁过渡费</t>
    <phoneticPr fontId="4" type="noConversion"/>
  </si>
  <si>
    <r>
      <t>201</t>
    </r>
    <r>
      <rPr>
        <sz val="11"/>
        <color theme="1"/>
        <rFont val="宋体"/>
        <family val="3"/>
        <charset val="134"/>
        <scheme val="minor"/>
      </rPr>
      <t>8</t>
    </r>
    <r>
      <rPr>
        <sz val="11"/>
        <color theme="1"/>
        <rFont val="宋体"/>
        <family val="3"/>
        <charset val="134"/>
        <scheme val="minor"/>
      </rPr>
      <t>.05.31</t>
    </r>
    <phoneticPr fontId="4" type="noConversion"/>
  </si>
  <si>
    <t>其他补偿支出</t>
    <phoneticPr fontId="4" type="noConversion"/>
  </si>
  <si>
    <r>
      <t>201</t>
    </r>
    <r>
      <rPr>
        <sz val="11"/>
        <color theme="1"/>
        <rFont val="宋体"/>
        <family val="3"/>
        <charset val="134"/>
        <scheme val="minor"/>
      </rPr>
      <t>8</t>
    </r>
    <r>
      <rPr>
        <sz val="11"/>
        <color theme="1"/>
        <rFont val="宋体"/>
        <family val="3"/>
        <charset val="134"/>
        <scheme val="minor"/>
      </rPr>
      <t>.05.31</t>
    </r>
    <phoneticPr fontId="4" type="noConversion"/>
  </si>
  <si>
    <r>
      <t>201</t>
    </r>
    <r>
      <rPr>
        <sz val="11"/>
        <color theme="1"/>
        <rFont val="宋体"/>
        <family val="3"/>
        <charset val="134"/>
        <scheme val="minor"/>
      </rPr>
      <t>8</t>
    </r>
    <r>
      <rPr>
        <sz val="11"/>
        <color theme="1"/>
        <rFont val="宋体"/>
        <family val="3"/>
        <charset val="134"/>
        <scheme val="minor"/>
      </rPr>
      <t>.05.31</t>
    </r>
    <r>
      <rPr>
        <sz val="11"/>
        <color theme="1"/>
        <rFont val="宋体"/>
        <family val="2"/>
        <charset val="134"/>
        <scheme val="minor"/>
      </rPr>
      <t/>
    </r>
  </si>
  <si>
    <t>城市基础设施配套费</t>
    <phoneticPr fontId="4" type="noConversion"/>
  </si>
  <si>
    <t>工程款</t>
    <phoneticPr fontId="4" type="noConversion"/>
  </si>
  <si>
    <t>财务费用</t>
    <phoneticPr fontId="4" type="noConversion"/>
  </si>
  <si>
    <t>业务招待费</t>
    <phoneticPr fontId="4" type="noConversion"/>
  </si>
  <si>
    <t>工资费用</t>
    <phoneticPr fontId="4" type="noConversion"/>
  </si>
  <si>
    <t>其他费用支出</t>
    <phoneticPr fontId="4" type="noConversion"/>
  </si>
  <si>
    <t>合计</t>
    <phoneticPr fontId="4" type="noConversion"/>
  </si>
  <si>
    <t>仅含出让金</t>
  </si>
  <si>
    <t>10号楼</t>
    <phoneticPr fontId="144" type="noConversion"/>
  </si>
  <si>
    <t>楼号</t>
    <phoneticPr fontId="144" type="noConversion"/>
  </si>
  <si>
    <t>5号楼</t>
    <phoneticPr fontId="144" type="noConversion"/>
  </si>
  <si>
    <t>商业</t>
    <phoneticPr fontId="144" type="noConversion"/>
  </si>
  <si>
    <t>经北五路以北、传媒路以西</t>
    <phoneticPr fontId="32" type="noConversion"/>
  </si>
  <si>
    <t>多面临街</t>
  </si>
  <si>
    <r>
      <rPr>
        <sz val="11"/>
        <color theme="9" tint="-0.249977111117893"/>
        <rFont val="宋体"/>
        <family val="3"/>
        <charset val="134"/>
      </rPr>
      <t>郑政经开出</t>
    </r>
    <r>
      <rPr>
        <sz val="11"/>
        <color theme="9" tint="-0.249977111117893"/>
        <rFont val="Arial"/>
        <family val="2"/>
      </rPr>
      <t>[2019]026</t>
    </r>
    <r>
      <rPr>
        <sz val="11"/>
        <color theme="9" tint="-0.249977111117893"/>
        <rFont val="宋体"/>
        <family val="3"/>
        <charset val="134"/>
      </rPr>
      <t>号（网）</t>
    </r>
    <phoneticPr fontId="32" type="noConversion"/>
  </si>
  <si>
    <t>经开区经北三路以南、传媒路以西</t>
    <phoneticPr fontId="32" type="noConversion"/>
  </si>
  <si>
    <r>
      <t xml:space="preserve"> </t>
    </r>
    <r>
      <rPr>
        <sz val="11"/>
        <color theme="9" tint="-0.249977111117893"/>
        <rFont val="宋体"/>
        <family val="3"/>
        <charset val="134"/>
      </rPr>
      <t>郑政经开出</t>
    </r>
    <r>
      <rPr>
        <sz val="11"/>
        <color theme="9" tint="-0.249977111117893"/>
        <rFont val="Arial"/>
        <family val="2"/>
      </rPr>
      <t>[2019]025</t>
    </r>
    <r>
      <rPr>
        <sz val="11"/>
        <color theme="9" tint="-0.249977111117893"/>
        <rFont val="宋体"/>
        <family val="3"/>
        <charset val="134"/>
      </rPr>
      <t>号（网）</t>
    </r>
    <phoneticPr fontId="32" type="noConversion"/>
  </si>
  <si>
    <t>住宅</t>
    <phoneticPr fontId="144" type="noConversion"/>
  </si>
  <si>
    <t>已网签建筑面积/安置商业面积</t>
    <phoneticPr fontId="144" type="noConversion"/>
  </si>
  <si>
    <t>用途</t>
    <phoneticPr fontId="144" type="noConversion"/>
  </si>
  <si>
    <t>预售证建筑面积/测绘报告面积</t>
    <phoneticPr fontId="144" type="noConversion"/>
  </si>
  <si>
    <t>剩余可售面积</t>
    <phoneticPr fontId="144" type="noConversion"/>
  </si>
  <si>
    <t>2号楼</t>
    <phoneticPr fontId="144" type="noConversion"/>
  </si>
  <si>
    <t>办公</t>
    <phoneticPr fontId="144" type="noConversion"/>
  </si>
  <si>
    <t>3号楼</t>
    <phoneticPr fontId="144" type="noConversion"/>
  </si>
  <si>
    <t>6号楼</t>
    <phoneticPr fontId="144" type="noConversion"/>
  </si>
  <si>
    <t>9号楼</t>
    <phoneticPr fontId="144" type="noConversion"/>
  </si>
  <si>
    <t>住宅</t>
    <phoneticPr fontId="144" type="noConversion"/>
  </si>
  <si>
    <t>11号楼</t>
    <phoneticPr fontId="144" type="noConversion"/>
  </si>
  <si>
    <t>住宅</t>
    <phoneticPr fontId="144" type="noConversion"/>
  </si>
  <si>
    <t>9号楼</t>
    <phoneticPr fontId="144" type="noConversion"/>
  </si>
  <si>
    <t>地下室及北区商业</t>
    <phoneticPr fontId="144" type="noConversion"/>
  </si>
  <si>
    <t>商业</t>
    <phoneticPr fontId="144" type="noConversion"/>
  </si>
  <si>
    <t>住宅办公面积</t>
    <phoneticPr fontId="144" type="noConversion"/>
  </si>
  <si>
    <t>1-25</t>
    <phoneticPr fontId="144" type="noConversion"/>
  </si>
  <si>
    <t>土地取得</t>
    <phoneticPr fontId="144" type="noConversion"/>
  </si>
  <si>
    <t>土地开发</t>
    <phoneticPr fontId="144" type="noConversion"/>
  </si>
  <si>
    <t>工程款</t>
    <phoneticPr fontId="144" type="noConversion"/>
  </si>
  <si>
    <t>总可售面积</t>
    <phoneticPr fontId="144" type="noConversion"/>
  </si>
  <si>
    <t>抵押面积</t>
    <phoneticPr fontId="144" type="noConversion"/>
  </si>
  <si>
    <t>收到土地出让金返还</t>
  </si>
  <si>
    <t>出让金</t>
    <phoneticPr fontId="144" type="noConversion"/>
  </si>
  <si>
    <t>拆迁补偿过渡费</t>
    <phoneticPr fontId="144" type="noConversion"/>
  </si>
  <si>
    <t>前期及配套</t>
    <phoneticPr fontId="144" type="noConversion"/>
  </si>
  <si>
    <t>开发间接</t>
    <phoneticPr fontId="144" type="noConversion"/>
  </si>
  <si>
    <t>前期</t>
    <phoneticPr fontId="144" type="noConversion"/>
  </si>
  <si>
    <t>配套费</t>
    <phoneticPr fontId="144" type="noConversion"/>
  </si>
  <si>
    <t>基础设施</t>
    <phoneticPr fontId="144" type="noConversion"/>
  </si>
  <si>
    <t>总计</t>
    <phoneticPr fontId="144" type="noConversion"/>
  </si>
  <si>
    <t>情况3</t>
  </si>
  <si>
    <t>项目及结果</t>
  </si>
  <si>
    <t>估价对象总计</t>
  </si>
  <si>
    <t>总价</t>
  </si>
  <si>
    <t>单价</t>
  </si>
  <si>
    <t>总额</t>
  </si>
  <si>
    <r>
      <t xml:space="preserve">                    </t>
    </r>
    <r>
      <rPr>
        <sz val="9"/>
        <color theme="1"/>
        <rFont val="华文细黑"/>
        <family val="3"/>
        <charset val="134"/>
      </rPr>
      <t>估价对象</t>
    </r>
  </si>
  <si>
    <r>
      <t>估价对象</t>
    </r>
    <r>
      <rPr>
        <sz val="9"/>
        <color theme="1"/>
        <rFont val="Arial"/>
        <family val="2"/>
      </rPr>
      <t>1</t>
    </r>
  </si>
  <si>
    <r>
      <t>估价对象</t>
    </r>
    <r>
      <rPr>
        <sz val="9"/>
        <color theme="1"/>
        <rFont val="Arial"/>
        <family val="2"/>
      </rPr>
      <t>2</t>
    </r>
  </si>
  <si>
    <r>
      <t>1.</t>
    </r>
    <r>
      <rPr>
        <sz val="9"/>
        <color theme="1"/>
        <rFont val="华文细黑"/>
        <family val="3"/>
        <charset val="134"/>
      </rPr>
      <t>房地产价值</t>
    </r>
  </si>
  <si>
    <r>
      <t>2.</t>
    </r>
    <r>
      <rPr>
        <sz val="9"/>
        <color theme="1"/>
        <rFont val="华文细黑"/>
        <family val="3"/>
        <charset val="134"/>
      </rPr>
      <t>估价师知悉的除抵押担保权以外的法定优先受偿款</t>
    </r>
  </si>
  <si>
    <r>
      <t>（</t>
    </r>
    <r>
      <rPr>
        <sz val="9"/>
        <color theme="1"/>
        <rFont val="Arial"/>
        <family val="2"/>
      </rPr>
      <t>1</t>
    </r>
    <r>
      <rPr>
        <sz val="9"/>
        <color theme="1"/>
        <rFont val="华文细黑"/>
        <family val="3"/>
        <charset val="134"/>
      </rPr>
      <t>）已抵押担保的债权数额</t>
    </r>
  </si>
  <si>
    <r>
      <t>（</t>
    </r>
    <r>
      <rPr>
        <sz val="9"/>
        <color theme="1"/>
        <rFont val="Arial"/>
        <family val="2"/>
      </rPr>
      <t>2</t>
    </r>
    <r>
      <rPr>
        <sz val="9"/>
        <color theme="1"/>
        <rFont val="华文细黑"/>
        <family val="3"/>
        <charset val="134"/>
      </rPr>
      <t>）拖欠的建设工程价款</t>
    </r>
  </si>
  <si>
    <r>
      <t>（</t>
    </r>
    <r>
      <rPr>
        <sz val="9"/>
        <color theme="1"/>
        <rFont val="Arial"/>
        <family val="2"/>
      </rPr>
      <t>3</t>
    </r>
    <r>
      <rPr>
        <sz val="9"/>
        <color theme="1"/>
        <rFont val="华文细黑"/>
        <family val="3"/>
        <charset val="134"/>
      </rPr>
      <t>）其他法定优先受偿款</t>
    </r>
  </si>
  <si>
    <r>
      <t>3.</t>
    </r>
    <r>
      <rPr>
        <sz val="9"/>
        <color theme="1"/>
        <rFont val="华文细黑"/>
        <family val="3"/>
        <charset val="134"/>
      </rPr>
      <t>抵押担保权已注销时的房地产抵押价值</t>
    </r>
  </si>
  <si>
    <r>
      <t>4.</t>
    </r>
    <r>
      <rPr>
        <sz val="9"/>
        <color theme="1"/>
        <rFont val="华文细黑"/>
        <family val="3"/>
        <charset val="134"/>
      </rPr>
      <t>扣除土地增值税后的余值</t>
    </r>
  </si>
  <si>
    <t>项目名称</t>
  </si>
  <si>
    <t>规划建筑面积</t>
  </si>
  <si>
    <t>分摊土地面积</t>
  </si>
  <si>
    <t>出让国有建设用地使用权价值</t>
  </si>
  <si>
    <t>在建建筑物价值</t>
  </si>
  <si>
    <t>房地产价值</t>
  </si>
  <si>
    <t>楼面单价</t>
  </si>
  <si>
    <r>
      <t>总</t>
    </r>
    <r>
      <rPr>
        <sz val="9"/>
        <color theme="1"/>
        <rFont val="Arial"/>
        <family val="2"/>
      </rPr>
      <t xml:space="preserve"> </t>
    </r>
    <r>
      <rPr>
        <sz val="9"/>
        <color theme="1"/>
        <rFont val="华文细黑"/>
        <family val="3"/>
        <charset val="134"/>
      </rPr>
      <t>价</t>
    </r>
  </si>
  <si>
    <t>河南省郑州市金水区红旗路北、经七路东“恒祥百悦城一号院”项目局部住宅、办公（公寓）、商业用房分摊出让国有建设用地使用权及在建建筑物房地产</t>
  </si>
  <si>
    <t>河南省郑州市金水区红旗路北、经七路东“恒祥百悦城一号院”项目局部商业用房分摊出让国有建设用地使用权及在建建筑物房地产</t>
  </si>
  <si>
    <t>大写金额</t>
  </si>
  <si>
    <t>估价师知悉的法定优先受偿款</t>
  </si>
  <si>
    <t>河南恒祥实业2号、3号、5号、6号、9号、10号、11号楼抵押情况汇总表</t>
    <phoneticPr fontId="268" type="noConversion"/>
  </si>
  <si>
    <t>单位：平方米</t>
    <phoneticPr fontId="268" type="noConversion"/>
  </si>
  <si>
    <t>序号</t>
    <phoneticPr fontId="268" type="noConversion"/>
  </si>
  <si>
    <t>楼号</t>
    <phoneticPr fontId="268" type="noConversion"/>
  </si>
  <si>
    <t>抵押套数</t>
    <phoneticPr fontId="268" type="noConversion"/>
  </si>
  <si>
    <t>抵押面积</t>
    <phoneticPr fontId="268" type="noConversion"/>
  </si>
  <si>
    <t>合作协议销售套数</t>
    <phoneticPr fontId="268" type="noConversion"/>
  </si>
  <si>
    <t>合作协议销售面积</t>
    <phoneticPr fontId="268" type="noConversion"/>
  </si>
  <si>
    <t>剩余抵押套数</t>
    <phoneticPr fontId="268" type="noConversion"/>
  </si>
  <si>
    <t>剩余抵押面积</t>
    <phoneticPr fontId="268" type="noConversion"/>
  </si>
  <si>
    <t>公寓合计</t>
    <phoneticPr fontId="268" type="noConversion"/>
  </si>
  <si>
    <t>住宅合计</t>
    <phoneticPr fontId="268" type="noConversion"/>
  </si>
  <si>
    <t>临街商铺合计</t>
    <phoneticPr fontId="268" type="noConversion"/>
  </si>
  <si>
    <t>总合计</t>
    <phoneticPr fontId="268" type="noConversion"/>
  </si>
  <si>
    <t>分摊土地面积</t>
    <phoneticPr fontId="268" type="noConversion"/>
  </si>
  <si>
    <t>美盛教育港湾</t>
    <phoneticPr fontId="4" type="noConversion"/>
  </si>
  <si>
    <t>泉舜上城</t>
    <phoneticPr fontId="4" type="noConversion"/>
  </si>
  <si>
    <t>中业星荟</t>
    <phoneticPr fontId="4" type="noConversion"/>
  </si>
  <si>
    <t>中原大观星光IN</t>
    <phoneticPr fontId="4" type="noConversion"/>
  </si>
  <si>
    <t>名门翠园</t>
    <phoneticPr fontId="4" type="noConversion"/>
  </si>
  <si>
    <t>商业安置后续投入</t>
    <phoneticPr fontId="144" type="noConversion"/>
  </si>
  <si>
    <t>元/平方米</t>
    <phoneticPr fontId="144" type="noConversion"/>
  </si>
  <si>
    <t>建筑面积</t>
    <phoneticPr fontId="144" type="noConversion"/>
  </si>
  <si>
    <t>万元</t>
    <phoneticPr fontId="144" type="noConversion"/>
  </si>
  <si>
    <t>住宅部分过渡费</t>
    <phoneticPr fontId="144" type="noConversion"/>
  </si>
  <si>
    <t>住宅部分分摊住宅后续投入</t>
    <phoneticPr fontId="144" type="noConversion"/>
  </si>
  <si>
    <t>住宅部分分摊商业后续投入</t>
    <phoneticPr fontId="144" type="noConversion"/>
  </si>
  <si>
    <t>贰拾贰亿壹仟伍佰零壹万元整</t>
  </si>
  <si>
    <t>陆亿零玖佰玖拾肆万元整</t>
  </si>
  <si>
    <t>贰拾捌亿贰仟肆佰玖拾伍万元整</t>
  </si>
  <si>
    <t>贰亿柒仟陆佰陆拾叁万元整</t>
  </si>
  <si>
    <t>贰拾伍亿肆仟捌佰叁拾贰万元整</t>
  </si>
  <si>
    <t>扣除土地增值税后的余值</t>
  </si>
  <si>
    <t>贰拾肆亿零肆佰玖拾万元整</t>
  </si>
  <si>
    <t>_</t>
    <phoneticPr fontId="144" type="noConversion"/>
  </si>
  <si>
    <t>序号</t>
  </si>
  <si>
    <t>序号</t>
    <phoneticPr fontId="144" type="noConversion"/>
  </si>
  <si>
    <t>房地产市场价值</t>
  </si>
  <si>
    <t>商业用房（底商）</t>
    <phoneticPr fontId="144" type="noConversion"/>
  </si>
  <si>
    <t>商业用房（集中商业）</t>
    <phoneticPr fontId="144" type="noConversion"/>
  </si>
  <si>
    <t>房地产抵押价值</t>
    <phoneticPr fontId="144" type="noConversion"/>
  </si>
  <si>
    <t>用途</t>
    <phoneticPr fontId="144" type="noConversion"/>
  </si>
  <si>
    <t>规划建筑面积</t>
    <phoneticPr fontId="144" type="noConversion"/>
  </si>
  <si>
    <t>房地产市场价值</t>
    <phoneticPr fontId="144" type="noConversion"/>
  </si>
  <si>
    <t>楼面单价</t>
    <phoneticPr fontId="144" type="noConversion"/>
  </si>
  <si>
    <t>住宅用房</t>
    <phoneticPr fontId="144" type="noConversion"/>
  </si>
  <si>
    <t>办公（公寓）用房</t>
    <phoneticPr fontId="144" type="noConversion"/>
  </si>
  <si>
    <t>合计</t>
    <phoneticPr fontId="144" type="noConversion"/>
  </si>
  <si>
    <t>——</t>
    <phoneticPr fontId="144" type="noConversion"/>
  </si>
  <si>
    <t>——</t>
    <phoneticPr fontId="144" type="noConversion"/>
  </si>
  <si>
    <r>
      <t>估价对象</t>
    </r>
    <r>
      <rPr>
        <sz val="10"/>
        <color rgb="FF000000"/>
        <rFont val="Arial"/>
        <family val="2"/>
      </rPr>
      <t>1</t>
    </r>
    <r>
      <rPr>
        <sz val="10"/>
        <color rgb="FF000000"/>
        <rFont val="华文细黑"/>
        <family val="3"/>
        <charset val="134"/>
      </rPr>
      <t>住宅用房</t>
    </r>
  </si>
  <si>
    <r>
      <t>估价对象</t>
    </r>
    <r>
      <rPr>
        <sz val="10"/>
        <color rgb="FF000000"/>
        <rFont val="Arial"/>
        <family val="2"/>
      </rPr>
      <t>1</t>
    </r>
    <r>
      <rPr>
        <sz val="10"/>
        <color rgb="FF000000"/>
        <rFont val="华文细黑"/>
        <family val="3"/>
        <charset val="134"/>
      </rPr>
      <t>商业用房（底商）</t>
    </r>
  </si>
  <si>
    <r>
      <t>估价对象</t>
    </r>
    <r>
      <rPr>
        <sz val="10"/>
        <color rgb="FF000000"/>
        <rFont val="Arial"/>
        <family val="2"/>
      </rPr>
      <t>1</t>
    </r>
    <r>
      <rPr>
        <sz val="10"/>
        <color rgb="FF000000"/>
        <rFont val="华文细黑"/>
        <family val="3"/>
        <charset val="134"/>
      </rPr>
      <t>办公（公寓）用房</t>
    </r>
  </si>
  <si>
    <r>
      <t>估价对象</t>
    </r>
    <r>
      <rPr>
        <sz val="10"/>
        <color rgb="FF000000"/>
        <rFont val="Arial"/>
        <family val="2"/>
      </rPr>
      <t>2</t>
    </r>
    <r>
      <rPr>
        <sz val="10"/>
        <color rgb="FF000000"/>
        <rFont val="华文细黑"/>
        <family val="3"/>
        <charset val="134"/>
      </rPr>
      <t>商业用房（集中商业）</t>
    </r>
  </si>
  <si>
    <t>货值</t>
    <phoneticPr fontId="144" type="noConversion"/>
  </si>
  <si>
    <t>总评估值</t>
    <phoneticPr fontId="144" type="noConversion"/>
  </si>
  <si>
    <t>面积</t>
    <phoneticPr fontId="144" type="noConversion"/>
  </si>
  <si>
    <t>单价</t>
    <phoneticPr fontId="144" type="noConversion"/>
  </si>
  <si>
    <t>总值</t>
    <phoneticPr fontId="144" type="noConversion"/>
  </si>
  <si>
    <t>假设开发法单价</t>
    <phoneticPr fontId="144" type="noConversion"/>
  </si>
  <si>
    <t>拆分楼面单价</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</si>
</sst>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0.00_ "/>
    <numFmt numFmtId="199" formatCode="0.0"/>
  </numFmts>
  <fonts count="27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5"/>
      <color theme="1"/>
      <name val="Times New Roman"/>
      <family val="1"/>
    </font>
    <font>
      <sz val="12"/>
      <color theme="1"/>
      <name val="楷体"/>
      <family val="3"/>
      <charset val="134"/>
    </font>
    <font>
      <sz val="12"/>
      <color theme="1"/>
      <name val="Times New Roman"/>
      <family val="1"/>
    </font>
    <font>
      <sz val="10.5"/>
      <color theme="1"/>
      <name val="楷体"/>
      <family val="3"/>
      <charset val="134"/>
    </font>
    <font>
      <sz val="9"/>
      <color theme="1"/>
      <name val="楷体"/>
      <family val="3"/>
      <charset val="134"/>
    </font>
    <font>
      <sz val="11"/>
      <color theme="1"/>
      <name val="宋体"/>
      <family val="3"/>
      <charset val="134"/>
      <scheme val="minor"/>
    </font>
    <font>
      <b/>
      <sz val="12"/>
      <name val="楷体"/>
      <family val="3"/>
      <charset val="134"/>
    </font>
    <font>
      <sz val="12"/>
      <name val="楷体"/>
      <family val="3"/>
      <charset val="134"/>
    </font>
    <font>
      <sz val="12"/>
      <name val="黑体"/>
      <family val="3"/>
      <charset val="134"/>
    </font>
    <font>
      <sz val="9"/>
      <color theme="1"/>
      <name val="Arial"/>
      <family val="2"/>
    </font>
    <font>
      <sz val="9"/>
      <color theme="1"/>
      <name val="华文细黑"/>
      <family val="3"/>
      <charset val="134"/>
    </font>
    <font>
      <b/>
      <sz val="9"/>
      <color theme="1"/>
      <name val="华文细黑"/>
      <family val="3"/>
      <charset val="134"/>
    </font>
    <font>
      <b/>
      <sz val="9"/>
      <color theme="1"/>
      <name val="Arial"/>
      <family val="2"/>
    </font>
    <font>
      <sz val="9"/>
      <name val="Tahoma"/>
      <family val="2"/>
      <charset val="134"/>
    </font>
    <font>
      <b/>
      <sz val="14"/>
      <color theme="1"/>
      <name val="Tahoma"/>
      <family val="2"/>
      <charset val="134"/>
    </font>
    <font>
      <sz val="12"/>
      <color theme="1"/>
      <name val="仿宋"/>
      <family val="3"/>
      <charset val="134"/>
    </font>
    <font>
      <sz val="11"/>
      <color theme="1"/>
      <name val="仿宋"/>
      <family val="3"/>
      <charset val="134"/>
    </font>
    <font>
      <b/>
      <sz val="11"/>
      <color theme="1"/>
      <name val="仿宋"/>
      <family val="3"/>
      <charset val="134"/>
    </font>
    <font>
      <sz val="10"/>
      <color rgb="FF000000"/>
      <name val="华文细黑"/>
      <family val="3"/>
      <charset val="134"/>
    </font>
    <font>
      <b/>
      <sz val="11"/>
      <color rgb="FF000000"/>
      <name val="华文细黑"/>
      <family val="3"/>
      <charset val="134"/>
    </font>
    <font>
      <b/>
      <sz val="11"/>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uble">
        <color indexed="64"/>
      </left>
      <right style="thin">
        <color indexed="64"/>
      </right>
      <top style="medium">
        <color indexed="64"/>
      </top>
      <bottom style="thin">
        <color indexed="64"/>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style="double">
        <color rgb="FF404040"/>
      </top>
      <bottom style="dotted">
        <color rgb="FF404040"/>
      </bottom>
      <diagonal/>
    </border>
  </borders>
  <cellStyleXfs count="18">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260" fillId="0" borderId="0" applyFont="0" applyFill="0" applyBorder="0" applyAlignment="0" applyProtection="0">
      <alignment vertical="center"/>
    </xf>
  </cellStyleXfs>
  <cellXfs count="343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49" fontId="231" fillId="0" borderId="4"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81" fillId="0" borderId="1" xfId="0" applyFont="1" applyBorder="1" applyAlignment="1" applyProtection="1">
      <alignment horizontal="center" vertical="center" wrapText="1"/>
      <protection locked="0"/>
    </xf>
    <xf numFmtId="0" fontId="256" fillId="0" borderId="43" xfId="0" applyFont="1" applyBorder="1" applyAlignment="1">
      <alignment horizontal="center" vertical="center" wrapText="1"/>
    </xf>
    <xf numFmtId="0" fontId="258" fillId="0" borderId="43" xfId="0" applyFont="1" applyBorder="1" applyAlignment="1">
      <alignment horizontal="center" vertical="center" wrapText="1"/>
    </xf>
    <xf numFmtId="0" fontId="255" fillId="0" borderId="43" xfId="0" applyFont="1" applyBorder="1" applyAlignment="1">
      <alignment horizontal="right" vertical="center" wrapText="1"/>
    </xf>
    <xf numFmtId="0" fontId="257" fillId="0" borderId="81" xfId="0" applyFont="1" applyBorder="1" applyAlignment="1">
      <alignment horizontal="center" vertical="center" wrapText="1"/>
    </xf>
    <xf numFmtId="0" fontId="257" fillId="0" borderId="43" xfId="0" applyFont="1" applyBorder="1" applyAlignment="1">
      <alignment horizontal="right" vertical="center" wrapText="1"/>
    </xf>
    <xf numFmtId="0" fontId="255" fillId="0" borderId="43" xfId="0" applyFont="1" applyBorder="1" applyAlignment="1">
      <alignment horizontal="center" vertical="center" wrapText="1"/>
    </xf>
    <xf numFmtId="0" fontId="257" fillId="0" borderId="43" xfId="0" applyFont="1" applyBorder="1" applyAlignment="1">
      <alignment horizontal="center" vertical="center" wrapText="1"/>
    </xf>
    <xf numFmtId="0" fontId="256" fillId="0" borderId="81" xfId="0" applyFont="1" applyBorder="1" applyAlignment="1">
      <alignment horizontal="center" vertical="center" wrapText="1"/>
    </xf>
    <xf numFmtId="0" fontId="259" fillId="0" borderId="81" xfId="0" applyFont="1" applyBorder="1" applyAlignment="1">
      <alignment horizontal="center" vertical="center" wrapText="1"/>
    </xf>
    <xf numFmtId="0" fontId="256" fillId="0" borderId="31" xfId="0" applyFont="1" applyBorder="1" applyAlignment="1">
      <alignment horizontal="center" vertical="center" wrapText="1"/>
    </xf>
    <xf numFmtId="49" fontId="255" fillId="0" borderId="43" xfId="0" applyNumberFormat="1" applyFont="1" applyBorder="1" applyAlignment="1">
      <alignment horizontal="center" vertical="center" wrapText="1"/>
    </xf>
    <xf numFmtId="49" fontId="257" fillId="0" borderId="43" xfId="0" applyNumberFormat="1" applyFont="1" applyBorder="1" applyAlignment="1">
      <alignment horizontal="center" vertical="center" wrapText="1"/>
    </xf>
    <xf numFmtId="177" fontId="81" fillId="0" borderId="1" xfId="1" applyNumberFormat="1" applyFont="1" applyFill="1" applyBorder="1" applyAlignment="1" applyProtection="1">
      <alignment vertical="center"/>
      <protection locked="0" hidden="1"/>
    </xf>
    <xf numFmtId="0" fontId="138" fillId="0" borderId="41" xfId="0" applyNumberFormat="1" applyFont="1" applyFill="1" applyBorder="1" applyAlignment="1" applyProtection="1">
      <alignment horizontal="center" vertical="center" wrapText="1"/>
      <protection locked="0"/>
    </xf>
    <xf numFmtId="0" fontId="138" fillId="2"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00" fillId="0" borderId="0" xfId="0" applyFont="1">
      <alignment vertical="center"/>
    </xf>
    <xf numFmtId="0" fontId="99" fillId="0" borderId="5" xfId="0" applyFont="1" applyFill="1" applyBorder="1" applyAlignment="1" applyProtection="1">
      <alignment horizontal="center" vertical="center"/>
      <protection locked="0"/>
    </xf>
    <xf numFmtId="0" fontId="99" fillId="2" borderId="6" xfId="0" applyFont="1" applyFill="1" applyBorder="1" applyAlignment="1" applyProtection="1">
      <alignment horizontal="center" vertical="center" wrapText="1"/>
      <protection locked="0"/>
    </xf>
    <xf numFmtId="0" fontId="191" fillId="7" borderId="151" xfId="10" applyFont="1" applyFill="1" applyBorder="1" applyAlignment="1" applyProtection="1">
      <alignment vertical="center"/>
      <protection locked="0"/>
    </xf>
    <xf numFmtId="0" fontId="191" fillId="7" borderId="5" xfId="10" applyFont="1" applyFill="1" applyBorder="1" applyAlignment="1" applyProtection="1">
      <alignment vertical="center"/>
      <protection locked="0"/>
    </xf>
    <xf numFmtId="10" fontId="51" fillId="0" borderId="1" xfId="1" applyNumberFormat="1" applyFont="1" applyFill="1" applyBorder="1" applyAlignment="1" applyProtection="1">
      <alignment horizontal="center" vertical="center"/>
      <protection locked="0"/>
    </xf>
    <xf numFmtId="0" fontId="191" fillId="7" borderId="54" xfId="10" applyFont="1" applyFill="1" applyBorder="1" applyAlignment="1" applyProtection="1">
      <alignment vertical="center"/>
      <protection locked="0"/>
    </xf>
    <xf numFmtId="0" fontId="191" fillId="7" borderId="60" xfId="10" applyFont="1" applyFill="1" applyBorder="1" applyAlignment="1" applyProtection="1">
      <alignment vertical="center"/>
      <protection locked="0"/>
    </xf>
    <xf numFmtId="0" fontId="61" fillId="6" borderId="13" xfId="1" applyFont="1" applyFill="1" applyBorder="1" applyAlignment="1" applyProtection="1">
      <alignment vertical="center"/>
    </xf>
    <xf numFmtId="0" fontId="61" fillId="6" borderId="2" xfId="1" applyFont="1" applyFill="1" applyBorder="1" applyAlignment="1" applyProtection="1">
      <alignment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0" fontId="100" fillId="0" borderId="0" xfId="10">
      <alignment vertical="center"/>
    </xf>
    <xf numFmtId="0" fontId="100" fillId="0" borderId="1" xfId="10" applyFont="1" applyBorder="1">
      <alignment vertical="center"/>
    </xf>
    <xf numFmtId="0" fontId="100" fillId="0" borderId="1" xfId="10" applyBorder="1">
      <alignment vertical="center"/>
    </xf>
    <xf numFmtId="1" fontId="100" fillId="0" borderId="1" xfId="10" applyNumberFormat="1" applyBorder="1">
      <alignment vertical="center"/>
    </xf>
    <xf numFmtId="1" fontId="100" fillId="0" borderId="0" xfId="10" applyNumberFormat="1">
      <alignment vertical="center"/>
    </xf>
    <xf numFmtId="0" fontId="100" fillId="0" borderId="0" xfId="10" applyAlignment="1">
      <alignment horizontal="center" vertical="center"/>
    </xf>
    <xf numFmtId="0" fontId="100" fillId="0" borderId="1" xfId="10" applyFont="1" applyBorder="1" applyAlignment="1">
      <alignment horizontal="center" vertical="center"/>
    </xf>
    <xf numFmtId="0" fontId="12" fillId="7" borderId="0" xfId="0" applyFont="1" applyFill="1" applyProtection="1">
      <alignment vertical="center"/>
      <protection locked="0"/>
    </xf>
    <xf numFmtId="0" fontId="0" fillId="0" borderId="0" xfId="0" applyAlignment="1" applyProtection="1">
      <protection locked="0"/>
    </xf>
    <xf numFmtId="0" fontId="0" fillId="0" borderId="0" xfId="0" applyAlignment="1" applyProtection="1">
      <alignment horizontal="center"/>
      <protection locked="0"/>
    </xf>
    <xf numFmtId="0" fontId="261" fillId="0" borderId="16" xfId="0" applyFont="1" applyBorder="1" applyAlignment="1" applyProtection="1">
      <alignment horizontal="center" vertical="center"/>
      <protection locked="0"/>
    </xf>
    <xf numFmtId="192" fontId="261" fillId="0" borderId="156" xfId="0" applyNumberFormat="1" applyFont="1" applyBorder="1" applyAlignment="1" applyProtection="1">
      <alignment horizontal="center" vertical="center"/>
      <protection locked="0"/>
    </xf>
    <xf numFmtId="0" fontId="261" fillId="0" borderId="1" xfId="0" applyFont="1" applyBorder="1" applyAlignment="1" applyProtection="1">
      <alignment horizontal="center" vertical="center"/>
      <protection locked="0"/>
    </xf>
    <xf numFmtId="0" fontId="261" fillId="0" borderId="10" xfId="0" applyFont="1" applyBorder="1" applyAlignment="1" applyProtection="1">
      <alignment horizontal="center" vertical="center"/>
      <protection locked="0"/>
    </xf>
    <xf numFmtId="0" fontId="262" fillId="0" borderId="86" xfId="0" applyFont="1" applyBorder="1" applyAlignment="1" applyProtection="1">
      <alignment horizontal="center" vertical="center"/>
      <protection locked="0"/>
    </xf>
    <xf numFmtId="192" fontId="0" fillId="0" borderId="41" xfId="0" applyNumberFormat="1" applyBorder="1" applyAlignment="1" applyProtection="1">
      <alignment horizontal="center" vertical="center"/>
      <protection locked="0"/>
    </xf>
    <xf numFmtId="0" fontId="0" fillId="0" borderId="7" xfId="0" applyBorder="1" applyAlignment="1" applyProtection="1">
      <alignment horizontal="center" vertical="center"/>
      <protection locked="0"/>
    </xf>
    <xf numFmtId="197" fontId="0" fillId="0" borderId="2" xfId="0" applyNumberFormat="1" applyBorder="1" applyAlignment="1" applyProtection="1">
      <alignment horizontal="center" vertical="center"/>
      <protection locked="0"/>
    </xf>
    <xf numFmtId="192" fontId="0" fillId="0" borderId="3" xfId="0" applyNumberFormat="1" applyBorder="1" applyAlignment="1" applyProtection="1">
      <alignment horizontal="center" vertical="center"/>
      <protection locked="0"/>
    </xf>
    <xf numFmtId="197" fontId="0" fillId="0" borderId="1" xfId="0" applyNumberFormat="1" applyBorder="1" applyAlignment="1" applyProtection="1">
      <alignment horizontal="center" vertical="center"/>
      <protection locked="0"/>
    </xf>
    <xf numFmtId="0" fontId="103" fillId="7" borderId="0" xfId="0" applyFont="1" applyFill="1" applyProtection="1">
      <alignment vertical="center"/>
      <protection locked="0"/>
    </xf>
    <xf numFmtId="0" fontId="0" fillId="0" borderId="1" xfId="0" applyBorder="1" applyAlignment="1" applyProtection="1">
      <alignment vertical="center"/>
      <protection locked="0"/>
    </xf>
    <xf numFmtId="0" fontId="0" fillId="0" borderId="1" xfId="0" applyNumberFormat="1" applyFont="1" applyBorder="1" applyAlignment="1" applyProtection="1">
      <alignment horizontal="center" vertical="center"/>
      <protection locked="0"/>
    </xf>
    <xf numFmtId="176" fontId="0" fillId="0" borderId="1" xfId="0" applyNumberFormat="1" applyBorder="1" applyAlignment="1" applyProtection="1">
      <alignment horizontal="left" vertical="center"/>
      <protection locked="0"/>
    </xf>
    <xf numFmtId="176" fontId="0"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197" fontId="0" fillId="0" borderId="0" xfId="0" applyNumberFormat="1" applyFont="1" applyAlignment="1" applyProtection="1">
      <alignment horizontal="right" vertical="center"/>
      <protection locked="0"/>
    </xf>
    <xf numFmtId="176" fontId="100" fillId="0" borderId="1" xfId="0" applyNumberFormat="1" applyFont="1" applyBorder="1" applyAlignment="1" applyProtection="1">
      <alignment horizontal="center" vertical="center"/>
      <protection locked="0"/>
    </xf>
    <xf numFmtId="198" fontId="0" fillId="0" borderId="1" xfId="0" applyNumberFormat="1" applyBorder="1" applyAlignment="1" applyProtection="1">
      <protection locked="0"/>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5" xfId="0" applyBorder="1" applyAlignment="1" applyProtection="1">
      <alignment vertical="center"/>
      <protection locked="0"/>
    </xf>
    <xf numFmtId="197" fontId="0" fillId="0" borderId="1" xfId="0" applyNumberFormat="1" applyFont="1" applyBorder="1" applyAlignment="1" applyProtection="1">
      <alignment horizontal="right" vertical="center"/>
      <protection locked="0"/>
    </xf>
    <xf numFmtId="176" fontId="263" fillId="0" borderId="1" xfId="0" applyNumberFormat="1" applyFont="1" applyBorder="1" applyAlignment="1" applyProtection="1">
      <alignment horizontal="center" vertical="center"/>
      <protection locked="0"/>
    </xf>
    <xf numFmtId="176" fontId="0" fillId="0" borderId="1" xfId="0" applyNumberFormat="1" applyBorder="1" applyAlignment="1" applyProtection="1">
      <alignment horizontal="center" vertical="center"/>
      <protection locked="0"/>
    </xf>
    <xf numFmtId="198" fontId="105" fillId="0" borderId="23" xfId="0" applyNumberFormat="1" applyFont="1" applyFill="1" applyBorder="1" applyProtection="1">
      <alignment vertical="center"/>
      <protection locked="0"/>
    </xf>
    <xf numFmtId="0" fontId="100" fillId="0" borderId="1" xfId="0" applyFont="1" applyBorder="1">
      <alignment vertical="center"/>
    </xf>
    <xf numFmtId="9" fontId="51" fillId="7" borderId="0" xfId="17" applyFont="1" applyFill="1" applyProtection="1">
      <alignment vertical="center"/>
      <protection locked="0"/>
    </xf>
    <xf numFmtId="0" fontId="100" fillId="0" borderId="1" xfId="0" applyFont="1" applyBorder="1" applyAlignment="1">
      <alignment vertical="center" wrapText="1"/>
    </xf>
    <xf numFmtId="0" fontId="257" fillId="0" borderId="82" xfId="0" applyFont="1" applyBorder="1" applyAlignment="1">
      <alignment horizontal="right" vertical="center" wrapText="1"/>
    </xf>
    <xf numFmtId="0" fontId="257" fillId="0" borderId="65" xfId="0" applyFont="1" applyBorder="1" applyAlignment="1">
      <alignment horizontal="right" vertical="center" wrapText="1"/>
    </xf>
    <xf numFmtId="0" fontId="257" fillId="0" borderId="81" xfId="0" applyFont="1" applyBorder="1" applyAlignment="1">
      <alignment horizontal="right" vertical="center" wrapText="1"/>
    </xf>
    <xf numFmtId="0" fontId="257" fillId="0" borderId="65" xfId="0" applyFont="1" applyBorder="1" applyAlignment="1">
      <alignment horizontal="center" vertical="center" wrapText="1"/>
    </xf>
    <xf numFmtId="0" fontId="256" fillId="0" borderId="65" xfId="0" applyFont="1" applyBorder="1" applyAlignment="1">
      <alignment horizontal="center" vertical="center" wrapText="1"/>
    </xf>
    <xf numFmtId="2" fontId="0" fillId="0" borderId="1" xfId="0" applyNumberFormat="1" applyBorder="1">
      <alignment vertical="center"/>
    </xf>
    <xf numFmtId="0" fontId="0" fillId="0" borderId="1" xfId="0" applyBorder="1">
      <alignment vertical="center"/>
    </xf>
    <xf numFmtId="199" fontId="100" fillId="0" borderId="1" xfId="10" applyNumberFormat="1" applyFont="1" applyBorder="1">
      <alignment vertical="center"/>
    </xf>
    <xf numFmtId="0" fontId="172" fillId="6" borderId="13" xfId="12" applyFont="1" applyFill="1" applyBorder="1" applyAlignment="1" applyProtection="1">
      <alignment horizontal="center" vertical="center" wrapText="1"/>
    </xf>
    <xf numFmtId="0" fontId="172" fillId="6" borderId="13" xfId="12" applyFont="1" applyFill="1" applyBorder="1" applyAlignment="1" applyProtection="1">
      <alignment horizontal="center" vertical="center" wrapText="1"/>
      <protection locked="0"/>
    </xf>
    <xf numFmtId="0" fontId="265" fillId="0" borderId="159" xfId="0" applyFont="1" applyBorder="1" applyAlignment="1">
      <alignment horizontal="justify" vertical="center" wrapText="1"/>
    </xf>
    <xf numFmtId="0" fontId="264" fillId="0" borderId="159" xfId="0" applyFont="1" applyBorder="1" applyAlignment="1">
      <alignment horizontal="justify" vertical="center" wrapText="1"/>
    </xf>
    <xf numFmtId="0" fontId="264" fillId="0" borderId="159" xfId="0" applyFont="1" applyBorder="1" applyAlignment="1">
      <alignment horizontal="justify" vertical="center"/>
    </xf>
    <xf numFmtId="0" fontId="264" fillId="0" borderId="158" xfId="0" applyFont="1" applyBorder="1" applyAlignment="1">
      <alignment horizontal="justify" vertical="center"/>
    </xf>
    <xf numFmtId="0" fontId="265" fillId="0" borderId="158" xfId="0" applyFont="1" applyBorder="1" applyAlignment="1">
      <alignment horizontal="justify" vertical="center"/>
    </xf>
    <xf numFmtId="0" fontId="264" fillId="0" borderId="160" xfId="0" applyFont="1" applyBorder="1" applyAlignment="1">
      <alignment vertical="center" wrapText="1"/>
    </xf>
    <xf numFmtId="0" fontId="265" fillId="0" borderId="161" xfId="0" applyFont="1" applyBorder="1" applyAlignment="1">
      <alignment horizontal="justify" vertical="center" wrapText="1"/>
    </xf>
    <xf numFmtId="0" fontId="264" fillId="0" borderId="161" xfId="0" applyFont="1" applyBorder="1" applyAlignment="1">
      <alignment horizontal="justify" vertical="center" wrapText="1"/>
    </xf>
    <xf numFmtId="0" fontId="265" fillId="0" borderId="159" xfId="0" applyFont="1" applyBorder="1" applyAlignment="1">
      <alignment vertical="center" wrapText="1"/>
    </xf>
    <xf numFmtId="0" fontId="264" fillId="0" borderId="159" xfId="0" applyFont="1" applyBorder="1" applyAlignment="1">
      <alignment vertical="center" wrapText="1"/>
    </xf>
    <xf numFmtId="0" fontId="264" fillId="0" borderId="160" xfId="0" applyFont="1" applyBorder="1" applyAlignment="1">
      <alignment horizontal="justify" vertical="center" wrapText="1"/>
    </xf>
    <xf numFmtId="0" fontId="264" fillId="0" borderId="172" xfId="0" applyFont="1" applyBorder="1" applyAlignment="1">
      <alignment horizontal="justify" vertical="center" wrapText="1"/>
    </xf>
    <xf numFmtId="0" fontId="264" fillId="0" borderId="157" xfId="0" applyFont="1" applyBorder="1" applyAlignment="1">
      <alignment horizontal="justify" vertical="center" wrapText="1"/>
    </xf>
    <xf numFmtId="0" fontId="0" fillId="0" borderId="0" xfId="0" applyAlignment="1">
      <alignment horizontal="center" vertical="center"/>
    </xf>
    <xf numFmtId="0" fontId="123" fillId="0" borderId="0" xfId="0" applyFont="1" applyAlignment="1">
      <alignment horizontal="center" vertical="center"/>
    </xf>
    <xf numFmtId="0" fontId="123" fillId="0" borderId="1" xfId="0" applyFont="1" applyBorder="1" applyAlignment="1">
      <alignment horizontal="center" vertical="center" wrapText="1"/>
    </xf>
    <xf numFmtId="0" fontId="270" fillId="0" borderId="1" xfId="0" applyFont="1" applyBorder="1" applyAlignment="1">
      <alignment horizontal="center" vertical="center" wrapText="1"/>
    </xf>
    <xf numFmtId="0" fontId="271" fillId="0" borderId="1" xfId="0" applyFont="1" applyBorder="1" applyAlignment="1">
      <alignment horizontal="center" vertical="center" wrapText="1"/>
    </xf>
    <xf numFmtId="0" fontId="0" fillId="0" borderId="1" xfId="0" applyBorder="1" applyAlignment="1">
      <alignment horizontal="center" vertical="center"/>
    </xf>
    <xf numFmtId="0" fontId="271" fillId="0" borderId="1" xfId="0" applyFont="1" applyBorder="1" applyAlignment="1">
      <alignment horizontal="center" vertical="center"/>
    </xf>
    <xf numFmtId="0" fontId="272" fillId="0" borderId="1" xfId="0" applyFont="1" applyBorder="1" applyAlignment="1">
      <alignment horizontal="center" vertical="center"/>
    </xf>
    <xf numFmtId="0" fontId="265" fillId="0" borderId="158" xfId="0" applyFont="1" applyBorder="1" applyAlignment="1">
      <alignment vertical="center" wrapText="1"/>
    </xf>
    <xf numFmtId="0" fontId="273" fillId="0" borderId="82" xfId="0" applyFont="1" applyBorder="1" applyAlignment="1">
      <alignment horizontal="justify" vertical="center"/>
    </xf>
    <xf numFmtId="0" fontId="176" fillId="0" borderId="81" xfId="0" applyFont="1" applyBorder="1" applyAlignment="1">
      <alignment horizontal="justify" vertical="center"/>
    </xf>
    <xf numFmtId="0" fontId="273" fillId="0" borderId="43" xfId="0" applyFont="1" applyBorder="1" applyAlignment="1">
      <alignment horizontal="justify" vertical="center"/>
    </xf>
    <xf numFmtId="0" fontId="176" fillId="0" borderId="43" xfId="0" applyFont="1" applyBorder="1" applyAlignment="1">
      <alignment horizontal="justify" vertical="center"/>
    </xf>
    <xf numFmtId="0" fontId="273" fillId="0" borderId="65" xfId="0" applyFont="1" applyBorder="1" applyAlignment="1">
      <alignment horizontal="justify"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06" fillId="0" borderId="0" xfId="0" applyFont="1" applyAlignment="1">
      <alignment horizontal="center" vertical="center"/>
    </xf>
    <xf numFmtId="0" fontId="269" fillId="0" borderId="0" xfId="0" applyFont="1" applyAlignment="1">
      <alignment horizontal="center" vertical="center"/>
    </xf>
    <xf numFmtId="0" fontId="257" fillId="0" borderId="0" xfId="0" applyFont="1" applyBorder="1" applyAlignment="1">
      <alignment horizontal="center" vertical="center" wrapText="1"/>
    </xf>
    <xf numFmtId="0" fontId="256" fillId="0" borderId="27" xfId="0" applyFont="1" applyBorder="1" applyAlignment="1">
      <alignment horizontal="center" vertical="center" wrapText="1"/>
    </xf>
    <xf numFmtId="0" fontId="256" fillId="0" borderId="81" xfId="0" applyFont="1" applyBorder="1" applyAlignment="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68" fillId="0" borderId="0" xfId="0" applyFont="1" applyAlignment="1" applyProtection="1">
      <alignment horizontal="center"/>
      <protection locked="0"/>
    </xf>
    <xf numFmtId="0" fontId="0" fillId="0" borderId="1" xfId="0" applyBorder="1" applyAlignment="1" applyProtection="1">
      <alignment horizontal="center" vertical="center"/>
      <protection locked="0"/>
    </xf>
    <xf numFmtId="176" fontId="68" fillId="0" borderId="0" xfId="0" applyNumberFormat="1" applyFont="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265" fillId="0" borderId="169" xfId="0" applyFont="1" applyBorder="1" applyAlignment="1">
      <alignment vertical="center" wrapText="1"/>
    </xf>
    <xf numFmtId="0" fontId="265" fillId="0" borderId="170" xfId="0" applyFont="1" applyBorder="1" applyAlignment="1">
      <alignment vertical="center" wrapText="1"/>
    </xf>
    <xf numFmtId="0" fontId="265" fillId="0" borderId="171" xfId="0" applyFont="1" applyBorder="1" applyAlignment="1">
      <alignment vertical="center" wrapText="1"/>
    </xf>
    <xf numFmtId="0" fontId="266" fillId="0" borderId="169" xfId="0" applyFont="1" applyBorder="1" applyAlignment="1">
      <alignment vertical="center" wrapText="1"/>
    </xf>
    <xf numFmtId="0" fontId="266" fillId="0" borderId="170" xfId="0" applyFont="1" applyBorder="1" applyAlignment="1">
      <alignment vertical="center" wrapText="1"/>
    </xf>
    <xf numFmtId="0" fontId="266" fillId="0" borderId="171" xfId="0" applyFont="1" applyBorder="1" applyAlignment="1">
      <alignment vertical="center" wrapText="1"/>
    </xf>
    <xf numFmtId="0" fontId="267" fillId="0" borderId="169" xfId="0" applyFont="1" applyBorder="1" applyAlignment="1">
      <alignment vertical="center" wrapText="1"/>
    </xf>
    <xf numFmtId="0" fontId="267" fillId="0" borderId="170" xfId="0" applyFont="1" applyBorder="1" applyAlignment="1">
      <alignment vertical="center" wrapText="1"/>
    </xf>
    <xf numFmtId="0" fontId="267" fillId="0" borderId="171" xfId="0" applyFont="1" applyBorder="1" applyAlignment="1">
      <alignment vertical="center" wrapText="1"/>
    </xf>
    <xf numFmtId="0" fontId="264" fillId="0" borderId="167" xfId="0" applyFont="1" applyBorder="1" applyAlignment="1">
      <alignment horizontal="justify" vertical="center"/>
    </xf>
    <xf numFmtId="0" fontId="264" fillId="0" borderId="158" xfId="0" applyFont="1" applyBorder="1" applyAlignment="1">
      <alignment horizontal="justify" vertical="center"/>
    </xf>
    <xf numFmtId="0" fontId="265" fillId="0" borderId="168" xfId="0" applyFont="1" applyBorder="1" applyAlignment="1">
      <alignment vertical="center" wrapText="1"/>
    </xf>
    <xf numFmtId="0" fontId="265" fillId="0" borderId="157" xfId="0" applyFont="1" applyBorder="1" applyAlignment="1">
      <alignment vertical="center" wrapText="1"/>
    </xf>
    <xf numFmtId="0" fontId="265" fillId="0" borderId="166" xfId="0" applyFont="1" applyBorder="1" applyAlignment="1">
      <alignment vertical="center" wrapText="1"/>
    </xf>
    <xf numFmtId="0" fontId="265" fillId="0" borderId="158" xfId="0" applyFont="1" applyBorder="1" applyAlignment="1">
      <alignment vertical="center" wrapText="1"/>
    </xf>
    <xf numFmtId="0" fontId="265" fillId="0" borderId="166" xfId="0" applyFont="1" applyBorder="1" applyAlignment="1">
      <alignment horizontal="justify" vertical="center"/>
    </xf>
    <xf numFmtId="0" fontId="265" fillId="0" borderId="158" xfId="0" applyFont="1" applyBorder="1" applyAlignment="1">
      <alignment horizontal="justify" vertical="center"/>
    </xf>
    <xf numFmtId="0" fontId="264" fillId="0" borderId="162" xfId="0" applyFont="1" applyBorder="1" applyAlignment="1">
      <alignment horizontal="right" vertical="center"/>
    </xf>
    <xf numFmtId="0" fontId="264" fillId="0" borderId="163" xfId="0" applyFont="1" applyBorder="1" applyAlignment="1">
      <alignment horizontal="right" vertical="center"/>
    </xf>
    <xf numFmtId="0" fontId="265" fillId="0" borderId="164" xfId="0" applyFont="1" applyBorder="1" applyAlignment="1">
      <alignment horizontal="justify" vertical="center"/>
    </xf>
    <xf numFmtId="0" fontId="265" fillId="0" borderId="165" xfId="0" applyFont="1" applyBorder="1" applyAlignment="1">
      <alignment horizontal="justify" vertical="center"/>
    </xf>
    <xf numFmtId="0" fontId="265" fillId="0" borderId="166" xfId="0" applyFont="1" applyBorder="1" applyAlignment="1">
      <alignment horizontal="justify" vertical="center" wrapText="1"/>
    </xf>
    <xf numFmtId="0" fontId="265" fillId="0" borderId="158" xfId="0" applyFont="1" applyBorder="1" applyAlignment="1">
      <alignment horizontal="justify"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7" xfId="0" applyFont="1" applyFill="1" applyBorder="1" applyAlignment="1" applyProtection="1">
      <alignment horizontal="center" vertical="center" wrapText="1"/>
      <protection locked="0"/>
    </xf>
    <xf numFmtId="0" fontId="179" fillId="0" borderId="48" xfId="0" applyFont="1" applyFill="1" applyBorder="1" applyAlignment="1" applyProtection="1">
      <alignment horizontal="center" vertical="center" wrapText="1"/>
      <protection locked="0"/>
    </xf>
    <xf numFmtId="0" fontId="179" fillId="0" borderId="38" xfId="0" applyFont="1" applyFill="1" applyBorder="1" applyAlignment="1" applyProtection="1">
      <alignment horizontal="center" vertical="center" wrapText="1"/>
      <protection locked="0"/>
    </xf>
    <xf numFmtId="0" fontId="179" fillId="0" borderId="68" xfId="0" applyFont="1" applyFill="1" applyBorder="1" applyAlignment="1" applyProtection="1">
      <alignment horizontal="center" vertical="center" wrapText="1"/>
      <protection locked="0"/>
    </xf>
    <xf numFmtId="0" fontId="226" fillId="0" borderId="38"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73" fillId="0" borderId="65" xfId="0" applyFont="1" applyBorder="1" applyAlignment="1">
      <alignment horizontal="justify" vertical="center" wrapText="1"/>
    </xf>
    <xf numFmtId="0" fontId="176" fillId="0" borderId="43" xfId="0" applyFont="1" applyBorder="1" applyAlignment="1">
      <alignment horizontal="justify" vertical="center" wrapText="1"/>
    </xf>
    <xf numFmtId="0" fontId="275" fillId="0" borderId="43" xfId="0" applyFont="1" applyBorder="1" applyAlignment="1">
      <alignment horizontal="justify" vertical="center"/>
    </xf>
    <xf numFmtId="0" fontId="274" fillId="0" borderId="43" xfId="0" applyFont="1" applyBorder="1" applyAlignment="1">
      <alignment horizontal="justify" vertical="center" wrapText="1"/>
    </xf>
    <xf numFmtId="0" fontId="274" fillId="0" borderId="63" xfId="0" applyFont="1" applyBorder="1" applyAlignment="1">
      <alignment horizontal="justify" vertical="center"/>
    </xf>
    <xf numFmtId="0" fontId="274" fillId="0" borderId="64" xfId="0" applyFont="1" applyBorder="1" applyAlignment="1">
      <alignment horizontal="justify" vertical="center"/>
    </xf>
    <xf numFmtId="0" fontId="274" fillId="0" borderId="65" xfId="0" applyFont="1" applyBorder="1" applyAlignment="1">
      <alignment horizontal="justify" vertical="center"/>
    </xf>
    <xf numFmtId="0" fontId="273" fillId="0" borderId="0" xfId="0" applyFont="1" applyFill="1" applyBorder="1" applyAlignment="1">
      <alignment horizontal="justify" vertical="center"/>
    </xf>
    <xf numFmtId="186" fontId="156" fillId="6" borderId="28" xfId="0" applyNumberFormat="1" applyFont="1" applyFill="1" applyBorder="1" applyAlignment="1" applyProtection="1">
      <alignment horizontal="center"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361476</xdr:colOff>
      <xdr:row>35</xdr:row>
      <xdr:rowOff>161155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90476" cy="61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141638</xdr:colOff>
      <xdr:row>8</xdr:row>
      <xdr:rowOff>119840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0"/>
          <a:ext cx="9895238" cy="1400000"/>
        </a:xfrm>
        <a:prstGeom prst="rect">
          <a:avLst/>
        </a:prstGeom>
      </xdr:spPr>
    </xdr:pic>
    <xdr:clientData/>
  </xdr:twoCellAnchor>
  <xdr:twoCellAnchor editAs="oneCell">
    <xdr:from>
      <xdr:col>0</xdr:col>
      <xdr:colOff>0</xdr:colOff>
      <xdr:row>9</xdr:row>
      <xdr:rowOff>0</xdr:rowOff>
    </xdr:from>
    <xdr:to>
      <xdr:col>16</xdr:col>
      <xdr:colOff>274971</xdr:colOff>
      <xdr:row>15</xdr:row>
      <xdr:rowOff>169387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45920"/>
          <a:ext cx="10028571" cy="1266667"/>
        </a:xfrm>
        <a:prstGeom prst="rect">
          <a:avLst/>
        </a:prstGeom>
      </xdr:spPr>
    </xdr:pic>
    <xdr:clientData/>
  </xdr:twoCellAnchor>
  <xdr:twoCellAnchor editAs="oneCell">
    <xdr:from>
      <xdr:col>0</xdr:col>
      <xdr:colOff>0</xdr:colOff>
      <xdr:row>16</xdr:row>
      <xdr:rowOff>0</xdr:rowOff>
    </xdr:from>
    <xdr:to>
      <xdr:col>16</xdr:col>
      <xdr:colOff>265448</xdr:colOff>
      <xdr:row>23</xdr:row>
      <xdr:rowOff>81745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26080"/>
          <a:ext cx="10019048" cy="1361905"/>
        </a:xfrm>
        <a:prstGeom prst="rect">
          <a:avLst/>
        </a:prstGeom>
      </xdr:spPr>
    </xdr:pic>
    <xdr:clientData/>
  </xdr:twoCellAnchor>
  <xdr:twoCellAnchor editAs="oneCell">
    <xdr:from>
      <xdr:col>0</xdr:col>
      <xdr:colOff>0</xdr:colOff>
      <xdr:row>24</xdr:row>
      <xdr:rowOff>0</xdr:rowOff>
    </xdr:from>
    <xdr:to>
      <xdr:col>13</xdr:col>
      <xdr:colOff>513295</xdr:colOff>
      <xdr:row>61</xdr:row>
      <xdr:rowOff>23916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389120"/>
          <a:ext cx="8438095" cy="6790476"/>
        </a:xfrm>
        <a:prstGeom prst="rect">
          <a:avLst/>
        </a:prstGeom>
      </xdr:spPr>
    </xdr:pic>
    <xdr:clientData/>
  </xdr:twoCellAnchor>
  <xdr:twoCellAnchor editAs="oneCell">
    <xdr:from>
      <xdr:col>17</xdr:col>
      <xdr:colOff>0</xdr:colOff>
      <xdr:row>1</xdr:row>
      <xdr:rowOff>0</xdr:rowOff>
    </xdr:from>
    <xdr:to>
      <xdr:col>33</xdr:col>
      <xdr:colOff>141638</xdr:colOff>
      <xdr:row>8</xdr:row>
      <xdr:rowOff>114124</xdr:rowOff>
    </xdr:to>
    <xdr:pic>
      <xdr:nvPicPr>
        <xdr:cNvPr id="6" name="图片 5"/>
        <xdr:cNvPicPr>
          <a:picLocks noChangeAspect="1"/>
        </xdr:cNvPicPr>
      </xdr:nvPicPr>
      <xdr:blipFill>
        <a:blip xmlns:r="http://schemas.openxmlformats.org/officeDocument/2006/relationships" r:embed="rId5"/>
        <a:stretch>
          <a:fillRect/>
        </a:stretch>
      </xdr:blipFill>
      <xdr:spPr>
        <a:xfrm>
          <a:off x="10363200" y="185057"/>
          <a:ext cx="9895238" cy="1409524"/>
        </a:xfrm>
        <a:prstGeom prst="rect">
          <a:avLst/>
        </a:prstGeom>
      </xdr:spPr>
    </xdr:pic>
    <xdr:clientData/>
  </xdr:twoCellAnchor>
  <xdr:twoCellAnchor editAs="oneCell">
    <xdr:from>
      <xdr:col>17</xdr:col>
      <xdr:colOff>0</xdr:colOff>
      <xdr:row>9</xdr:row>
      <xdr:rowOff>0</xdr:rowOff>
    </xdr:from>
    <xdr:to>
      <xdr:col>33</xdr:col>
      <xdr:colOff>294019</xdr:colOff>
      <xdr:row>16</xdr:row>
      <xdr:rowOff>47457</xdr:rowOff>
    </xdr:to>
    <xdr:pic>
      <xdr:nvPicPr>
        <xdr:cNvPr id="7" name="图片 6"/>
        <xdr:cNvPicPr>
          <a:picLocks noChangeAspect="1"/>
        </xdr:cNvPicPr>
      </xdr:nvPicPr>
      <xdr:blipFill>
        <a:blip xmlns:r="http://schemas.openxmlformats.org/officeDocument/2006/relationships" r:embed="rId6"/>
        <a:stretch>
          <a:fillRect/>
        </a:stretch>
      </xdr:blipFill>
      <xdr:spPr>
        <a:xfrm>
          <a:off x="10363200" y="1665514"/>
          <a:ext cx="10047619" cy="1342857"/>
        </a:xfrm>
        <a:prstGeom prst="rect">
          <a:avLst/>
        </a:prstGeom>
      </xdr:spPr>
    </xdr:pic>
    <xdr:clientData/>
  </xdr:twoCellAnchor>
  <xdr:twoCellAnchor editAs="oneCell">
    <xdr:from>
      <xdr:col>17</xdr:col>
      <xdr:colOff>0</xdr:colOff>
      <xdr:row>17</xdr:row>
      <xdr:rowOff>0</xdr:rowOff>
    </xdr:from>
    <xdr:to>
      <xdr:col>34</xdr:col>
      <xdr:colOff>103467</xdr:colOff>
      <xdr:row>24</xdr:row>
      <xdr:rowOff>95076</xdr:rowOff>
    </xdr:to>
    <xdr:pic>
      <xdr:nvPicPr>
        <xdr:cNvPr id="8" name="图片 7"/>
        <xdr:cNvPicPr>
          <a:picLocks noChangeAspect="1"/>
        </xdr:cNvPicPr>
      </xdr:nvPicPr>
      <xdr:blipFill>
        <a:blip xmlns:r="http://schemas.openxmlformats.org/officeDocument/2006/relationships" r:embed="rId7"/>
        <a:stretch>
          <a:fillRect/>
        </a:stretch>
      </xdr:blipFill>
      <xdr:spPr>
        <a:xfrm>
          <a:off x="10363200" y="3145971"/>
          <a:ext cx="10466667" cy="1390476"/>
        </a:xfrm>
        <a:prstGeom prst="rect">
          <a:avLst/>
        </a:prstGeom>
      </xdr:spPr>
    </xdr:pic>
    <xdr:clientData/>
  </xdr:twoCellAnchor>
  <xdr:twoCellAnchor editAs="oneCell">
    <xdr:from>
      <xdr:col>18</xdr:col>
      <xdr:colOff>0</xdr:colOff>
      <xdr:row>25</xdr:row>
      <xdr:rowOff>0</xdr:rowOff>
    </xdr:from>
    <xdr:to>
      <xdr:col>32</xdr:col>
      <xdr:colOff>160838</xdr:colOff>
      <xdr:row>60</xdr:row>
      <xdr:rowOff>94429</xdr:rowOff>
    </xdr:to>
    <xdr:pic>
      <xdr:nvPicPr>
        <xdr:cNvPr id="9" name="图片 8"/>
        <xdr:cNvPicPr>
          <a:picLocks noChangeAspect="1"/>
        </xdr:cNvPicPr>
      </xdr:nvPicPr>
      <xdr:blipFill>
        <a:blip xmlns:r="http://schemas.openxmlformats.org/officeDocument/2006/relationships" r:embed="rId8"/>
        <a:stretch>
          <a:fillRect/>
        </a:stretch>
      </xdr:blipFill>
      <xdr:spPr>
        <a:xfrm>
          <a:off x="10972800" y="4626429"/>
          <a:ext cx="8695238" cy="6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911;&#24503;&#26234;/&#19968;&#37096;&#39033;&#30446;/&#19994;&#21153;&#19977;&#32452;/2018-1-0416&#27827;&#21335;&#30465;&#37073;&#24030;&#24066;&#37329;&#27700;&#21306;&#32418;&#26071;&#36335;&#21271;&#12289;&#32463;&#19971;&#36335;&#19996;&#24658;&#31077;&#30334;&#24742;&#22478;/P03/&#24658;&#31077;&#30334;&#24742;&#22478;&#29420;&#31435;&#21830;&#19994;&#65288;&#21487;&#25269;&#2527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30&#24658;&#31077;&#30334;&#24742;&#22478;&#38598;&#20013;&#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24180;&#24658;&#31077;&#23454;&#19994;&#26032;&#24314;&#25991;&#20214;&#22841;/2017&#24037;&#31243;&#27454;&#20184;&#27454;&#21488;&#36134;/&#24658;&#31077;&#23454;&#19994;&#24320;&#21457;&#39033;&#30446;&#21488;&#36134;2017&#24180;1&#26376;/&#24658;&#31077;&#23454;&#19994;&#24320;&#21457;&#39033;&#30446;&#21488;&#24080;2017&#24180;1&#263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面积"/>
      <sheetName val="抵押物清单"/>
      <sheetName val="可售面积表"/>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商业租金"/>
      <sheetName val="优先受偿"/>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17">
          <cell r="A17">
            <v>0</v>
          </cell>
        </row>
        <row r="18">
          <cell r="A18">
            <v>0</v>
          </cell>
        </row>
        <row r="19">
          <cell r="A19">
            <v>0</v>
          </cell>
        </row>
        <row r="20">
          <cell r="A20">
            <v>0</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sheetData sheetId="17">
        <row r="17">
          <cell r="C17" t="str">
            <v>项目类型</v>
          </cell>
        </row>
        <row r="18">
          <cell r="C18">
            <v>0</v>
          </cell>
        </row>
        <row r="19">
          <cell r="C19" t="str">
            <v>独立商业</v>
          </cell>
        </row>
        <row r="20">
          <cell r="C20">
            <v>0</v>
          </cell>
        </row>
        <row r="21">
          <cell r="C21">
            <v>0</v>
          </cell>
        </row>
        <row r="22">
          <cell r="C22">
            <v>0</v>
          </cell>
        </row>
        <row r="23">
          <cell r="C23">
            <v>0</v>
          </cell>
        </row>
        <row r="24">
          <cell r="C24">
            <v>0</v>
          </cell>
        </row>
        <row r="25">
          <cell r="C25">
            <v>0</v>
          </cell>
        </row>
        <row r="26">
          <cell r="C26">
            <v>0</v>
          </cell>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sheetData sheetId="20"/>
      <sheetData sheetId="21"/>
      <sheetData sheetId="22"/>
      <sheetData sheetId="23"/>
      <sheetData sheetId="24">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t="str">
            <v>商业</v>
          </cell>
          <cell r="D75">
            <v>0</v>
          </cell>
          <cell r="E75">
            <v>0</v>
          </cell>
          <cell r="F75">
            <v>0</v>
          </cell>
          <cell r="G75">
            <v>0</v>
          </cell>
          <cell r="H75">
            <v>0</v>
          </cell>
          <cell r="I75">
            <v>0</v>
          </cell>
          <cell r="J75">
            <v>0</v>
          </cell>
          <cell r="K75">
            <v>0</v>
          </cell>
          <cell r="L75">
            <v>0</v>
          </cell>
          <cell r="M75">
            <v>0</v>
          </cell>
        </row>
        <row r="106">
          <cell r="B106" t="str">
            <v>毗邻道路的类型与等级</v>
          </cell>
          <cell r="C106" t="str">
            <v>高速路</v>
          </cell>
          <cell r="D106" t="str">
            <v>快速路</v>
          </cell>
          <cell r="E106" t="str">
            <v>主干道</v>
          </cell>
          <cell r="F106" t="str">
            <v>次干道</v>
          </cell>
          <cell r="G106" t="str">
            <v>支路</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t="str">
            <v>规则</v>
          </cell>
          <cell r="D119" t="str">
            <v>较规则</v>
          </cell>
          <cell r="E119" t="str">
            <v>较不规则</v>
          </cell>
          <cell r="F119" t="str">
            <v>不规则</v>
          </cell>
          <cell r="G119">
            <v>0</v>
          </cell>
          <cell r="H119">
            <v>0</v>
          </cell>
          <cell r="I119">
            <v>0</v>
          </cell>
          <cell r="J119">
            <v>0</v>
          </cell>
          <cell r="K119">
            <v>0</v>
          </cell>
          <cell r="L119">
            <v>0</v>
          </cell>
          <cell r="M119">
            <v>0</v>
          </cell>
        </row>
        <row r="121">
          <cell r="B121" t="str">
            <v>临街宽度及深度</v>
          </cell>
          <cell r="C121" t="str">
            <v>比例适宜</v>
          </cell>
          <cell r="D121" t="str">
            <v>比例较适宜</v>
          </cell>
          <cell r="E121" t="str">
            <v>比例较不适宜</v>
          </cell>
          <cell r="F121" t="str">
            <v>比例不适宜</v>
          </cell>
          <cell r="G121">
            <v>0</v>
          </cell>
          <cell r="H121">
            <v>0</v>
          </cell>
          <cell r="I121">
            <v>0</v>
          </cell>
          <cell r="J121">
            <v>0</v>
          </cell>
          <cell r="K121">
            <v>0</v>
          </cell>
          <cell r="L121">
            <v>0</v>
          </cell>
          <cell r="M121">
            <v>0</v>
          </cell>
        </row>
        <row r="123">
          <cell r="B123" t="str">
            <v>宗地开发程度</v>
          </cell>
          <cell r="C123" t="str">
            <v>七通一平</v>
          </cell>
          <cell r="D123" t="str">
            <v>六通一平</v>
          </cell>
          <cell r="E123" t="str">
            <v>五通一平</v>
          </cell>
          <cell r="F123" t="str">
            <v>四通一平</v>
          </cell>
          <cell r="G123" t="str">
            <v>三通一平</v>
          </cell>
          <cell r="H123">
            <v>0</v>
          </cell>
          <cell r="I123">
            <v>0</v>
          </cell>
          <cell r="J123">
            <v>0</v>
          </cell>
          <cell r="K123">
            <v>0</v>
          </cell>
          <cell r="L123">
            <v>0</v>
          </cell>
          <cell r="M123">
            <v>0</v>
          </cell>
        </row>
        <row r="125">
          <cell r="B125" t="str">
            <v>工程地质条件</v>
          </cell>
          <cell r="C125" t="str">
            <v>好</v>
          </cell>
          <cell r="D125" t="str">
            <v>较好</v>
          </cell>
          <cell r="E125" t="str">
            <v>一般</v>
          </cell>
          <cell r="F125" t="str">
            <v>较差</v>
          </cell>
          <cell r="G125" t="str">
            <v>差</v>
          </cell>
          <cell r="H125">
            <v>0</v>
          </cell>
          <cell r="I125">
            <v>0</v>
          </cell>
          <cell r="J125">
            <v>0</v>
          </cell>
          <cell r="K125">
            <v>0</v>
          </cell>
          <cell r="L125">
            <v>0</v>
          </cell>
          <cell r="M125">
            <v>0</v>
          </cell>
        </row>
      </sheetData>
      <sheetData sheetId="25"/>
      <sheetData sheetId="26"/>
      <sheetData sheetId="27"/>
      <sheetData sheetId="28"/>
      <sheetData sheetId="29"/>
      <sheetData sheetId="3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2">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3">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4">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5">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6">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sheetData sheetId="42">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优先受偿"/>
      <sheetName val="成本计算"/>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6">
          <cell r="P16">
            <v>17507.23</v>
          </cell>
        </row>
      </sheetData>
      <sheetData sheetId="13"/>
      <sheetData sheetId="14">
        <row r="27">
          <cell r="F27">
            <v>70205.22</v>
          </cell>
        </row>
      </sheetData>
      <sheetData sheetId="15"/>
      <sheetData sheetId="16"/>
      <sheetData sheetId="17">
        <row r="14">
          <cell r="B14">
            <v>70205.22</v>
          </cell>
          <cell r="C14">
            <v>12102.99</v>
          </cell>
          <cell r="D14">
            <v>90071</v>
          </cell>
          <cell r="G14">
            <v>77946</v>
          </cell>
        </row>
      </sheetData>
      <sheetData sheetId="18">
        <row r="25">
          <cell r="G25">
            <v>71838</v>
          </cell>
        </row>
        <row r="101">
          <cell r="H101">
            <v>90071</v>
          </cell>
        </row>
        <row r="102">
          <cell r="H102">
            <v>12830</v>
          </cell>
        </row>
        <row r="103">
          <cell r="H103">
            <v>12125</v>
          </cell>
        </row>
        <row r="105">
          <cell r="H105">
            <v>4975</v>
          </cell>
        </row>
        <row r="106">
          <cell r="H106">
            <v>7150</v>
          </cell>
        </row>
        <row r="107">
          <cell r="H107">
            <v>77946</v>
          </cell>
        </row>
        <row r="108">
          <cell r="H108">
            <v>11103</v>
          </cell>
        </row>
      </sheetData>
      <sheetData sheetId="19">
        <row r="10">
          <cell r="B10">
            <v>4975</v>
          </cell>
        </row>
        <row r="11">
          <cell r="B11">
            <v>2837</v>
          </cell>
        </row>
        <row r="12">
          <cell r="B12">
            <v>2699</v>
          </cell>
        </row>
        <row r="13">
          <cell r="B13">
            <v>1614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7"/>
      <sheetName val="A26"/>
      <sheetName val="A25"/>
      <sheetName val="A24"/>
      <sheetName val="A23"/>
      <sheetName val="A22"/>
      <sheetName val="A21"/>
      <sheetName val="A20"/>
      <sheetName val="A19"/>
      <sheetName val="A18"/>
      <sheetName val="A17"/>
      <sheetName val="A16"/>
      <sheetName val="A15"/>
      <sheetName val="A14"/>
      <sheetName val="A13"/>
      <sheetName val="A12"/>
      <sheetName val="A11"/>
      <sheetName val="A10"/>
      <sheetName val="A9"/>
      <sheetName val="A8"/>
      <sheetName val="A7"/>
      <sheetName val="A5"/>
      <sheetName val="A6"/>
      <sheetName val="A4"/>
      <sheetName val="A3"/>
      <sheetName val="A2"/>
      <sheetName val="A1"/>
      <sheetName val="支付土地出让金合计"/>
      <sheetName val="支付工程款合计"/>
      <sheetName val="无合同目录"/>
      <sheetName val="有合同目录"/>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模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0">
          <cell r="E20">
            <v>50299955.039999999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1214</v>
      </c>
      <c r="B1" s="1582" t="s">
        <v>1293</v>
      </c>
    </row>
    <row r="2" spans="1:2" s="1587" customFormat="1" ht="15" thickTop="1">
      <c r="A2" s="1585" t="s">
        <v>1215</v>
      </c>
      <c r="B2" s="1586" t="str">
        <f>'预评函-封皮'!B37:I37</f>
        <v>河南省郑州市金水区红旗路北、经七路东“恒祥百悦城一号院”项目局部住宅、办公（公寓）、商业用房出让国有建设用地使用权及在建建筑物房地产抵押价值预评估</v>
      </c>
    </row>
    <row r="3" spans="1:2" s="1590" customFormat="1">
      <c r="A3" s="1588" t="s">
        <v>1216</v>
      </c>
      <c r="B3" s="1589" t="str">
        <f>'预评函-封皮'!B40</f>
        <v>河南恒祥实业有限公司</v>
      </c>
    </row>
    <row r="4" spans="1:2" s="1590" customFormat="1">
      <c r="A4" s="1588" t="s">
        <v>1217</v>
      </c>
      <c r="B4" s="1589" t="str">
        <f ca="1">'预评函-封皮'!B46</f>
        <v>王鹏（注册号：0)、郑燚（注册号：1120070131)</v>
      </c>
    </row>
    <row r="5" spans="1:2" s="1584" customFormat="1" ht="15" thickBot="1">
      <c r="A5" s="1591" t="s">
        <v>1218</v>
      </c>
      <c r="B5" s="1592" t="str">
        <f>'预评函-封皮'!B49</f>
        <v>康正预评字号</v>
      </c>
    </row>
    <row r="6" spans="1:2" s="1587" customFormat="1" ht="15" thickTop="1">
      <c r="A6" s="1585" t="s">
        <v>1219</v>
      </c>
      <c r="B6" s="1586" t="str">
        <f>'预评函-1'!A4</f>
        <v>受贵公司委托，我公司对河南省郑州市金水区红旗路北、经七路东“恒祥百悦城一号院”项目局部住宅、办公（公寓）、商业用房出让国有建设用地使用权及在建建筑物房地产抵押价值进行了预评估。</v>
      </c>
    </row>
    <row r="7" spans="1:2" s="1590" customFormat="1">
      <c r="A7" s="1588" t="s">
        <v>1259</v>
      </c>
      <c r="B7" s="1589" t="str">
        <f>'预评函-1'!A7</f>
        <v>估价对象为河南省郑州市金水区红旗路北、经七路东“恒祥百悦城一号院”项目局部住宅、办公（公寓）、商业用房出让国有建设用地使用权及在建建筑物房地产，为河南恒祥实业有限公司所有。根据《国有土地使用证》[]，估价对象（分摊）出让国有建设用地使用权面积为20565.18平方米，建筑面积为120164.38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河南省郑州市金水区红旗路北、经七路东“恒祥百悦城一号院”项目局部住宅、办公（公寓）、商业用房出让国有建设用地使用权及在建建筑物房地产,属河南恒祥实业有限公司开发建设的居住项目，该项目尚在开发建设中。根据《国有土地使用证》[]，估价对象（分摊）出让国有建设用地使用权面积为20565.18平方米，规划建筑面积为120164.38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为估价委托人在向中诚信托有限责任公司办理贷款手续过程中，确定房地产抵押贷款额度提供参考依据而评估房地产抵押价值。</v>
      </c>
    </row>
    <row r="12" spans="1:2" s="1590" customFormat="1">
      <c r="A12" s="1588" t="s">
        <v>1221</v>
      </c>
      <c r="B12" s="1589" t="str">
        <f>'预评函-1'!A15</f>
        <v>2020年4月30日（评估专业人员实地查勘之日）</v>
      </c>
    </row>
    <row r="13" spans="1:2" s="1590" customFormat="1">
      <c r="A13" s="1588" t="s">
        <v>1222</v>
      </c>
      <c r="B13" s="1589" t="str">
        <f>'预评函-1'!A18</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1224</v>
      </c>
      <c r="B15" s="1589" t="str">
        <f>'预评函-1'!A20</f>
        <v>本次估价的“房地产抵押价值”是指估价对象在价值时点的“房地产价值”扣减估价师于价值时点所知悉的法定优先受偿款后的余额。</v>
      </c>
    </row>
    <row r="16" spans="1:2" s="1590" customFormat="1">
      <c r="A16" s="1588" t="s">
        <v>1225</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1226</v>
      </c>
      <c r="B17" s="1589" t="str">
        <f>'预评函-1'!A22</f>
        <v/>
      </c>
    </row>
    <row r="18" spans="1:2" s="1584" customFormat="1" ht="15" thickBot="1">
      <c r="A18" s="1591" t="s">
        <v>1227</v>
      </c>
      <c r="B18" s="1592" t="str">
        <f>'预评函-1'!A24</f>
        <v>本次评估采用的主估价方法为成本法和假设开发法。</v>
      </c>
    </row>
    <row r="19" spans="1:2" s="1587" customFormat="1" ht="15" thickTop="1">
      <c r="A19" s="1585" t="s">
        <v>1228</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1229</v>
      </c>
      <c r="B20" s="1589">
        <f ca="1">'预评函-2'!D5</f>
        <v>155524</v>
      </c>
    </row>
    <row r="21" spans="1:2" s="1590" customFormat="1">
      <c r="A21" s="1588" t="s">
        <v>1230</v>
      </c>
      <c r="B21" s="1589">
        <f ca="1">'预评函-2'!D7</f>
        <v>12943</v>
      </c>
    </row>
    <row r="22" spans="1:2" s="1590" customFormat="1">
      <c r="A22" s="1588" t="s">
        <v>1231</v>
      </c>
      <c r="B22" s="1589" t="str">
        <f ca="1">'预评函-2'!D6</f>
        <v>壹拾伍亿伍仟伍佰贰拾肆万元整</v>
      </c>
    </row>
    <row r="23" spans="1:2" s="1590" customFormat="1">
      <c r="A23" s="1588" t="s">
        <v>1282</v>
      </c>
      <c r="B23" s="1589" t="str">
        <f>'预评函-2'!B8</f>
        <v>2.估价师知悉的法定优先受偿款</v>
      </c>
    </row>
    <row r="24" spans="1:2" s="1590" customFormat="1">
      <c r="A24" s="1588" t="s">
        <v>1288</v>
      </c>
      <c r="B24" s="1589">
        <f>'预评函-2'!D8</f>
        <v>20754</v>
      </c>
    </row>
    <row r="25" spans="1:2" s="1590" customFormat="1">
      <c r="A25" s="1588" t="s">
        <v>1232</v>
      </c>
      <c r="B25" s="1589" t="str">
        <f>'预评函-2'!D9</f>
        <v>贰亿零柒佰伍拾肆万元整</v>
      </c>
    </row>
    <row r="26" spans="1:2" s="1590" customFormat="1">
      <c r="A26" s="1588" t="s">
        <v>1233</v>
      </c>
      <c r="B26" s="1589">
        <f>'预评函-2'!D10</f>
        <v>0</v>
      </c>
    </row>
    <row r="27" spans="1:2" s="1590" customFormat="1">
      <c r="A27" s="1588" t="s">
        <v>1234</v>
      </c>
      <c r="B27" s="1589">
        <f>'预评函-2'!D11</f>
        <v>8515</v>
      </c>
    </row>
    <row r="28" spans="1:2" s="1590" customFormat="1">
      <c r="A28" s="1588" t="s">
        <v>1235</v>
      </c>
      <c r="B28" s="1589">
        <f>'预评函-2'!D12</f>
        <v>12239</v>
      </c>
    </row>
    <row r="29" spans="1:2" s="1590" customFormat="1">
      <c r="A29" s="1588" t="s">
        <v>1286</v>
      </c>
      <c r="B29" s="1589" t="str">
        <f>'预评函-2'!B13</f>
        <v>3.房地产抵押价值</v>
      </c>
    </row>
    <row r="30" spans="1:2" s="1590" customFormat="1">
      <c r="A30" s="1588" t="s">
        <v>1287</v>
      </c>
      <c r="B30" s="1589">
        <f ca="1">'预评函-2'!D13</f>
        <v>134770</v>
      </c>
    </row>
    <row r="31" spans="1:2" s="1590" customFormat="1">
      <c r="A31" s="1588" t="s">
        <v>1269</v>
      </c>
      <c r="B31" s="1589">
        <f ca="1">'预评函-2'!D15</f>
        <v>11215</v>
      </c>
    </row>
    <row r="32" spans="1:2" s="1590" customFormat="1">
      <c r="A32" s="1588" t="s">
        <v>1236</v>
      </c>
      <c r="B32" s="1589" t="str">
        <f ca="1">'预评函-2'!D14</f>
        <v>壹拾叁亿肆仟柒佰柒拾万元整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v>
      </c>
    </row>
    <row r="38" spans="1:2" s="1590" customFormat="1">
      <c r="A38" s="1588" t="s">
        <v>1290</v>
      </c>
      <c r="B38" s="1589" t="str">
        <f>'预评函-2'!D19</f>
        <v>——</v>
      </c>
    </row>
    <row r="39" spans="1:2" s="1590" customFormat="1">
      <c r="A39" s="1588" t="s">
        <v>1238</v>
      </c>
      <c r="B39" s="1589" t="str">
        <f>'预评函-2'!D21</f>
        <v>——</v>
      </c>
    </row>
    <row r="40" spans="1:2" s="1590" customFormat="1">
      <c r="A40" s="1588" t="s">
        <v>1239</v>
      </c>
      <c r="B40" s="1589" t="e">
        <f>'预评函-2'!D20</f>
        <v>#VALUE!</v>
      </c>
    </row>
    <row r="41" spans="1:2" s="1590" customFormat="1">
      <c r="A41" s="1588" t="s">
        <v>1285</v>
      </c>
      <c r="B41" s="1589" t="str">
        <f>'预评函-3'!A4</f>
        <v>河南省郑州市金水区红旗路北、经七路东“恒祥百悦城一号院”项目局部住宅、办公（公寓）、商业用房出让国有建设用地使用权及在建建筑物房地产</v>
      </c>
    </row>
    <row r="42" spans="1:2" s="1590" customFormat="1">
      <c r="A42" s="1588" t="s">
        <v>1283</v>
      </c>
      <c r="B42" s="1589" t="str">
        <f>'预评函-3'!B2</f>
        <v>建筑面积</v>
      </c>
    </row>
    <row r="43" spans="1:2" s="1590" customFormat="1">
      <c r="A43" s="1588" t="s">
        <v>1284</v>
      </c>
      <c r="B43" s="1589">
        <f>'预评函-3'!B4</f>
        <v>120164.37999999998</v>
      </c>
    </row>
    <row r="44" spans="1:2" s="1590" customFormat="1">
      <c r="A44" s="1588" t="s">
        <v>1268</v>
      </c>
      <c r="B44" s="1589" t="str">
        <f>'预评函-3'!C2</f>
        <v>(分摊)土地面积</v>
      </c>
    </row>
    <row r="45" spans="1:2" s="1590" customFormat="1">
      <c r="A45" s="1588" t="s">
        <v>1240</v>
      </c>
      <c r="B45" s="1589">
        <f>'预评函-3'!C4</f>
        <v>20565.18</v>
      </c>
    </row>
    <row r="46" spans="1:2" s="1590" customFormat="1">
      <c r="A46" s="1588" t="s">
        <v>1266</v>
      </c>
      <c r="B46" s="1589" t="str">
        <f>'预评函-3'!D2</f>
        <v>出让国有建设用地使用权价值</v>
      </c>
    </row>
    <row r="47" spans="1:2" s="1590" customFormat="1">
      <c r="A47" s="1588" t="s">
        <v>1241</v>
      </c>
      <c r="B47" s="1589">
        <f ca="1">'预评函-3'!D4</f>
        <v>128152</v>
      </c>
    </row>
    <row r="48" spans="1:2" s="1590" customFormat="1">
      <c r="A48" s="1588" t="s">
        <v>1242</v>
      </c>
      <c r="B48" s="1589">
        <f ca="1">'预评函-3'!E4</f>
        <v>10665</v>
      </c>
    </row>
    <row r="49" spans="1:2" s="1590" customFormat="1">
      <c r="A49" s="1588" t="s">
        <v>1243</v>
      </c>
      <c r="B49" s="1589" t="str">
        <f ca="1">'预评函-3'!D5</f>
        <v>壹拾贰亿捌仟壹佰伍拾贰万元整</v>
      </c>
    </row>
    <row r="50" spans="1:2" s="1590" customFormat="1">
      <c r="A50" s="1588" t="s">
        <v>1267</v>
      </c>
      <c r="B50" s="1589" t="str">
        <f>'预评函-3'!F2</f>
        <v>在建建筑物价值</v>
      </c>
    </row>
    <row r="51" spans="1:2" s="1590" customFormat="1">
      <c r="A51" s="1588" t="s">
        <v>1244</v>
      </c>
      <c r="B51" s="1589">
        <f ca="1">'预评函-3'!F4</f>
        <v>27372</v>
      </c>
    </row>
    <row r="52" spans="1:2" s="1590" customFormat="1">
      <c r="A52" s="1588" t="s">
        <v>1245</v>
      </c>
      <c r="B52" s="1589">
        <f ca="1">'预评函-3'!G4</f>
        <v>2278</v>
      </c>
    </row>
    <row r="53" spans="1:2" s="1590" customFormat="1">
      <c r="A53" s="1588" t="s">
        <v>1273</v>
      </c>
      <c r="B53" s="1589" t="str">
        <f ca="1">'预评函-3'!F5</f>
        <v>贰亿柒仟叁佰柒拾贰万元整</v>
      </c>
    </row>
    <row r="54" spans="1:2" s="1590" customFormat="1">
      <c r="A54" s="1588" t="s">
        <v>1291</v>
      </c>
      <c r="B54" s="1589" t="str">
        <f>'预评函-3'!A8</f>
        <v>房地产抵押价值</v>
      </c>
    </row>
    <row r="55" spans="1:2" s="1590" customFormat="1">
      <c r="A55" s="1588" t="s">
        <v>1274</v>
      </c>
      <c r="B55" s="1589" t="str">
        <f>'预评函-3'!A10</f>
        <v/>
      </c>
    </row>
    <row r="56" spans="1:2" s="1590" customFormat="1">
      <c r="A56" s="1588" t="s">
        <v>1275</v>
      </c>
      <c r="B56" s="1589" t="str">
        <f>'预评函-3'!A12</f>
        <v/>
      </c>
    </row>
    <row r="57" spans="1:2" s="1584" customFormat="1" ht="15" thickBot="1">
      <c r="A57" s="1591" t="s">
        <v>1292</v>
      </c>
      <c r="B57" s="1592" t="str">
        <f>'预评函-3'!A6</f>
        <v>估价师知悉的法定优先受偿款</v>
      </c>
    </row>
    <row r="58" spans="1:2" s="1587" customFormat="1" ht="15"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（1）根据估价对象《房屋所有权证》原件、《国有土地使用权》复印件，截至价值时点，估价对象抵押权未见登记。</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故，本次评估估价师知悉的法定优先受偿款为人民币20754万元整。</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1264</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1265</v>
      </c>
      <c r="B68" s="1589" t="str">
        <f>'预评函-4'!A22</f>
        <v>8.其他需特殊说明事项：无（注意调整序号）</v>
      </c>
    </row>
    <row r="69" spans="1:2" s="1584" customFormat="1" ht="15" thickBot="1">
      <c r="A69" s="1591" t="s">
        <v>1254</v>
      </c>
      <c r="B69" s="1593">
        <f>'预评函-4'!C31</f>
        <v>42551</v>
      </c>
    </row>
    <row r="70" spans="1:2" ht="15" thickTop="1">
      <c r="A70" s="1594" t="s">
        <v>1255</v>
      </c>
      <c r="B70" s="1595" t="str">
        <f>'预评函-4'!A4</f>
        <v>王鹏</v>
      </c>
    </row>
    <row r="71" spans="1:2">
      <c r="A71" s="1588" t="s">
        <v>1256</v>
      </c>
      <c r="B71" s="1589">
        <f ca="1">'预评函-4'!B4</f>
        <v>0</v>
      </c>
    </row>
    <row r="72" spans="1:2">
      <c r="A72" s="1588" t="s">
        <v>1257</v>
      </c>
      <c r="B72" s="1597" t="str">
        <f>'预评函-4'!A5</f>
        <v>郑燚</v>
      </c>
    </row>
    <row r="73" spans="1:2" s="1584" customFormat="1" ht="15" thickBot="1">
      <c r="A73" s="1591" t="s">
        <v>1258</v>
      </c>
      <c r="B73" s="1592">
        <f ca="1">'预评函-4'!B5</f>
        <v>1120070131</v>
      </c>
    </row>
    <row r="74" spans="1:2" ht="15" thickTop="1">
      <c r="A74" s="1581" t="s">
        <v>1294</v>
      </c>
      <c r="B74" s="1598"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1684</v>
      </c>
      <c r="C1" s="2005" t="s">
        <v>759</v>
      </c>
      <c r="D1" s="2006" t="s">
        <v>1685</v>
      </c>
      <c r="E1" s="2006" t="s">
        <v>1686</v>
      </c>
      <c r="F1" s="2006" t="s">
        <v>1687</v>
      </c>
      <c r="G1" s="2006" t="s">
        <v>1688</v>
      </c>
      <c r="H1" s="2006" t="s">
        <v>1689</v>
      </c>
      <c r="I1" s="2006" t="s">
        <v>1690</v>
      </c>
      <c r="J1" s="2006" t="s">
        <v>1691</v>
      </c>
      <c r="K1" s="2006" t="s">
        <v>1692</v>
      </c>
      <c r="L1" s="2006" t="s">
        <v>1693</v>
      </c>
      <c r="M1" s="2006" t="s">
        <v>1694</v>
      </c>
      <c r="N1" s="2006" t="s">
        <v>1695</v>
      </c>
      <c r="O1" s="2006" t="s">
        <v>1696</v>
      </c>
      <c r="P1" s="2007" t="s">
        <v>753</v>
      </c>
      <c r="Q1" s="2007" t="s">
        <v>1140</v>
      </c>
      <c r="R1" s="2006" t="s">
        <v>1134</v>
      </c>
      <c r="S1" s="2006" t="s">
        <v>1697</v>
      </c>
      <c r="T1" s="2008" t="s">
        <v>1698</v>
      </c>
      <c r="U1" s="2006" t="s">
        <v>1699</v>
      </c>
      <c r="V1" s="2006" t="s">
        <v>1700</v>
      </c>
      <c r="W1" s="2006" t="s">
        <v>755</v>
      </c>
    </row>
    <row r="2" spans="1:23">
      <c r="A2" s="2010" t="s">
        <v>22</v>
      </c>
      <c r="B2" s="2010" t="s">
        <v>1701</v>
      </c>
      <c r="C2" s="2011" t="s">
        <v>760</v>
      </c>
      <c r="D2" s="2012" t="s">
        <v>1702</v>
      </c>
      <c r="E2" s="2012" t="s">
        <v>1703</v>
      </c>
      <c r="F2" s="2012" t="s">
        <v>1704</v>
      </c>
      <c r="G2" s="2012">
        <v>40</v>
      </c>
      <c r="H2" s="2012" t="s">
        <v>1704</v>
      </c>
      <c r="I2" s="2012" t="s">
        <v>1705</v>
      </c>
      <c r="J2" s="2012" t="s">
        <v>1706</v>
      </c>
      <c r="K2" s="2012" t="s">
        <v>1707</v>
      </c>
      <c r="L2" s="2012" t="s">
        <v>1707</v>
      </c>
      <c r="M2" s="2012" t="s">
        <v>1707</v>
      </c>
      <c r="N2" s="2012" t="s">
        <v>1707</v>
      </c>
      <c r="O2" s="2012" t="s">
        <v>1707</v>
      </c>
      <c r="P2" s="2012" t="s">
        <v>1707</v>
      </c>
      <c r="Q2" s="2012" t="s">
        <v>1707</v>
      </c>
      <c r="R2" s="2012" t="s">
        <v>1136</v>
      </c>
      <c r="S2" s="2012" t="s">
        <v>1707</v>
      </c>
      <c r="T2" s="2012" t="s">
        <v>1708</v>
      </c>
      <c r="U2" s="2012" t="s">
        <v>1707</v>
      </c>
      <c r="V2" s="2012" t="s">
        <v>1709</v>
      </c>
      <c r="W2" s="2012" t="s">
        <v>1707</v>
      </c>
    </row>
    <row r="3" spans="1:23">
      <c r="A3" s="2010" t="s">
        <v>1710</v>
      </c>
      <c r="B3" s="2013" t="s">
        <v>1141</v>
      </c>
      <c r="C3" s="2014" t="s">
        <v>761</v>
      </c>
      <c r="D3" s="2012" t="s">
        <v>1711</v>
      </c>
      <c r="E3" s="2012" t="s">
        <v>16</v>
      </c>
      <c r="F3" s="2012" t="s">
        <v>1712</v>
      </c>
      <c r="G3" s="2012">
        <v>50</v>
      </c>
      <c r="H3" s="2012" t="s">
        <v>1712</v>
      </c>
      <c r="I3" s="2012" t="s">
        <v>1713</v>
      </c>
      <c r="J3" s="2012" t="s">
        <v>1714</v>
      </c>
      <c r="K3" s="2012" t="s">
        <v>1715</v>
      </c>
      <c r="L3" s="2012" t="s">
        <v>1715</v>
      </c>
      <c r="M3" s="2012" t="s">
        <v>1715</v>
      </c>
      <c r="N3" s="2012" t="s">
        <v>1715</v>
      </c>
      <c r="O3" s="2012" t="s">
        <v>1715</v>
      </c>
      <c r="P3" s="2012" t="s">
        <v>1715</v>
      </c>
      <c r="Q3" s="2012" t="s">
        <v>1715</v>
      </c>
      <c r="R3" s="2012" t="s">
        <v>1135</v>
      </c>
      <c r="S3" s="2012" t="s">
        <v>1715</v>
      </c>
      <c r="T3" s="2012" t="s">
        <v>1716</v>
      </c>
      <c r="U3" s="2012" t="s">
        <v>1715</v>
      </c>
      <c r="V3" s="2012" t="s">
        <v>1717</v>
      </c>
      <c r="W3" s="2012" t="s">
        <v>1715</v>
      </c>
    </row>
    <row r="4" spans="1:23">
      <c r="A4" s="2010" t="s">
        <v>1718</v>
      </c>
      <c r="B4" s="2010" t="s">
        <v>1719</v>
      </c>
      <c r="C4" s="2011" t="s">
        <v>762</v>
      </c>
      <c r="D4" s="2012" t="s">
        <v>864</v>
      </c>
      <c r="E4" s="2012" t="s">
        <v>1720</v>
      </c>
      <c r="F4" s="2012" t="s">
        <v>1721</v>
      </c>
      <c r="G4" s="2012">
        <v>70</v>
      </c>
      <c r="H4" s="2012" t="s">
        <v>1721</v>
      </c>
      <c r="I4" s="2012" t="s">
        <v>1722</v>
      </c>
      <c r="K4" s="2012" t="s">
        <v>1723</v>
      </c>
      <c r="L4" s="2012" t="s">
        <v>1723</v>
      </c>
      <c r="M4" s="2012" t="s">
        <v>1723</v>
      </c>
      <c r="N4" s="2012" t="s">
        <v>1723</v>
      </c>
      <c r="O4" s="2012" t="s">
        <v>1723</v>
      </c>
      <c r="P4" s="2012" t="s">
        <v>1723</v>
      </c>
      <c r="Q4" s="2012" t="s">
        <v>1723</v>
      </c>
      <c r="R4" s="2012" t="s">
        <v>1137</v>
      </c>
      <c r="S4" s="2012" t="s">
        <v>1723</v>
      </c>
      <c r="T4" s="2012" t="s">
        <v>1724</v>
      </c>
      <c r="U4" s="2012" t="s">
        <v>1723</v>
      </c>
      <c r="W4" s="2012" t="s">
        <v>1723</v>
      </c>
    </row>
    <row r="5" spans="1:23">
      <c r="A5" s="2010" t="s">
        <v>1725</v>
      </c>
      <c r="B5" s="2010" t="s">
        <v>1726</v>
      </c>
      <c r="C5" s="2011" t="s">
        <v>763</v>
      </c>
      <c r="F5" s="2012" t="s">
        <v>1727</v>
      </c>
      <c r="H5" s="2012" t="s">
        <v>1728</v>
      </c>
      <c r="I5" s="2012" t="s">
        <v>1729</v>
      </c>
      <c r="K5" s="2012" t="s">
        <v>1730</v>
      </c>
      <c r="L5" s="2012" t="s">
        <v>1730</v>
      </c>
      <c r="M5" s="2012" t="s">
        <v>1730</v>
      </c>
      <c r="N5" s="2012" t="s">
        <v>1730</v>
      </c>
      <c r="O5" s="2012" t="s">
        <v>1730</v>
      </c>
      <c r="P5" s="2012" t="s">
        <v>1730</v>
      </c>
      <c r="Q5" s="2012" t="s">
        <v>1730</v>
      </c>
      <c r="R5" s="2012" t="s">
        <v>1138</v>
      </c>
      <c r="S5" s="2012" t="s">
        <v>1730</v>
      </c>
      <c r="T5" s="2012" t="s">
        <v>1731</v>
      </c>
      <c r="U5" s="2012" t="s">
        <v>1730</v>
      </c>
      <c r="W5" s="2012" t="s">
        <v>1730</v>
      </c>
    </row>
    <row r="6" spans="1:23">
      <c r="A6" s="2010" t="s">
        <v>1732</v>
      </c>
      <c r="B6" s="2013" t="s">
        <v>1142</v>
      </c>
      <c r="C6" s="2016" t="s">
        <v>30</v>
      </c>
      <c r="F6" s="2012" t="s">
        <v>1728</v>
      </c>
      <c r="H6" s="2012" t="s">
        <v>1733</v>
      </c>
      <c r="I6" s="2012" t="s">
        <v>1734</v>
      </c>
      <c r="K6" s="2012" t="s">
        <v>1735</v>
      </c>
      <c r="L6" s="2012" t="s">
        <v>1735</v>
      </c>
      <c r="M6" s="2012" t="s">
        <v>1735</v>
      </c>
      <c r="N6" s="2012" t="s">
        <v>1735</v>
      </c>
      <c r="O6" s="2012" t="s">
        <v>1735</v>
      </c>
      <c r="P6" s="2012" t="s">
        <v>1735</v>
      </c>
      <c r="Q6" s="2012" t="s">
        <v>1735</v>
      </c>
      <c r="R6" s="2012" t="s">
        <v>1139</v>
      </c>
      <c r="S6" s="2012" t="s">
        <v>1735</v>
      </c>
      <c r="T6" s="2012"/>
      <c r="U6" s="2012" t="s">
        <v>1735</v>
      </c>
      <c r="W6" s="2012" t="s">
        <v>1735</v>
      </c>
    </row>
    <row r="7" spans="1:23">
      <c r="A7" s="2010" t="s">
        <v>1736</v>
      </c>
      <c r="B7" s="2013" t="s">
        <v>1143</v>
      </c>
      <c r="C7" s="2011" t="s">
        <v>31</v>
      </c>
      <c r="F7" s="2012" t="s">
        <v>1737</v>
      </c>
      <c r="H7" s="2012" t="s">
        <v>1738</v>
      </c>
      <c r="I7" s="2012" t="s">
        <v>1739</v>
      </c>
    </row>
    <row r="8" spans="1:23">
      <c r="A8" s="2010" t="s">
        <v>1740</v>
      </c>
      <c r="B8" s="2010" t="s">
        <v>1741</v>
      </c>
      <c r="C8" s="2011" t="s">
        <v>764</v>
      </c>
      <c r="F8" s="2012" t="s">
        <v>1742</v>
      </c>
      <c r="H8" s="2012"/>
      <c r="I8" s="2012" t="s">
        <v>1743</v>
      </c>
    </row>
    <row r="9" spans="1:23">
      <c r="A9" s="2010" t="s">
        <v>1744</v>
      </c>
      <c r="B9" s="2010" t="s">
        <v>1745</v>
      </c>
      <c r="C9" s="2011" t="s">
        <v>765</v>
      </c>
      <c r="F9" s="2012" t="s">
        <v>1746</v>
      </c>
      <c r="H9" s="2012"/>
    </row>
    <row r="10" spans="1:23">
      <c r="A10" s="2010" t="s">
        <v>1747</v>
      </c>
      <c r="B10" s="2010" t="s">
        <v>1748</v>
      </c>
      <c r="C10" s="2011" t="s">
        <v>766</v>
      </c>
      <c r="F10" s="2012" t="s">
        <v>16</v>
      </c>
    </row>
    <row r="11" spans="1:23">
      <c r="A11" s="2010" t="s">
        <v>1749</v>
      </c>
      <c r="B11" s="2010" t="s">
        <v>1750</v>
      </c>
      <c r="C11" s="2011" t="s">
        <v>767</v>
      </c>
    </row>
    <row r="12" spans="1:23">
      <c r="A12" s="2010" t="s">
        <v>1751</v>
      </c>
      <c r="B12" s="2010" t="s">
        <v>1752</v>
      </c>
      <c r="C12" s="2011" t="s">
        <v>768</v>
      </c>
    </row>
    <row r="13" spans="1:23">
      <c r="A13" s="2010" t="s">
        <v>1753</v>
      </c>
      <c r="B13" s="2010" t="s">
        <v>1754</v>
      </c>
      <c r="C13" s="2011" t="s">
        <v>769</v>
      </c>
    </row>
    <row r="14" spans="1:23">
      <c r="A14" s="2010" t="s">
        <v>1755</v>
      </c>
      <c r="B14" s="2010" t="s">
        <v>1756</v>
      </c>
      <c r="C14" s="2012" t="s">
        <v>16</v>
      </c>
    </row>
    <row r="15" spans="1:23">
      <c r="A15" s="2010" t="s">
        <v>1757</v>
      </c>
      <c r="B15" s="2010" t="s">
        <v>1758</v>
      </c>
      <c r="C15" s="2011"/>
    </row>
    <row r="16" spans="1:23">
      <c r="A16" s="2010" t="s">
        <v>1759</v>
      </c>
      <c r="B16" s="2010" t="s">
        <v>756</v>
      </c>
      <c r="C16" s="2011"/>
    </row>
    <row r="17" spans="1:3">
      <c r="A17" s="2010" t="s">
        <v>1760</v>
      </c>
      <c r="B17" s="2010" t="s">
        <v>757</v>
      </c>
      <c r="C17" s="2011"/>
    </row>
    <row r="18" spans="1:3">
      <c r="A18" s="2010" t="s">
        <v>1761</v>
      </c>
      <c r="B18" s="2010" t="s">
        <v>757</v>
      </c>
      <c r="C18" s="2011"/>
    </row>
    <row r="19" spans="1:3">
      <c r="A19" s="2010" t="s">
        <v>1762</v>
      </c>
      <c r="B19" s="2010" t="s">
        <v>757</v>
      </c>
      <c r="C19" s="2011"/>
    </row>
    <row r="20" spans="1:3">
      <c r="A20" s="2010" t="s">
        <v>1763</v>
      </c>
      <c r="B20" s="2010" t="s">
        <v>757</v>
      </c>
      <c r="C20" s="2011"/>
    </row>
    <row r="21" spans="1:3">
      <c r="A21" s="2010" t="s">
        <v>1764</v>
      </c>
      <c r="B21" s="2010" t="s">
        <v>757</v>
      </c>
      <c r="C21" s="2011"/>
    </row>
    <row r="22" spans="1:3">
      <c r="A22" s="2010" t="s">
        <v>1765</v>
      </c>
      <c r="B22" s="2010" t="s">
        <v>757</v>
      </c>
      <c r="C22" s="2011"/>
    </row>
    <row r="23" spans="1:3">
      <c r="A23" s="2010" t="s">
        <v>1766</v>
      </c>
      <c r="B23" s="2010" t="s">
        <v>757</v>
      </c>
      <c r="C23" s="2011"/>
    </row>
    <row r="24" spans="1:3">
      <c r="A24" s="2010" t="s">
        <v>1767</v>
      </c>
      <c r="B24" s="2010" t="s">
        <v>757</v>
      </c>
      <c r="C24" s="2011"/>
    </row>
    <row r="25" spans="1:3">
      <c r="A25" s="2010" t="s">
        <v>1768</v>
      </c>
      <c r="B25" s="2010" t="s">
        <v>757</v>
      </c>
      <c r="C25" s="2011"/>
    </row>
    <row r="26" spans="1:3">
      <c r="A26" s="2010" t="s">
        <v>1769</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853</v>
      </c>
      <c r="B51" s="2018"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河南恒祥实业有限公司拟使用河南省郑州市金水区红旗路北、经七路东“恒祥百悦城一号院”项目局部住宅、办公（公寓）、商业用房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18" t="s">
        <v>1279</v>
      </c>
    </row>
    <row r="52" spans="1:4">
      <c r="A52" s="2017" t="s">
        <v>854</v>
      </c>
      <c r="B52" s="2017" t="s">
        <v>855</v>
      </c>
      <c r="C52" s="2015" t="s">
        <v>856</v>
      </c>
      <c r="D52" s="2015" t="s">
        <v>857</v>
      </c>
    </row>
    <row r="53" spans="1:4">
      <c r="A53" s="3102" t="s">
        <v>858</v>
      </c>
      <c r="B53" s="2018" t="s">
        <v>859</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2"/>
      <c r="B54" s="2018" t="s">
        <v>860</v>
      </c>
      <c r="C54" s="2015" t="s">
        <v>1276</v>
      </c>
    </row>
    <row r="55" spans="1:4">
      <c r="A55" s="3102"/>
      <c r="B55" s="2018" t="s">
        <v>861</v>
      </c>
      <c r="C55" s="2015" t="s">
        <v>1277</v>
      </c>
    </row>
    <row r="56" spans="1:4">
      <c r="A56" s="3102"/>
      <c r="B56" s="2018" t="s">
        <v>862</v>
      </c>
      <c r="C56" s="2015" t="s">
        <v>1281</v>
      </c>
    </row>
    <row r="57" spans="1:4">
      <c r="A57" s="3102"/>
      <c r="B57" s="2018" t="s">
        <v>863</v>
      </c>
      <c r="C57" s="2015" t="s">
        <v>1278</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8" sqref="H28"/>
    </sheetView>
  </sheetViews>
  <sheetFormatPr defaultColWidth="10" defaultRowHeight="18" customHeight="1"/>
  <cols>
    <col min="1" max="1" width="14.875" style="2028" customWidth="1"/>
    <col min="2" max="2" width="13" style="2028" customWidth="1"/>
    <col min="3" max="3" width="11.5" style="2028" customWidth="1"/>
    <col min="4" max="4" width="12" style="2028" customWidth="1"/>
    <col min="5" max="6" width="10" style="2028" customWidth="1"/>
    <col min="7" max="7" width="10.75" style="2028" customWidth="1"/>
    <col min="8" max="8" width="10" style="2028" customWidth="1"/>
    <col min="9" max="9" width="11.125" style="2150" customWidth="1"/>
    <col min="10" max="10" width="10" style="2028" customWidth="1"/>
    <col min="11" max="11" width="10" style="2151" customWidth="1"/>
    <col min="12" max="13" width="10" style="2152" customWidth="1"/>
    <col min="14" max="14" width="10" style="2028" customWidth="1"/>
    <col min="15" max="15" width="10" style="2150" customWidth="1"/>
    <col min="16" max="17" width="10" style="2028"/>
    <col min="18" max="18" width="10" style="2028" customWidth="1"/>
    <col min="19" max="16384" width="10" style="2028"/>
  </cols>
  <sheetData>
    <row r="1" spans="1:19" ht="38.25" customHeight="1" thickBot="1">
      <c r="A1" s="2021" t="s">
        <v>1770</v>
      </c>
      <c r="B1" s="3103" t="str">
        <f>IF(B10="北京市","北京市",C10)&amp;F10&amp;IF(结果表!G1="在建","出让国有建设用地使用权及在建建筑物",IF(结果表!G1="土地","出让国有建设用地使用权",))&amp;B9&amp;"预评估"</f>
        <v>河南省郑州市金水区红旗路北、经七路东“恒祥百悦城一号院”项目局部住宅、办公（公寓）、商业用房出让国有建设用地使用权及在建建筑物房地产抵押价值预评估</v>
      </c>
      <c r="C1" s="3104"/>
      <c r="D1" s="3104"/>
      <c r="E1" s="3104"/>
      <c r="F1" s="3104"/>
      <c r="G1" s="3104"/>
      <c r="H1" s="3104"/>
      <c r="I1" s="3105"/>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河南省郑州市金水区红旗路北、经七路东“恒祥百悦城一号院”项目局部住宅、办公（公寓）、商业用房出让国有建设用地使用权及在建建筑物房地产抵押价值</v>
      </c>
    </row>
    <row r="2" spans="1:19" ht="18" customHeight="1">
      <c r="A2" s="2022" t="s">
        <v>1771</v>
      </c>
      <c r="B2" s="1036"/>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河南省郑州市金水区红旗路北、经七路东“恒祥百悦城一号院”项目局部住宅、办公（公寓）、商业用房出让国有建设用地使用权及在建建筑物房地产</v>
      </c>
    </row>
    <row r="3" spans="1:19" ht="18" customHeight="1">
      <c r="A3" s="2031" t="s">
        <v>1772</v>
      </c>
      <c r="B3" s="2032">
        <v>43951</v>
      </c>
      <c r="C3" s="2033" t="s">
        <v>1773</v>
      </c>
      <c r="D3" s="2032">
        <v>43951</v>
      </c>
      <c r="E3" s="2022"/>
      <c r="F3" s="2022"/>
      <c r="G3" s="2022"/>
      <c r="H3" s="2022"/>
      <c r="I3" s="2022"/>
      <c r="J3" s="2022"/>
      <c r="K3" s="2023"/>
      <c r="L3" s="2024"/>
      <c r="M3" s="2024"/>
      <c r="N3" s="2025"/>
      <c r="O3" s="2026"/>
      <c r="P3" s="2025"/>
      <c r="Q3" s="2025"/>
      <c r="R3" s="2025"/>
      <c r="S3" s="2027"/>
    </row>
    <row r="4" spans="1:19" ht="18" customHeight="1" thickBot="1">
      <c r="A4" s="2034" t="s">
        <v>1774</v>
      </c>
      <c r="B4" s="2035" t="s">
        <v>3135</v>
      </c>
      <c r="C4" s="1034">
        <f ca="1">SUMIF(注册房地产估价师,B4,估价师及机构信息!B3:B24)</f>
        <v>0</v>
      </c>
      <c r="D4" s="2035" t="s">
        <v>3136</v>
      </c>
      <c r="E4" s="1035">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王鹏（注册号：0)、郑燚（注册号：1120070131)</v>
      </c>
      <c r="L4" s="2024"/>
      <c r="M4" s="2024"/>
      <c r="N4" s="2025"/>
      <c r="O4" s="2026"/>
      <c r="P4" s="2025"/>
      <c r="Q4" s="2025"/>
      <c r="R4" s="2025"/>
      <c r="S4" s="2027"/>
    </row>
    <row r="5" spans="1:19" ht="18" customHeight="1" thickTop="1">
      <c r="A5" s="2040" t="s">
        <v>1775</v>
      </c>
      <c r="B5" s="2973" t="s">
        <v>3133</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1776</v>
      </c>
      <c r="B6" s="2974" t="s">
        <v>3134</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1777</v>
      </c>
      <c r="B7" s="2974" t="s">
        <v>3133</v>
      </c>
      <c r="C7" s="2044"/>
      <c r="D7" s="2045"/>
      <c r="E7" s="2030"/>
      <c r="F7" s="2038"/>
      <c r="G7" s="2038"/>
      <c r="H7" s="2038"/>
      <c r="I7" s="2038"/>
      <c r="J7" s="2038"/>
      <c r="K7" s="2047"/>
      <c r="L7" s="2024"/>
      <c r="M7" s="2024"/>
      <c r="N7" s="2025"/>
      <c r="O7" s="2026"/>
      <c r="P7" s="2025"/>
      <c r="Q7" s="2025"/>
      <c r="R7" s="2025"/>
    </row>
    <row r="8" spans="1:19" ht="18" customHeight="1">
      <c r="A8" s="2043" t="s">
        <v>1778</v>
      </c>
      <c r="B8" s="2048" t="s">
        <v>3045</v>
      </c>
      <c r="C8" s="2049"/>
      <c r="D8" s="3106" t="s">
        <v>1779</v>
      </c>
      <c r="E8" s="2050" t="s">
        <v>3046</v>
      </c>
      <c r="F8" s="2051"/>
      <c r="G8" s="2022"/>
      <c r="H8" s="2022"/>
      <c r="I8" s="2022"/>
      <c r="J8" s="2038"/>
      <c r="K8" s="2039"/>
      <c r="L8" s="2024"/>
      <c r="M8" s="2024"/>
      <c r="N8" s="2025"/>
      <c r="O8" s="2026"/>
      <c r="P8" s="2025"/>
      <c r="Q8" s="2025"/>
      <c r="R8" s="2025"/>
    </row>
    <row r="9" spans="1:19" ht="18" customHeight="1" thickBot="1">
      <c r="A9" s="2036" t="s">
        <v>1780</v>
      </c>
      <c r="B9" s="2052" t="s">
        <v>3046</v>
      </c>
      <c r="C9" s="2053"/>
      <c r="D9" s="3107"/>
      <c r="E9" s="2052" t="s">
        <v>70</v>
      </c>
      <c r="F9" s="2054"/>
      <c r="G9" s="2055"/>
      <c r="H9" s="2055"/>
      <c r="I9" s="2055"/>
      <c r="J9" s="2038"/>
      <c r="K9" s="2047"/>
      <c r="L9" s="2024"/>
      <c r="M9" s="2024"/>
      <c r="N9" s="2025"/>
      <c r="O9" s="2026"/>
      <c r="P9" s="2025"/>
      <c r="Q9" s="2025"/>
      <c r="R9" s="2025"/>
    </row>
    <row r="10" spans="1:19" ht="18" customHeight="1" thickTop="1">
      <c r="A10" s="2056" t="s">
        <v>1781</v>
      </c>
      <c r="B10" s="2057" t="s">
        <v>3047</v>
      </c>
      <c r="C10" s="2977" t="s">
        <v>3137</v>
      </c>
      <c r="D10" s="2042"/>
      <c r="E10" s="2058" t="s">
        <v>1782</v>
      </c>
      <c r="F10" s="2946" t="s">
        <v>3138</v>
      </c>
      <c r="G10" s="2059"/>
      <c r="H10" s="2060"/>
      <c r="I10" s="2042"/>
      <c r="J10" s="2038"/>
      <c r="K10" s="2047"/>
      <c r="L10" s="2024"/>
      <c r="M10" s="2024"/>
      <c r="N10" s="2025"/>
      <c r="O10" s="2026"/>
      <c r="P10" s="2025"/>
      <c r="Q10" s="2025"/>
      <c r="R10" s="2025"/>
    </row>
    <row r="11" spans="1:19" ht="18" customHeight="1">
      <c r="A11" s="2061" t="s">
        <v>1783</v>
      </c>
      <c r="B11" s="2062" t="s">
        <v>3048</v>
      </c>
      <c r="C11" s="2976" t="s">
        <v>3133</v>
      </c>
      <c r="D11" s="2063"/>
      <c r="E11" s="2038"/>
      <c r="F11" s="2038"/>
      <c r="G11" s="2038"/>
      <c r="H11" s="2038"/>
      <c r="I11" s="2038"/>
      <c r="J11" s="2038"/>
      <c r="K11" s="2047"/>
      <c r="L11" s="2024"/>
      <c r="M11" s="2024"/>
      <c r="N11" s="2025"/>
      <c r="O11" s="2026"/>
      <c r="P11" s="2025"/>
      <c r="Q11" s="2025"/>
      <c r="R11" s="2025"/>
    </row>
    <row r="12" spans="1:19" ht="18" customHeight="1">
      <c r="A12" s="2064" t="s">
        <v>1784</v>
      </c>
      <c r="B12" s="2062" t="s">
        <v>3049</v>
      </c>
      <c r="C12" s="2065" t="s">
        <v>1785</v>
      </c>
      <c r="D12" s="2066" t="s">
        <v>1786</v>
      </c>
      <c r="E12" s="2066" t="s">
        <v>1787</v>
      </c>
      <c r="F12" s="2066" t="s">
        <v>1788</v>
      </c>
      <c r="G12" s="2066" t="s">
        <v>1789</v>
      </c>
      <c r="H12" s="2066" t="s">
        <v>1790</v>
      </c>
      <c r="I12" s="2066" t="s">
        <v>1791</v>
      </c>
      <c r="J12" s="2038"/>
      <c r="K12" s="2047"/>
      <c r="L12" s="2024"/>
      <c r="M12" s="2024"/>
      <c r="N12" s="2025"/>
      <c r="O12" s="2026"/>
      <c r="P12" s="2025"/>
      <c r="Q12" s="2025"/>
      <c r="R12" s="2025"/>
    </row>
    <row r="13" spans="1:19" ht="18" customHeight="1">
      <c r="A13" s="2067"/>
      <c r="B13" s="2068"/>
      <c r="C13" s="2069" t="s">
        <v>1792</v>
      </c>
      <c r="D13" s="2070">
        <v>68099</v>
      </c>
      <c r="E13" s="2070">
        <v>57142</v>
      </c>
      <c r="F13" s="2070">
        <v>57142</v>
      </c>
      <c r="G13" s="2070"/>
      <c r="H13" s="2070"/>
      <c r="I13" s="1044"/>
      <c r="J13" s="2038"/>
      <c r="K13" s="2047"/>
      <c r="L13" s="2024"/>
      <c r="M13" s="2024"/>
      <c r="N13" s="2025"/>
      <c r="O13" s="2026"/>
      <c r="P13" s="2025"/>
      <c r="Q13" s="2025"/>
      <c r="R13" s="2025"/>
    </row>
    <row r="14" spans="1:19" ht="18" customHeight="1">
      <c r="A14" s="2067"/>
      <c r="B14" s="2068"/>
      <c r="C14" s="2069" t="s">
        <v>1793</v>
      </c>
      <c r="D14" s="1047">
        <v>70</v>
      </c>
      <c r="E14" s="1047">
        <v>40</v>
      </c>
      <c r="F14" s="1047">
        <v>40</v>
      </c>
      <c r="G14" s="1047"/>
      <c r="H14" s="1047"/>
      <c r="I14" s="1047"/>
      <c r="J14" s="2038"/>
      <c r="K14" s="2071"/>
      <c r="L14" s="2024"/>
      <c r="M14" s="2024"/>
      <c r="N14" s="2025"/>
      <c r="O14" s="2026"/>
      <c r="P14" s="2025"/>
      <c r="Q14" s="2025"/>
      <c r="R14" s="2025"/>
    </row>
    <row r="15" spans="1:19" ht="18" customHeight="1">
      <c r="A15" s="2056"/>
      <c r="B15" s="2072"/>
      <c r="C15" s="2069" t="s">
        <v>1794</v>
      </c>
      <c r="D15" s="1046">
        <f>IF(B12="出让",IF(D13="","",ROUNDDOWN(MIN((D13-$D$3)/365,D14),2)),D14)</f>
        <v>66.150000000000006</v>
      </c>
      <c r="E15" s="1046">
        <f>IF(B12="出让",IF(E13="","",ROUNDDOWN(MIN((E13-$D$3)/365,E14),2)),E14)</f>
        <v>36.130000000000003</v>
      </c>
      <c r="F15" s="1046">
        <f>IF(B12="出让",IF(F13="","",ROUNDDOWN(MIN((F13-$D$3)/365,F14),2)),F14)</f>
        <v>36.130000000000003</v>
      </c>
      <c r="G15" s="1046" t="str">
        <f>IF(B12="出让",IF(G13="","",ROUNDDOWN(MIN((G13-$D$3)/365,G14),2)),G14)</f>
        <v/>
      </c>
      <c r="H15" s="1046" t="str">
        <f>IF(B12="出让",IF(H13="","",ROUNDDOWN(MIN((H13-$D$3)/365,H14),2)),H14)</f>
        <v/>
      </c>
      <c r="I15" s="1046" t="str">
        <f>IF(B12="出让",IF(I13="","",ROUNDDOWN(MIN((I13-$D$3)/365,I14),2)),I14)</f>
        <v/>
      </c>
      <c r="J15" s="2038"/>
      <c r="K15" s="2073"/>
      <c r="L15" s="2074"/>
      <c r="M15" s="2074"/>
      <c r="N15" s="2075"/>
      <c r="O15" s="2074"/>
      <c r="P15" s="2075"/>
      <c r="Q15" s="2025"/>
      <c r="R15" s="2025"/>
    </row>
    <row r="16" spans="1:19" ht="30.75" customHeight="1">
      <c r="A16" s="2058" t="s">
        <v>1795</v>
      </c>
      <c r="B16" s="3113"/>
      <c r="C16" s="3114"/>
      <c r="D16" s="3115"/>
      <c r="E16" s="2076" t="s">
        <v>1796</v>
      </c>
      <c r="F16" s="3116"/>
      <c r="G16" s="3117"/>
      <c r="H16" s="3117"/>
      <c r="I16" s="3118"/>
      <c r="J16" s="2025"/>
      <c r="K16" s="2073"/>
      <c r="L16" s="2074"/>
      <c r="M16" s="2074"/>
      <c r="N16" s="2075"/>
      <c r="O16" s="2074"/>
      <c r="P16" s="2075"/>
      <c r="Q16" s="2025"/>
      <c r="R16" s="2025"/>
    </row>
    <row r="17" spans="1:22" ht="18" customHeight="1">
      <c r="A17" s="2077" t="s">
        <v>1797</v>
      </c>
      <c r="B17" s="2031" t="s">
        <v>1798</v>
      </c>
      <c r="C17" s="1051">
        <f>'数据-汇总表'!E3</f>
        <v>120164.37999999998</v>
      </c>
      <c r="D17" s="2078" t="s">
        <v>1799</v>
      </c>
      <c r="E17" s="3119" t="s">
        <v>1800</v>
      </c>
      <c r="F17" s="3120"/>
      <c r="G17" s="3120"/>
      <c r="H17" s="3120"/>
      <c r="I17" s="3121"/>
      <c r="J17" s="2025"/>
      <c r="K17" s="2079"/>
      <c r="L17" s="2074"/>
      <c r="M17" s="2074"/>
      <c r="N17" s="2075"/>
      <c r="O17" s="2074"/>
      <c r="P17" s="2075"/>
      <c r="Q17" s="2025"/>
      <c r="R17" s="2025"/>
      <c r="S17" s="2025"/>
      <c r="T17" s="2025"/>
      <c r="U17" s="2025"/>
      <c r="V17" s="2025"/>
    </row>
    <row r="18" spans="1:22" ht="36" customHeight="1" thickBot="1">
      <c r="A18" s="2080" t="s">
        <v>1801</v>
      </c>
      <c r="B18" s="2034" t="s">
        <v>1802</v>
      </c>
      <c r="C18" s="1441">
        <f>'数据-汇总表'!D3</f>
        <v>20565.18</v>
      </c>
      <c r="D18" s="2081" t="s">
        <v>1799</v>
      </c>
      <c r="E18" s="3122" t="s">
        <v>1803</v>
      </c>
      <c r="F18" s="3123"/>
      <c r="G18" s="3123"/>
      <c r="H18" s="3123"/>
      <c r="I18" s="3124"/>
      <c r="J18" s="2025"/>
      <c r="K18" s="2079"/>
      <c r="L18" s="2074"/>
      <c r="M18" s="2074"/>
      <c r="N18" s="2075"/>
      <c r="O18" s="2074"/>
      <c r="P18" s="2075"/>
      <c r="Q18" s="2025"/>
      <c r="R18" s="2025"/>
      <c r="S18" s="2025"/>
      <c r="T18" s="2025"/>
      <c r="U18" s="2025"/>
      <c r="V18" s="2025"/>
    </row>
    <row r="19" spans="1:22" ht="37.5" customHeight="1" thickTop="1" thickBot="1">
      <c r="A19" s="373" t="s">
        <v>1804</v>
      </c>
      <c r="B19" s="352" t="s">
        <v>1805</v>
      </c>
      <c r="C19" s="2082" t="s">
        <v>3051</v>
      </c>
      <c r="D19" s="2083" t="s">
        <v>1806</v>
      </c>
      <c r="E19" s="2084" t="s">
        <v>3051</v>
      </c>
      <c r="F19" s="2085" t="str">
        <f>IF(AND(C19="是",E19="否"),"是否提供他项权证或相关说明","")</f>
        <v/>
      </c>
      <c r="G19" s="2086"/>
      <c r="H19" s="2038"/>
      <c r="I19" s="2038"/>
      <c r="J19" s="2038"/>
      <c r="K19" s="2047"/>
      <c r="L19" s="2024"/>
      <c r="M19" s="2024"/>
      <c r="N19" s="2075"/>
      <c r="O19" s="2074"/>
      <c r="P19" s="2075"/>
      <c r="Q19" s="2025"/>
      <c r="R19" s="2025"/>
      <c r="S19" s="2025"/>
      <c r="T19" s="2025"/>
      <c r="U19" s="2025"/>
      <c r="V19" s="2025"/>
    </row>
    <row r="20" spans="1:22" ht="18" customHeight="1">
      <c r="A20" s="2087" t="s">
        <v>1807</v>
      </c>
      <c r="B20" s="3109" t="s">
        <v>1808</v>
      </c>
      <c r="C20" s="3110"/>
      <c r="D20" s="3111" t="s">
        <v>1809</v>
      </c>
      <c r="E20" s="3112"/>
      <c r="F20" s="2088" t="s">
        <v>1810</v>
      </c>
      <c r="G20" s="2038"/>
      <c r="H20" s="2038"/>
      <c r="I20" s="2038"/>
      <c r="J20" s="2038"/>
      <c r="K20" s="310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5"/>
      <c r="O20" s="2074"/>
      <c r="P20" s="2075"/>
      <c r="Q20" s="2025"/>
      <c r="R20" s="2025"/>
      <c r="S20" s="2025"/>
      <c r="T20" s="2025"/>
      <c r="U20" s="2025"/>
      <c r="V20" s="2025"/>
    </row>
    <row r="21" spans="1:22" ht="24.75" customHeight="1">
      <c r="A21" s="2087"/>
      <c r="B21" s="2089" t="s">
        <v>1812</v>
      </c>
      <c r="C21" s="2090" t="s">
        <v>1813</v>
      </c>
      <c r="D21" s="2091" t="s">
        <v>1814</v>
      </c>
      <c r="E21" s="2092" t="s">
        <v>1813</v>
      </c>
      <c r="F21" s="2093"/>
      <c r="G21" s="2038"/>
      <c r="H21" s="2038"/>
      <c r="I21" s="2038"/>
      <c r="J21" s="2038"/>
      <c r="K21" s="31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5"/>
      <c r="O21" s="2074"/>
      <c r="P21" s="2075"/>
      <c r="Q21" s="2025"/>
      <c r="R21" s="2025"/>
      <c r="S21" s="2025"/>
      <c r="T21" s="2025"/>
      <c r="U21" s="2025"/>
      <c r="V21" s="2025"/>
    </row>
    <row r="22" spans="1:22" ht="24.75" customHeight="1" thickBot="1">
      <c r="A22" s="2087"/>
      <c r="B22" s="2094" t="s">
        <v>1815</v>
      </c>
      <c r="C22" s="2090" t="s">
        <v>1816</v>
      </c>
      <c r="D22" s="2022"/>
      <c r="E22" s="2022"/>
      <c r="F22" s="2095"/>
      <c r="G22" s="2038"/>
      <c r="H22" s="2038"/>
      <c r="I22" s="2038"/>
      <c r="J22" s="2038"/>
      <c r="K22" s="31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5"/>
      <c r="O22" s="2074"/>
      <c r="P22" s="2075"/>
      <c r="Q22" s="2025"/>
      <c r="R22" s="2025"/>
      <c r="S22" s="2025"/>
      <c r="T22" s="2025"/>
      <c r="U22" s="2025"/>
      <c r="V22" s="2025"/>
    </row>
    <row r="23" spans="1:22" ht="18" customHeight="1">
      <c r="A23" s="2096" t="s">
        <v>1817</v>
      </c>
      <c r="B23" s="183" t="s">
        <v>1818</v>
      </c>
      <c r="C23" s="2097"/>
      <c r="D23" s="2098" t="s">
        <v>1818</v>
      </c>
      <c r="E23" s="2099"/>
      <c r="F23" s="2095"/>
      <c r="G23" s="2038"/>
      <c r="H23" s="2038"/>
      <c r="I23" s="2038"/>
      <c r="J23" s="2038"/>
      <c r="K23" s="2100"/>
      <c r="L23" s="748"/>
      <c r="M23" s="2024"/>
      <c r="N23" s="2075"/>
      <c r="O23" s="2074"/>
      <c r="P23" s="2075"/>
      <c r="Q23" s="2025"/>
      <c r="R23" s="2025"/>
      <c r="S23" s="2025"/>
      <c r="T23" s="2025"/>
      <c r="U23" s="2025"/>
      <c r="V23" s="2025"/>
    </row>
    <row r="24" spans="1:22" ht="18" customHeight="1">
      <c r="A24" s="2101"/>
      <c r="B24" s="183" t="s">
        <v>1819</v>
      </c>
      <c r="C24" s="2102"/>
      <c r="D24" s="2096" t="s">
        <v>1819</v>
      </c>
      <c r="E24" s="2103"/>
      <c r="F24" s="2095"/>
      <c r="G24" s="2038"/>
      <c r="H24" s="2038"/>
      <c r="I24" s="2038"/>
      <c r="J24" s="2038"/>
      <c r="K24" s="2100"/>
      <c r="L24" s="748"/>
      <c r="M24" s="2024"/>
      <c r="N24" s="2075"/>
      <c r="O24" s="2074"/>
      <c r="P24" s="2075"/>
      <c r="Q24" s="2025"/>
      <c r="R24" s="2025"/>
      <c r="S24" s="2025"/>
      <c r="T24" s="2025"/>
      <c r="U24" s="2025"/>
      <c r="V24" s="2025"/>
    </row>
    <row r="25" spans="1:22" ht="18" customHeight="1">
      <c r="A25" s="2101"/>
      <c r="B25" s="183" t="s">
        <v>1820</v>
      </c>
      <c r="C25" s="2102"/>
      <c r="D25" s="2096" t="s">
        <v>1820</v>
      </c>
      <c r="E25" s="2103"/>
      <c r="F25" s="2095"/>
      <c r="G25" s="2038"/>
      <c r="H25" s="2038"/>
      <c r="I25" s="2038"/>
      <c r="J25" s="2038"/>
      <c r="K25" s="2047"/>
      <c r="L25" s="2024"/>
      <c r="M25" s="2024"/>
      <c r="N25" s="2075"/>
      <c r="O25" s="2074"/>
      <c r="P25" s="2075"/>
      <c r="Q25" s="2025"/>
      <c r="R25" s="2025"/>
      <c r="S25" s="2025"/>
      <c r="T25" s="2025"/>
      <c r="U25" s="2025"/>
      <c r="V25" s="2025"/>
    </row>
    <row r="26" spans="1:22" ht="18" customHeight="1" thickBot="1">
      <c r="A26" s="2104"/>
      <c r="B26" s="2105" t="s">
        <v>1821</v>
      </c>
      <c r="C26" s="2106"/>
      <c r="D26" s="2107" t="s">
        <v>1822</v>
      </c>
      <c r="E26" s="2108"/>
      <c r="F26" s="2109"/>
      <c r="G26" s="2055"/>
      <c r="H26" s="2055"/>
      <c r="I26" s="2055"/>
      <c r="J26" s="2038"/>
      <c r="K26" s="2047"/>
      <c r="L26" s="2024"/>
      <c r="M26" s="2024"/>
      <c r="N26" s="2075"/>
      <c r="O26" s="2074"/>
      <c r="P26" s="2075"/>
      <c r="Q26" s="2025"/>
      <c r="R26" s="2025"/>
      <c r="S26" s="2025"/>
      <c r="T26" s="2025"/>
      <c r="U26" s="2025"/>
      <c r="V26" s="2025"/>
    </row>
    <row r="27" spans="1:22" ht="18" customHeight="1" thickTop="1">
      <c r="A27" s="3126" t="s">
        <v>1823</v>
      </c>
      <c r="B27" s="2056" t="s">
        <v>1824</v>
      </c>
      <c r="C27" s="2110" t="s">
        <v>3139</v>
      </c>
      <c r="D27" s="2111"/>
      <c r="E27" s="2038"/>
      <c r="F27" s="2038"/>
      <c r="G27" s="2038"/>
      <c r="H27" s="2038"/>
      <c r="I27" s="2038"/>
      <c r="J27" s="2025"/>
      <c r="K27" s="2073"/>
      <c r="L27" s="2074"/>
      <c r="M27" s="2074"/>
      <c r="N27" s="2075"/>
      <c r="O27" s="2074"/>
      <c r="P27" s="2075"/>
      <c r="Q27" s="2025"/>
      <c r="R27" s="2025"/>
      <c r="S27" s="2025"/>
      <c r="T27" s="2025"/>
      <c r="U27" s="2025"/>
      <c r="V27" s="2025"/>
    </row>
    <row r="28" spans="1:22" ht="18" customHeight="1">
      <c r="A28" s="3126"/>
      <c r="B28" s="2031" t="s">
        <v>1825</v>
      </c>
      <c r="C28" s="2112" t="s">
        <v>3050</v>
      </c>
      <c r="D28" s="2113"/>
      <c r="E28" s="2038"/>
      <c r="F28" s="2038"/>
      <c r="G28" s="2038"/>
      <c r="H28" s="2038"/>
      <c r="I28" s="2038"/>
      <c r="J28" s="2025"/>
      <c r="K28" s="2114"/>
      <c r="L28" s="2024"/>
      <c r="M28" s="2024"/>
      <c r="N28" s="2025"/>
      <c r="O28" s="2026"/>
      <c r="P28" s="2025"/>
      <c r="Q28" s="2025"/>
      <c r="R28" s="2025"/>
      <c r="S28" s="2025"/>
      <c r="T28" s="2025"/>
      <c r="U28" s="2025"/>
      <c r="V28" s="2025"/>
    </row>
    <row r="29" spans="1:22" ht="18" customHeight="1">
      <c r="A29" s="3126"/>
      <c r="B29" s="2031" t="s">
        <v>1826</v>
      </c>
      <c r="C29" s="2115" t="s">
        <v>3140</v>
      </c>
      <c r="D29" s="2116"/>
      <c r="E29" s="2038"/>
      <c r="F29" s="2038"/>
      <c r="G29" s="2038"/>
      <c r="H29" s="2038"/>
      <c r="I29" s="2038"/>
      <c r="J29" s="2025"/>
      <c r="K29" s="2114"/>
      <c r="L29" s="2024"/>
      <c r="M29" s="2024"/>
      <c r="N29" s="2025"/>
      <c r="O29" s="2026"/>
      <c r="P29" s="2025"/>
      <c r="Q29" s="2025"/>
      <c r="R29" s="2025"/>
      <c r="S29" s="2025"/>
      <c r="T29" s="2025"/>
      <c r="U29" s="2025"/>
      <c r="V29" s="2025"/>
    </row>
    <row r="30" spans="1:22" ht="18" customHeight="1">
      <c r="A30" s="3127"/>
      <c r="B30" s="2031" t="s">
        <v>1827</v>
      </c>
      <c r="C30" s="3128"/>
      <c r="D30" s="3129"/>
      <c r="E30" s="2038"/>
      <c r="F30" s="2038"/>
      <c r="G30" s="2038"/>
      <c r="H30" s="2038"/>
      <c r="I30" s="2038"/>
      <c r="J30" s="2025"/>
      <c r="K30" s="2114"/>
      <c r="L30" s="2024"/>
      <c r="M30" s="2024"/>
      <c r="N30" s="2025"/>
      <c r="O30" s="2026"/>
      <c r="P30" s="2025"/>
      <c r="Q30" s="2025"/>
      <c r="R30" s="2025"/>
      <c r="S30" s="2025"/>
      <c r="T30" s="2025"/>
      <c r="U30" s="2025"/>
      <c r="V30" s="2025"/>
    </row>
    <row r="31" spans="1:22" ht="18" customHeight="1">
      <c r="A31" s="3130" t="s">
        <v>1828</v>
      </c>
      <c r="B31" s="2117" t="s">
        <v>3052</v>
      </c>
      <c r="C31" s="2118" t="str">
        <f>IF(B31="现房","成新及维护状况正常否",IF(B31="在建","工程状态是否正常",IF(B31="土地","是否闲置","-")))</f>
        <v>工程状态是否正常</v>
      </c>
      <c r="D31" s="2119"/>
      <c r="E31" s="2120"/>
      <c r="F31" s="2038"/>
      <c r="G31" s="2038"/>
      <c r="H31" s="2038"/>
      <c r="I31" s="2038"/>
      <c r="J31" s="2038"/>
      <c r="K31" s="2046"/>
      <c r="L31" s="2024"/>
      <c r="M31" s="2024"/>
      <c r="N31" s="2025"/>
      <c r="O31" s="2026"/>
      <c r="P31" s="2025"/>
      <c r="Q31" s="2025"/>
      <c r="R31" s="2025"/>
      <c r="S31" s="2025"/>
      <c r="T31" s="2025"/>
      <c r="U31" s="2025"/>
      <c r="V31" s="2025"/>
    </row>
    <row r="32" spans="1:22" ht="18" customHeight="1">
      <c r="A32" s="3131"/>
      <c r="B32" s="2117"/>
      <c r="C32" s="2118" t="str">
        <f>IF(B32="现房","成新及维护状况是否正常",IF(B32="在建","工程状态是否正常",IF(B32="土地","是否闲置","-")))</f>
        <v>-</v>
      </c>
      <c r="D32" s="2119"/>
      <c r="E32" s="2120"/>
      <c r="F32" s="2038"/>
      <c r="G32" s="2038"/>
      <c r="H32" s="2038"/>
      <c r="I32" s="2038"/>
      <c r="J32" s="2038"/>
      <c r="K32" s="2047"/>
      <c r="L32" s="2024"/>
      <c r="M32" s="2024"/>
      <c r="N32" s="2025"/>
      <c r="O32" s="2026"/>
      <c r="P32" s="2025"/>
      <c r="Q32" s="2025"/>
      <c r="R32" s="2025"/>
      <c r="S32" s="2025"/>
      <c r="T32" s="2025"/>
      <c r="U32" s="2025"/>
      <c r="V32" s="2025"/>
    </row>
    <row r="33" spans="1:22" ht="18" customHeight="1">
      <c r="A33" s="3131"/>
      <c r="B33" s="2121"/>
      <c r="C33" s="2061" t="str">
        <f>IF(B33="现房","成新及维护状况是否正常",IF(B33="在建","工程状态是否正常",IF(B33="土地","是否闲置","-")))</f>
        <v>-</v>
      </c>
      <c r="D33" s="2122"/>
      <c r="E33" s="2123"/>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1829</v>
      </c>
      <c r="B34" s="2124" t="s">
        <v>3053</v>
      </c>
      <c r="C34" s="2124" t="s">
        <v>3054</v>
      </c>
      <c r="D34" s="2124" t="s">
        <v>3055</v>
      </c>
      <c r="E34" s="2124" t="s">
        <v>3056</v>
      </c>
      <c r="F34" s="2124" t="s">
        <v>3057</v>
      </c>
      <c r="G34" s="2124" t="s">
        <v>3058</v>
      </c>
      <c r="H34" s="2124" t="s">
        <v>3059</v>
      </c>
      <c r="I34" s="2038"/>
      <c r="J34" s="2038"/>
      <c r="K34" s="1792">
        <f>COUNTIF(B34:H34,"——")</f>
        <v>0</v>
      </c>
      <c r="L34" s="2065" t="s">
        <v>1830</v>
      </c>
      <c r="M34" s="2065" t="s">
        <v>1831</v>
      </c>
      <c r="N34" s="2065" t="s">
        <v>1832</v>
      </c>
      <c r="O34" s="2065" t="s">
        <v>1833</v>
      </c>
      <c r="P34" s="2065" t="s">
        <v>1834</v>
      </c>
      <c r="Q34" s="2065" t="s">
        <v>1835</v>
      </c>
      <c r="R34" s="2065" t="s">
        <v>1836</v>
      </c>
      <c r="S34" s="3125" t="s">
        <v>1837</v>
      </c>
      <c r="T34" s="2125" t="str">
        <f>NUMBERSTRING(7-K34,1)&amp;"通"</f>
        <v>七通</v>
      </c>
      <c r="U34" s="2025"/>
      <c r="V34" s="2025"/>
    </row>
    <row r="35" spans="1:22" ht="18" customHeight="1">
      <c r="A35" s="2126"/>
      <c r="B35" s="3132" t="s">
        <v>1838</v>
      </c>
      <c r="C35" s="3132"/>
      <c r="D35" s="3132"/>
      <c r="E35" s="3132"/>
      <c r="F35" s="2127" t="str">
        <f>C10</f>
        <v>河南省郑州市</v>
      </c>
      <c r="G35" s="2038"/>
      <c r="H35" s="2038"/>
      <c r="I35" s="2038"/>
      <c r="J35" s="2038"/>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25"/>
      <c r="T35" s="48" t="str">
        <f>IF(T34="一通",L35,IF(T34="二通",M35,IF(T34="三通",N35,IF(T34="四通",O35,IF(T34="五通",P35,IF(T34="六通",Q35,R35))))))</f>
        <v>通路、通电、通讯、通上水、通下水、通热、燃气</v>
      </c>
      <c r="U35" s="2025"/>
      <c r="V35" s="2025"/>
    </row>
    <row r="36" spans="1:22" ht="18" customHeight="1">
      <c r="A36" s="2128"/>
      <c r="B36" s="2127" t="s">
        <v>1839</v>
      </c>
      <c r="C36" s="2127" t="s">
        <v>1840</v>
      </c>
      <c r="D36" s="2127" t="s">
        <v>1841</v>
      </c>
      <c r="E36" s="2127" t="s">
        <v>1842</v>
      </c>
      <c r="F36" s="2129"/>
      <c r="G36" s="2038"/>
      <c r="H36" s="2038"/>
      <c r="I36" s="2038"/>
      <c r="J36" s="2038"/>
      <c r="K36" s="2047"/>
      <c r="L36" s="2024"/>
      <c r="M36" s="2024"/>
      <c r="N36" s="2025"/>
      <c r="O36" s="2026"/>
      <c r="P36" s="2025"/>
      <c r="Q36" s="2025"/>
      <c r="R36" s="2025"/>
      <c r="S36" s="2025"/>
      <c r="T36" s="2025"/>
      <c r="U36" s="2025"/>
      <c r="V36" s="2025"/>
    </row>
    <row r="37" spans="1:22" ht="18" customHeight="1">
      <c r="A37" s="2130" t="s">
        <v>1843</v>
      </c>
      <c r="B37" s="2131"/>
      <c r="C37" s="2131"/>
      <c r="D37" s="2131"/>
      <c r="E37" s="2131"/>
      <c r="F37" s="2129"/>
      <c r="G37" s="2038"/>
      <c r="H37" s="2038"/>
      <c r="I37" s="2038"/>
      <c r="J37" s="2038"/>
      <c r="K37" s="2047"/>
      <c r="L37" s="2024"/>
      <c r="M37" s="2024"/>
      <c r="N37" s="2025"/>
      <c r="O37" s="2026"/>
      <c r="P37" s="2025"/>
      <c r="Q37" s="2025"/>
      <c r="R37" s="2025"/>
      <c r="S37" s="2025"/>
      <c r="T37" s="2025"/>
      <c r="U37" s="2025"/>
      <c r="V37" s="2025"/>
    </row>
    <row r="38" spans="1:22" ht="18" customHeight="1" thickBot="1">
      <c r="A38" s="2132" t="s">
        <v>1844</v>
      </c>
      <c r="B38" s="2133"/>
      <c r="C38" s="2133"/>
      <c r="D38" s="2133"/>
      <c r="E38" s="2133"/>
      <c r="F38" s="2134"/>
      <c r="G38" s="2055"/>
      <c r="H38" s="2055"/>
      <c r="I38" s="2055"/>
      <c r="J38" s="2038"/>
      <c r="K38" s="2047"/>
      <c r="L38" s="2024"/>
      <c r="M38" s="2024"/>
      <c r="N38" s="2025"/>
      <c r="O38" s="2026"/>
      <c r="P38" s="2025"/>
      <c r="Q38" s="2025"/>
      <c r="R38" s="2025"/>
      <c r="S38" s="2025"/>
      <c r="T38" s="2025"/>
      <c r="U38" s="2025"/>
      <c r="V38" s="2025"/>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5"/>
      <c r="B40" s="2025"/>
      <c r="C40" s="2025"/>
      <c r="D40" s="2025"/>
      <c r="E40" s="2025"/>
      <c r="F40" s="2025"/>
      <c r="G40" s="2025"/>
      <c r="H40" s="2025"/>
      <c r="I40" s="2140"/>
      <c r="J40" s="2075"/>
      <c r="K40" s="666"/>
      <c r="L40" s="2074"/>
      <c r="M40" s="2074"/>
      <c r="N40" s="2075"/>
      <c r="O40" s="2074"/>
      <c r="P40" s="2025"/>
      <c r="Q40" s="2025"/>
      <c r="R40" s="2025"/>
      <c r="S40" s="2025"/>
      <c r="T40" s="2025"/>
      <c r="U40" s="2025"/>
      <c r="V40" s="2025"/>
    </row>
    <row r="41" spans="1:22" ht="18" customHeight="1">
      <c r="A41" s="8" t="s">
        <v>1846</v>
      </c>
      <c r="B41" s="2141"/>
      <c r="C41" s="2142"/>
      <c r="D41" s="2025"/>
      <c r="E41" s="2025"/>
      <c r="F41" s="2025"/>
      <c r="G41" s="2025"/>
      <c r="H41" s="2025"/>
      <c r="I41" s="2026"/>
      <c r="J41" s="2025"/>
      <c r="K41" s="2114"/>
      <c r="L41" s="2024"/>
      <c r="M41" s="2024"/>
      <c r="N41" s="2025"/>
      <c r="O41" s="2026"/>
      <c r="P41" s="2025"/>
      <c r="Q41" s="2025"/>
      <c r="R41" s="2025"/>
      <c r="S41" s="2025"/>
      <c r="T41" s="2025"/>
      <c r="U41" s="2025"/>
      <c r="V41" s="2025"/>
    </row>
    <row r="42" spans="1:22" ht="18" customHeight="1">
      <c r="A42" s="2065" t="s">
        <v>1847</v>
      </c>
      <c r="B42" s="1792" t="s">
        <v>1848</v>
      </c>
      <c r="C42" s="1792" t="s">
        <v>1849</v>
      </c>
      <c r="D42" s="1792" t="s">
        <v>1850</v>
      </c>
      <c r="E42" s="1792" t="s">
        <v>1851</v>
      </c>
      <c r="F42" s="1792" t="s">
        <v>1852</v>
      </c>
      <c r="G42" s="1792" t="s">
        <v>1853</v>
      </c>
      <c r="H42" s="1792" t="s">
        <v>1854</v>
      </c>
      <c r="I42" s="1792" t="s">
        <v>1855</v>
      </c>
      <c r="J42" s="2143" t="s">
        <v>1856</v>
      </c>
      <c r="K42" s="2066" t="s">
        <v>1857</v>
      </c>
      <c r="L42" s="2066" t="s">
        <v>1858</v>
      </c>
      <c r="M42" s="2066" t="s">
        <v>1859</v>
      </c>
      <c r="N42" s="1792" t="s">
        <v>1860</v>
      </c>
      <c r="O42" s="1792" t="s">
        <v>1861</v>
      </c>
      <c r="P42" s="1792" t="s">
        <v>1862</v>
      </c>
      <c r="Q42" s="2065" t="s">
        <v>1863</v>
      </c>
      <c r="R42" s="2065" t="s">
        <v>1864</v>
      </c>
      <c r="S42" s="2025"/>
      <c r="T42" s="2025"/>
      <c r="U42" s="2025"/>
      <c r="V42" s="2025"/>
    </row>
    <row r="43" spans="1:22" s="2148" customFormat="1" ht="18" customHeight="1">
      <c r="A43" s="2144"/>
      <c r="B43" s="1269"/>
      <c r="C43" s="1269"/>
      <c r="D43" s="1269"/>
      <c r="E43" s="1269"/>
      <c r="F43" s="1269"/>
      <c r="G43" s="1269"/>
      <c r="H43" s="9"/>
      <c r="I43" s="9"/>
      <c r="J43" s="2145"/>
      <c r="K43" s="2146"/>
      <c r="L43" s="2146"/>
      <c r="M43" s="9"/>
      <c r="N43" s="1269"/>
      <c r="O43" s="9"/>
      <c r="P43" s="1269"/>
      <c r="Q43" s="1269"/>
      <c r="R43" s="1269"/>
      <c r="S43" s="2147"/>
      <c r="T43" s="2147"/>
      <c r="U43" s="2147"/>
      <c r="V43" s="2147"/>
    </row>
    <row r="44" spans="1:22" s="2148" customFormat="1" ht="18" customHeight="1">
      <c r="A44" s="2144"/>
      <c r="B44" s="2144"/>
      <c r="C44" s="1269"/>
      <c r="D44" s="1269"/>
      <c r="E44" s="1269"/>
      <c r="F44" s="1269"/>
      <c r="G44" s="1269"/>
      <c r="H44" s="9"/>
      <c r="I44" s="9"/>
      <c r="J44" s="2145"/>
      <c r="K44" s="2146"/>
      <c r="L44" s="2146"/>
      <c r="M44" s="9"/>
      <c r="N44" s="1269"/>
      <c r="O44" s="9"/>
      <c r="P44" s="1269"/>
      <c r="Q44" s="1269"/>
      <c r="R44" s="1269"/>
      <c r="S44" s="2147"/>
      <c r="T44" s="2147"/>
      <c r="U44" s="2147"/>
      <c r="V44" s="2147"/>
    </row>
    <row r="45" spans="1:22" s="2148" customFormat="1" ht="18" customHeight="1">
      <c r="A45" s="2144"/>
      <c r="B45" s="2144"/>
      <c r="C45" s="1269"/>
      <c r="D45" s="1269"/>
      <c r="E45" s="1269"/>
      <c r="F45" s="1269"/>
      <c r="G45" s="1269"/>
      <c r="H45" s="9"/>
      <c r="I45" s="9"/>
      <c r="J45" s="2145"/>
      <c r="K45" s="2146"/>
      <c r="L45" s="2146"/>
      <c r="M45" s="9"/>
      <c r="N45" s="1269"/>
      <c r="O45" s="9"/>
      <c r="P45" s="1269"/>
      <c r="Q45" s="1269"/>
      <c r="R45" s="1269"/>
      <c r="S45" s="2147"/>
      <c r="T45" s="2147"/>
      <c r="U45" s="2147"/>
      <c r="V45" s="2147"/>
    </row>
    <row r="46" spans="1:22" s="2148" customFormat="1" ht="18" customHeight="1">
      <c r="A46" s="2144"/>
      <c r="B46" s="2144"/>
      <c r="C46" s="1269"/>
      <c r="D46" s="1269"/>
      <c r="E46" s="1269"/>
      <c r="F46" s="1269"/>
      <c r="G46" s="1269"/>
      <c r="H46" s="9"/>
      <c r="I46" s="9"/>
      <c r="J46" s="2145"/>
      <c r="K46" s="2146"/>
      <c r="L46" s="2146"/>
      <c r="M46" s="9"/>
      <c r="N46" s="1269"/>
      <c r="O46" s="9"/>
      <c r="P46" s="1269"/>
      <c r="Q46" s="1269"/>
      <c r="R46" s="1269"/>
      <c r="S46" s="2147"/>
      <c r="T46" s="2147"/>
      <c r="U46" s="2147"/>
      <c r="V46" s="2147"/>
    </row>
    <row r="47" spans="1:22" s="2148" customFormat="1" ht="18" customHeight="1">
      <c r="A47" s="2144"/>
      <c r="B47" s="2144"/>
      <c r="C47" s="1269"/>
      <c r="D47" s="1269"/>
      <c r="E47" s="1269"/>
      <c r="F47" s="1269"/>
      <c r="G47" s="1269"/>
      <c r="H47" s="9"/>
      <c r="I47" s="9"/>
      <c r="J47" s="2145"/>
      <c r="K47" s="2146"/>
      <c r="L47" s="2146"/>
      <c r="M47" s="9"/>
      <c r="N47" s="1269"/>
      <c r="O47" s="9"/>
      <c r="P47" s="1269"/>
      <c r="Q47" s="1269"/>
      <c r="R47" s="1269"/>
      <c r="S47" s="2147"/>
      <c r="T47" s="2147"/>
      <c r="U47" s="2147"/>
      <c r="V47" s="2147"/>
    </row>
    <row r="48" spans="1:22" s="2148" customFormat="1" ht="18" customHeight="1">
      <c r="A48" s="2144"/>
      <c r="B48" s="2144"/>
      <c r="C48" s="1269"/>
      <c r="D48" s="1269"/>
      <c r="E48" s="1269"/>
      <c r="F48" s="1269"/>
      <c r="G48" s="1269"/>
      <c r="H48" s="9"/>
      <c r="I48" s="9"/>
      <c r="J48" s="2145"/>
      <c r="K48" s="2146"/>
      <c r="L48" s="2146"/>
      <c r="M48" s="9"/>
      <c r="N48" s="1269"/>
      <c r="O48" s="9"/>
      <c r="P48" s="1269"/>
      <c r="Q48" s="1269"/>
      <c r="R48" s="1269"/>
      <c r="S48" s="2147"/>
      <c r="T48" s="2147"/>
      <c r="U48" s="2147"/>
      <c r="V48" s="2147"/>
    </row>
    <row r="49" spans="1:22" s="2148" customFormat="1" ht="18" customHeight="1">
      <c r="A49" s="2144"/>
      <c r="B49" s="2144"/>
      <c r="C49" s="1269"/>
      <c r="D49" s="1269"/>
      <c r="E49" s="1269"/>
      <c r="F49" s="1269"/>
      <c r="G49" s="1269"/>
      <c r="H49" s="9"/>
      <c r="I49" s="9"/>
      <c r="J49" s="2145"/>
      <c r="K49" s="2146"/>
      <c r="L49" s="2146"/>
      <c r="M49" s="9"/>
      <c r="N49" s="1269"/>
      <c r="O49" s="9"/>
      <c r="P49" s="1269"/>
      <c r="Q49" s="1269"/>
      <c r="R49" s="1269"/>
      <c r="S49" s="2147"/>
      <c r="T49" s="2147"/>
      <c r="U49" s="2147"/>
      <c r="V49" s="2147"/>
    </row>
    <row r="50" spans="1:22" s="2148" customFormat="1" ht="18" customHeight="1">
      <c r="A50" s="2144"/>
      <c r="B50" s="2144"/>
      <c r="C50" s="1269"/>
      <c r="D50" s="1269"/>
      <c r="E50" s="1269"/>
      <c r="F50" s="1269"/>
      <c r="G50" s="1269"/>
      <c r="H50" s="9"/>
      <c r="I50" s="9"/>
      <c r="J50" s="2145"/>
      <c r="K50" s="2146"/>
      <c r="L50" s="2146"/>
      <c r="M50" s="9"/>
      <c r="N50" s="1269"/>
      <c r="O50" s="9"/>
      <c r="P50" s="1269"/>
      <c r="Q50" s="1269"/>
      <c r="R50" s="1269"/>
      <c r="S50" s="2147"/>
      <c r="T50" s="2147"/>
      <c r="U50" s="2147"/>
      <c r="V50" s="2147"/>
    </row>
    <row r="51" spans="1:22" s="2148" customFormat="1" ht="18" customHeight="1">
      <c r="A51" s="2144"/>
      <c r="B51" s="2144"/>
      <c r="C51" s="1269"/>
      <c r="D51" s="1269"/>
      <c r="E51" s="1269"/>
      <c r="F51" s="1269"/>
      <c r="G51" s="1269"/>
      <c r="H51" s="9"/>
      <c r="I51" s="9"/>
      <c r="J51" s="2145"/>
      <c r="K51" s="2146"/>
      <c r="L51" s="2146"/>
      <c r="M51" s="9"/>
      <c r="N51" s="1269"/>
      <c r="O51" s="9"/>
      <c r="P51" s="1269"/>
      <c r="Q51" s="1269"/>
      <c r="R51" s="1269"/>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hidden="1" customWidth="1"/>
    <col min="16" max="16" width="9.75" style="2150" hidden="1"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bestFit="1" customWidth="1"/>
    <col min="30" max="30" width="10" style="2150" hidden="1" customWidth="1"/>
    <col min="31" max="31" width="9.75" style="2150" hidden="1" customWidth="1"/>
    <col min="32" max="45" width="9.5" style="2150" hidden="1" customWidth="1"/>
    <col min="46"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4" t="s">
        <v>1866</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6" t="s">
        <v>1870</v>
      </c>
      <c r="AZ2" s="1267"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f>面积!I43</f>
        <v>20565.18</v>
      </c>
      <c r="B3" s="14">
        <f>IF(C3="否",G5-AT5,G5)</f>
        <v>120164.37999999998</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8"/>
      <c r="AZ3" s="1269"/>
      <c r="BA3" s="1270"/>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800"/>
      <c r="C5" s="1800"/>
      <c r="D5" s="1803"/>
      <c r="E5" s="16" t="s">
        <v>1</v>
      </c>
      <c r="F5" s="16">
        <f>SUM(F13:F587)</f>
        <v>0</v>
      </c>
      <c r="G5" s="16">
        <f>SUM(G13:G587)</f>
        <v>120164.37999999998</v>
      </c>
      <c r="H5" s="16">
        <f t="shared" ref="H5:AT5" si="0">SUM(H13:H656)</f>
        <v>120164.37999999998</v>
      </c>
      <c r="I5" s="16">
        <f t="shared" si="0"/>
        <v>25608.019999999997</v>
      </c>
      <c r="J5" s="16">
        <f t="shared" si="0"/>
        <v>0</v>
      </c>
      <c r="K5" s="16">
        <f t="shared" si="0"/>
        <v>89098.739999999991</v>
      </c>
      <c r="L5" s="16">
        <f t="shared" si="0"/>
        <v>0</v>
      </c>
      <c r="M5" s="16">
        <f t="shared" si="0"/>
        <v>5457.62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1874</v>
      </c>
      <c r="AW5" s="1800"/>
      <c r="AX5" s="1800"/>
      <c r="AY5" s="17" t="s">
        <v>3</v>
      </c>
      <c r="AZ5" s="18">
        <f t="shared" ref="AZ5:BT5" si="1">SUM(AZ13:AZ656)</f>
        <v>120164.37999999998</v>
      </c>
      <c r="BA5" s="18">
        <f t="shared" si="1"/>
        <v>120164.37999999998</v>
      </c>
      <c r="BB5" s="18">
        <f t="shared" si="1"/>
        <v>25608.019999999997</v>
      </c>
      <c r="BC5" s="18">
        <f t="shared" si="1"/>
        <v>89098.739999999991</v>
      </c>
      <c r="BD5" s="18">
        <f t="shared" si="1"/>
        <v>5457.62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1875</v>
      </c>
      <c r="B6" s="2165"/>
      <c r="C6" s="2165"/>
      <c r="D6" s="2166"/>
      <c r="E6" s="16">
        <f>H6+AC6+AT6</f>
        <v>20565.18</v>
      </c>
      <c r="F6" s="16" t="s">
        <v>1</v>
      </c>
      <c r="G6" s="16" t="s">
        <v>2</v>
      </c>
      <c r="H6" s="20">
        <f>SUMIF(I$12:AB$12,"总值",I6:AB6)</f>
        <v>20565.18</v>
      </c>
      <c r="I6" s="16">
        <f t="shared" ref="I6:AB6" si="2">ROUND($A$3*I5/$B$3,2)</f>
        <v>4382.6099999999997</v>
      </c>
      <c r="J6" s="16">
        <f t="shared" si="2"/>
        <v>0</v>
      </c>
      <c r="K6" s="16">
        <f t="shared" si="2"/>
        <v>15248.54</v>
      </c>
      <c r="L6" s="16">
        <f t="shared" si="2"/>
        <v>0</v>
      </c>
      <c r="M6" s="16">
        <f t="shared" si="2"/>
        <v>934.03</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20565.18</v>
      </c>
      <c r="AZ6" s="16" t="s">
        <v>3</v>
      </c>
      <c r="BA6" s="16">
        <f>ROUND($AY$6*BA5/$AZ$5,2)</f>
        <v>20565.18</v>
      </c>
      <c r="BB6" s="16">
        <f>ROUND($AY$6*BB5/$AZ$5,2)</f>
        <v>4382.6099999999997</v>
      </c>
      <c r="BC6" s="16">
        <f t="shared" ref="BC6:BH6" si="4">ROUND($AY$6*BC5/$AZ$5,2)</f>
        <v>15248.54</v>
      </c>
      <c r="BD6" s="16">
        <f t="shared" si="4"/>
        <v>934.03</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3"/>
      <c r="AU7" s="2170" t="s">
        <v>1883</v>
      </c>
      <c r="AV7" s="23" t="s">
        <v>1884</v>
      </c>
      <c r="AW7" s="2157" t="s">
        <v>1885</v>
      </c>
      <c r="AX7" s="23" t="s">
        <v>1878</v>
      </c>
      <c r="AY7" s="1800"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15"/>
      <c r="K8" s="1815"/>
      <c r="L8" s="1815"/>
      <c r="M8" s="1815"/>
      <c r="N8" s="1815"/>
      <c r="O8" s="1815"/>
      <c r="P8" s="1815"/>
      <c r="Q8" s="1815"/>
      <c r="R8" s="1815"/>
      <c r="S8" s="1815"/>
      <c r="T8" s="1815"/>
      <c r="U8" s="1815"/>
      <c r="V8" s="2177"/>
      <c r="W8" s="1815"/>
      <c r="X8" s="1815"/>
      <c r="Y8" s="1815"/>
      <c r="Z8" s="1815"/>
      <c r="AA8" s="2177"/>
      <c r="AB8" s="2178"/>
      <c r="AC8" s="978" t="s">
        <v>1889</v>
      </c>
      <c r="AD8" s="2179"/>
      <c r="AE8" s="2171"/>
      <c r="AF8" s="1815"/>
      <c r="AG8" s="1815"/>
      <c r="AH8" s="1815"/>
      <c r="AI8" s="1815"/>
      <c r="AJ8" s="1815"/>
      <c r="AK8" s="1815"/>
      <c r="AL8" s="1815"/>
      <c r="AM8" s="1815"/>
      <c r="AN8" s="1815"/>
      <c r="AO8" s="1815"/>
      <c r="AP8" s="1815"/>
      <c r="AQ8" s="1815"/>
      <c r="AR8" s="1815"/>
      <c r="AS8" s="1815"/>
      <c r="AT8" s="1289" t="s">
        <v>1890</v>
      </c>
      <c r="AU8" s="2173" t="s">
        <v>1891</v>
      </c>
      <c r="AV8" s="1289"/>
      <c r="AW8" s="2156"/>
      <c r="AX8" s="1289"/>
      <c r="AY8" s="2157" t="s">
        <v>1892</v>
      </c>
      <c r="AZ8" s="1814" t="s">
        <v>1893</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0" customFormat="1" ht="12.75">
      <c r="A9" s="2173"/>
      <c r="B9" s="2173"/>
      <c r="C9" s="2173"/>
      <c r="D9" s="2173"/>
      <c r="E9" s="2173"/>
      <c r="F9" s="2173"/>
      <c r="G9" s="1289"/>
      <c r="H9" s="2181" t="s">
        <v>1894</v>
      </c>
      <c r="I9" s="2182" t="s">
        <v>3082</v>
      </c>
      <c r="J9" s="978"/>
      <c r="K9" s="2182" t="s">
        <v>3082</v>
      </c>
      <c r="L9" s="978"/>
      <c r="M9" s="2182" t="s">
        <v>3082</v>
      </c>
      <c r="N9" s="978"/>
      <c r="O9" s="2182"/>
      <c r="P9" s="978"/>
      <c r="Q9" s="2182"/>
      <c r="R9" s="978"/>
      <c r="S9" s="2182"/>
      <c r="T9" s="978"/>
      <c r="U9" s="2182"/>
      <c r="V9" s="978"/>
      <c r="W9" s="2182"/>
      <c r="X9" s="2183"/>
      <c r="Y9" s="2182"/>
      <c r="Z9" s="978"/>
      <c r="AA9" s="2182"/>
      <c r="AB9" s="978"/>
      <c r="AC9" s="2174"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4"/>
      <c r="AT9" s="2173"/>
      <c r="AU9" s="2173" t="s">
        <v>1897</v>
      </c>
      <c r="AV9" s="1289"/>
      <c r="AW9" s="2156"/>
      <c r="AX9" s="1289"/>
      <c r="AY9" s="28"/>
      <c r="AZ9" s="28" t="s">
        <v>1887</v>
      </c>
      <c r="BA9" s="2185" t="s">
        <v>1898</v>
      </c>
      <c r="BB9" s="2186"/>
      <c r="BC9" s="1335"/>
      <c r="BD9" s="1335"/>
      <c r="BE9" s="1335"/>
      <c r="BF9" s="1335"/>
      <c r="BG9" s="1335"/>
      <c r="BH9" s="1335"/>
      <c r="BI9" s="1335"/>
      <c r="BJ9" s="1335"/>
      <c r="BK9" s="2187"/>
      <c r="BL9" s="15" t="s">
        <v>1899</v>
      </c>
      <c r="BM9" s="1815"/>
      <c r="BN9" s="2176"/>
      <c r="BO9" s="1815"/>
      <c r="BP9" s="1815"/>
      <c r="BQ9" s="1815"/>
      <c r="BR9" s="1815"/>
      <c r="BS9" s="1815"/>
      <c r="BT9" s="26"/>
    </row>
    <row r="10" spans="1:72" s="2180" customFormat="1" ht="12.75">
      <c r="A10" s="2173"/>
      <c r="B10" s="2173"/>
      <c r="C10" s="2173"/>
      <c r="D10" s="2173"/>
      <c r="E10" s="2173"/>
      <c r="F10" s="2173"/>
      <c r="G10" s="1289"/>
      <c r="H10" s="28"/>
      <c r="I10" s="2182" t="s">
        <v>3068</v>
      </c>
      <c r="J10" s="978"/>
      <c r="K10" s="2188" t="s">
        <v>1372</v>
      </c>
      <c r="L10" s="978"/>
      <c r="M10" s="2188" t="s">
        <v>1372</v>
      </c>
      <c r="N10" s="978"/>
      <c r="O10" s="2188"/>
      <c r="P10" s="978"/>
      <c r="Q10" s="2188"/>
      <c r="R10" s="978"/>
      <c r="S10" s="2188"/>
      <c r="T10" s="978"/>
      <c r="U10" s="2188"/>
      <c r="V10" s="978"/>
      <c r="W10" s="2188"/>
      <c r="X10" s="978"/>
      <c r="Y10" s="2188"/>
      <c r="Z10" s="978"/>
      <c r="AA10" s="2188"/>
      <c r="AB10" s="978"/>
      <c r="AC10" s="1289"/>
      <c r="AD10" s="15" t="s">
        <v>1900</v>
      </c>
      <c r="AE10" s="2189"/>
      <c r="AF10" s="15" t="s">
        <v>1900</v>
      </c>
      <c r="AG10" s="2189"/>
      <c r="AH10" s="15" t="s">
        <v>1901</v>
      </c>
      <c r="AI10" s="2189"/>
      <c r="AJ10" s="15" t="s">
        <v>1901</v>
      </c>
      <c r="AK10" s="2189"/>
      <c r="AL10" s="15" t="s">
        <v>1902</v>
      </c>
      <c r="AM10" s="1295"/>
      <c r="AN10" s="15" t="s">
        <v>1902</v>
      </c>
      <c r="AO10" s="1295"/>
      <c r="AP10" s="15" t="s">
        <v>1903</v>
      </c>
      <c r="AQ10" s="1295"/>
      <c r="AR10" s="15" t="s">
        <v>1903</v>
      </c>
      <c r="AS10" s="1295"/>
      <c r="AT10" s="2173"/>
      <c r="AU10" s="2173"/>
      <c r="AV10" s="1289"/>
      <c r="AW10" s="2156"/>
      <c r="AX10" s="1289"/>
      <c r="AY10" s="28"/>
      <c r="AZ10" s="28"/>
      <c r="BA10" s="2190" t="s">
        <v>1894</v>
      </c>
      <c r="BB10" s="2191" t="str">
        <f>I9</f>
        <v>地上</v>
      </c>
      <c r="BC10" s="29" t="str">
        <f>K9</f>
        <v>地上</v>
      </c>
      <c r="BD10" s="29" t="str">
        <f>M9</f>
        <v>地上</v>
      </c>
      <c r="BE10" s="29">
        <f>O9</f>
        <v>0</v>
      </c>
      <c r="BF10" s="29">
        <f>Q9</f>
        <v>0</v>
      </c>
      <c r="BG10" s="29">
        <f>S9</f>
        <v>0</v>
      </c>
      <c r="BH10" s="29">
        <f>U9</f>
        <v>0</v>
      </c>
      <c r="BI10" s="29">
        <f>W9</f>
        <v>0</v>
      </c>
      <c r="BJ10" s="29">
        <f>Y9</f>
        <v>0</v>
      </c>
      <c r="BK10" s="29">
        <f>AA9</f>
        <v>0</v>
      </c>
      <c r="BL10" s="25" t="s">
        <v>1894</v>
      </c>
      <c r="BM10" s="1814" t="str">
        <f>AD9</f>
        <v>地上</v>
      </c>
      <c r="BN10" s="29" t="str">
        <f>AF9</f>
        <v>地下</v>
      </c>
      <c r="BO10" s="1814" t="str">
        <f>AH9</f>
        <v>地上</v>
      </c>
      <c r="BP10" s="29" t="str">
        <f>AJ9</f>
        <v>地下</v>
      </c>
      <c r="BQ10" s="1814" t="str">
        <f>AL9</f>
        <v>地上</v>
      </c>
      <c r="BR10" s="29" t="str">
        <f>AN9</f>
        <v>地下</v>
      </c>
      <c r="BS10" s="1814" t="str">
        <f>AP9</f>
        <v>地上</v>
      </c>
      <c r="BT10" s="2192" t="str">
        <f>AR9</f>
        <v>地下</v>
      </c>
    </row>
    <row r="11" spans="1:72" s="2180" customFormat="1" ht="12.75">
      <c r="A11" s="2173"/>
      <c r="B11" s="2173"/>
      <c r="C11" s="2173"/>
      <c r="D11" s="2173"/>
      <c r="E11" s="2173"/>
      <c r="F11" s="2173"/>
      <c r="G11" s="1289"/>
      <c r="H11" s="2190"/>
      <c r="I11" s="2193" t="s">
        <v>3143</v>
      </c>
      <c r="J11" s="2194"/>
      <c r="K11" s="2193" t="s">
        <v>3141</v>
      </c>
      <c r="L11" s="2194"/>
      <c r="M11" s="2193" t="s">
        <v>3142</v>
      </c>
      <c r="N11" s="2194"/>
      <c r="O11" s="2193"/>
      <c r="P11" s="2194"/>
      <c r="Q11" s="2193"/>
      <c r="R11" s="2194"/>
      <c r="S11" s="2193"/>
      <c r="T11" s="2194"/>
      <c r="U11" s="2193"/>
      <c r="V11" s="2194"/>
      <c r="W11" s="2193"/>
      <c r="X11" s="2194"/>
      <c r="Y11" s="2193"/>
      <c r="Z11" s="2194"/>
      <c r="AA11" s="2193"/>
      <c r="AB11" s="2194"/>
      <c r="AC11" s="1289"/>
      <c r="AD11" s="2195" t="s">
        <v>1904</v>
      </c>
      <c r="AE11" s="1816"/>
      <c r="AF11" s="2195" t="s">
        <v>1904</v>
      </c>
      <c r="AG11" s="1816"/>
      <c r="AH11" s="2195" t="s">
        <v>1905</v>
      </c>
      <c r="AI11" s="2196"/>
      <c r="AJ11" s="2195" t="s">
        <v>1905</v>
      </c>
      <c r="AK11" s="1816"/>
      <c r="AL11" s="1814"/>
      <c r="AM11" s="1816"/>
      <c r="AN11" s="1814"/>
      <c r="AO11" s="1816"/>
      <c r="AP11" s="1814"/>
      <c r="AQ11" s="1816"/>
      <c r="AR11" s="1814"/>
      <c r="AS11" s="1816"/>
      <c r="AT11" s="2156"/>
      <c r="AU11" s="2173"/>
      <c r="AV11" s="1289"/>
      <c r="AW11" s="2156"/>
      <c r="AX11" s="1289"/>
      <c r="AY11" s="28"/>
      <c r="AZ11" s="28"/>
      <c r="BA11" s="28"/>
      <c r="BB11" s="2178" t="str">
        <f>I10</f>
        <v>住宅</v>
      </c>
      <c r="BC11" s="2178" t="str">
        <f>K10</f>
        <v>商业</v>
      </c>
      <c r="BD11" s="2178" t="str">
        <f>M10</f>
        <v>商业</v>
      </c>
      <c r="BE11" s="2178">
        <f>O10</f>
        <v>0</v>
      </c>
      <c r="BF11" s="2178">
        <f>Q10</f>
        <v>0</v>
      </c>
      <c r="BG11" s="2178">
        <f>S10</f>
        <v>0</v>
      </c>
      <c r="BH11" s="2178">
        <f>U10</f>
        <v>0</v>
      </c>
      <c r="BI11" s="2178">
        <f>W10</f>
        <v>0</v>
      </c>
      <c r="BJ11" s="2178">
        <f>Y10</f>
        <v>0</v>
      </c>
      <c r="BK11" s="2178">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3"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9" t="s">
        <v>1907</v>
      </c>
      <c r="W12" s="11" t="s">
        <v>1906</v>
      </c>
      <c r="X12" s="11" t="s">
        <v>1907</v>
      </c>
      <c r="Y12" s="11" t="s">
        <v>1906</v>
      </c>
      <c r="Z12" s="11" t="s">
        <v>1907</v>
      </c>
      <c r="AA12" s="11" t="s">
        <v>1906</v>
      </c>
      <c r="AB12" s="11" t="s">
        <v>1907</v>
      </c>
      <c r="AC12" s="2200"/>
      <c r="AD12" s="1803"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t="str">
        <f>I11</f>
        <v>平层住宅</v>
      </c>
      <c r="BC12" s="2203" t="str">
        <f>K11</f>
        <v>公寓</v>
      </c>
      <c r="BD12" s="2203" t="str">
        <f>M11</f>
        <v>底商</v>
      </c>
      <c r="BE12" s="2178">
        <f>O11</f>
        <v>0</v>
      </c>
      <c r="BF12" s="2178">
        <f>Q11</f>
        <v>0</v>
      </c>
      <c r="BG12" s="2178">
        <f>S11</f>
        <v>0</v>
      </c>
      <c r="BH12" s="2178">
        <f>U11</f>
        <v>0</v>
      </c>
      <c r="BI12" s="2178">
        <f>W11</f>
        <v>0</v>
      </c>
      <c r="BJ12" s="2178">
        <f>Y11</f>
        <v>0</v>
      </c>
      <c r="BK12" s="2178">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197">
        <f>AR11</f>
        <v>0</v>
      </c>
    </row>
    <row r="13" spans="1:72" s="2158" customFormat="1" ht="12.75">
      <c r="A13" s="1269"/>
      <c r="B13" s="1269"/>
      <c r="C13" s="2953" t="s">
        <v>3068</v>
      </c>
      <c r="D13" s="2204" t="s">
        <v>3060</v>
      </c>
      <c r="E13" s="16">
        <f>IF($C$3="是",ROUND($A$3*G13/$B$3,2),ROUND($A$3*(G13-AT13)/$B$3,2))</f>
        <v>4382.6099999999997</v>
      </c>
      <c r="F13" s="32"/>
      <c r="G13" s="33">
        <f>H13+AC13+AT13</f>
        <v>25608.019999999997</v>
      </c>
      <c r="H13" s="20">
        <f>SUMIF(I$12:AB$12,"总值",I13:AB13)</f>
        <v>25608.019999999997</v>
      </c>
      <c r="I13" s="2205">
        <f>面积!H39</f>
        <v>25608.019999999997</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住宅</v>
      </c>
      <c r="AY13" s="1803">
        <f>ROUND($AY$6*AZ13/$AZ$5,2)</f>
        <v>4382.6099999999997</v>
      </c>
      <c r="AZ13" s="16">
        <f>BA13+BL13</f>
        <v>25608.019999999997</v>
      </c>
      <c r="BA13" s="16">
        <f>SUM(BB13:BK13)</f>
        <v>25608.019999999997</v>
      </c>
      <c r="BB13" s="16">
        <f>IF($D13="是",I13-J13,0)</f>
        <v>25608.019999999997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69"/>
      <c r="B14" s="1269"/>
      <c r="C14" s="2953" t="s">
        <v>3141</v>
      </c>
      <c r="D14" s="2204" t="s">
        <v>3060</v>
      </c>
      <c r="E14" s="16">
        <f>IF($C$3="是",ROUND($A$3*G14/$B$3,2),ROUND($A$3*(G14-AT14)/$B$3,2))</f>
        <v>15248.54</v>
      </c>
      <c r="F14" s="32"/>
      <c r="G14" s="33">
        <f>H14+AC14+AT14</f>
        <v>89098.739999999991</v>
      </c>
      <c r="H14" s="20">
        <f>SUMIF(I$12:AB$12,"总值",I14:AB14)</f>
        <v>89098.739999999991</v>
      </c>
      <c r="I14" s="2205"/>
      <c r="J14" s="2205"/>
      <c r="K14" s="2205">
        <f>面积!H33</f>
        <v>89098.739999999991</v>
      </c>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公寓</v>
      </c>
      <c r="AY14" s="1803">
        <f>ROUND($AY$6*AZ14/$AZ$5,2)</f>
        <v>15248.54</v>
      </c>
      <c r="AZ14" s="16">
        <f>BA14+BL14</f>
        <v>89098.739999999991</v>
      </c>
      <c r="BA14" s="16">
        <f>SUM(BB14:BK14)</f>
        <v>89098.739999999991</v>
      </c>
      <c r="BB14" s="16">
        <f>IF($D14="是",I14-J14,0)</f>
        <v>0</v>
      </c>
      <c r="BC14" s="16">
        <f>IF($D14="是",K14-L14,0)</f>
        <v>89098.739999999991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69"/>
      <c r="B15" s="1269"/>
      <c r="C15" s="2953" t="s">
        <v>3142</v>
      </c>
      <c r="D15" s="2204" t="s">
        <v>3060</v>
      </c>
      <c r="E15" s="16">
        <f>IF($C$3="是",ROUND($A$3*G15/$B$3,2),ROUND($A$3*(G15-AT15)/$B$3,2))</f>
        <v>934.03</v>
      </c>
      <c r="F15" s="32"/>
      <c r="G15" s="33">
        <f>H15+AC15+AT15</f>
        <v>5457.62</v>
      </c>
      <c r="H15" s="20">
        <f>SUMIF(I$12:AB$12,"总值",I15:AB15)</f>
        <v>5457.62</v>
      </c>
      <c r="I15" s="2205"/>
      <c r="J15" s="2205"/>
      <c r="K15" s="2205"/>
      <c r="L15" s="2205"/>
      <c r="M15" s="2205">
        <f>面积!H42</f>
        <v>5457.62</v>
      </c>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t="str">
        <f t="shared" si="6"/>
        <v>底商</v>
      </c>
      <c r="AY15" s="1803">
        <f>ROUND($AY$6*AZ15/$AZ$5,2)</f>
        <v>934.03</v>
      </c>
      <c r="AZ15" s="16">
        <f>BA15+BL15</f>
        <v>5457.62</v>
      </c>
      <c r="BA15" s="16">
        <f>SUM(BB15:BK15)</f>
        <v>5457.62</v>
      </c>
      <c r="BB15" s="16">
        <f>IF($D15="是",I15-J15,0)</f>
        <v>0</v>
      </c>
      <c r="BC15" s="16">
        <f>IF($D15="是",K15-L15,0)</f>
        <v>0</v>
      </c>
      <c r="BD15" s="16">
        <f>IF($D15="是",M15-N15,0)</f>
        <v>5457.62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69"/>
      <c r="B16" s="1269"/>
      <c r="C16" s="2953"/>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69"/>
      <c r="B17" s="1269"/>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43"/>
  <sheetViews>
    <sheetView topLeftCell="A28" zoomScaleNormal="100" workbookViewId="0">
      <selection activeCell="E49" sqref="E49"/>
    </sheetView>
  </sheetViews>
  <sheetFormatPr defaultRowHeight="13.5"/>
  <cols>
    <col min="1" max="1" width="9" bestFit="1" customWidth="1"/>
    <col min="2" max="2" width="15" bestFit="1" customWidth="1"/>
    <col min="3" max="3" width="7.5" bestFit="1" customWidth="1"/>
    <col min="4" max="4" width="12" bestFit="1" customWidth="1"/>
    <col min="5" max="5" width="5.5" bestFit="1" customWidth="1"/>
    <col min="6" max="6" width="10.75" bestFit="1" customWidth="1"/>
    <col min="7" max="7" width="6.25" bestFit="1" customWidth="1"/>
    <col min="8" max="8" width="13" bestFit="1" customWidth="1"/>
    <col min="9" max="9" width="10.5" bestFit="1" customWidth="1"/>
    <col min="10" max="10" width="9.5" bestFit="1" customWidth="1"/>
    <col min="11" max="11" width="12.75" bestFit="1" customWidth="1"/>
    <col min="13" max="13" width="18.375" bestFit="1" customWidth="1"/>
    <col min="14" max="14" width="5.5" bestFit="1" customWidth="1"/>
    <col min="15" max="15" width="9.5" bestFit="1" customWidth="1"/>
    <col min="16" max="17" width="13.875" bestFit="1" customWidth="1"/>
    <col min="25" max="25" width="18.375" bestFit="1" customWidth="1"/>
    <col min="26" max="26" width="5.5" bestFit="1" customWidth="1"/>
    <col min="27" max="28" width="16.125" bestFit="1" customWidth="1"/>
    <col min="29" max="29" width="13.875" bestFit="1" customWidth="1"/>
  </cols>
  <sheetData>
    <row r="2" spans="1:29" ht="14.25" thickBot="1">
      <c r="A2" s="2970" t="s">
        <v>3125</v>
      </c>
    </row>
    <row r="3" spans="1:29" ht="14.25">
      <c r="A3" s="3136" t="s">
        <v>3069</v>
      </c>
      <c r="B3" s="3136" t="s">
        <v>3070</v>
      </c>
      <c r="C3" s="2963" t="s">
        <v>3071</v>
      </c>
      <c r="D3" s="3136" t="s">
        <v>3073</v>
      </c>
      <c r="E3" s="2963" t="s">
        <v>3074</v>
      </c>
      <c r="F3" s="3136" t="s">
        <v>3061</v>
      </c>
      <c r="G3" s="2963" t="s">
        <v>3062</v>
      </c>
      <c r="H3" s="3136" t="s">
        <v>3064</v>
      </c>
      <c r="I3" s="2963" t="s">
        <v>3062</v>
      </c>
      <c r="J3" s="2963" t="s">
        <v>3079</v>
      </c>
    </row>
    <row r="4" spans="1:29" ht="27.75" thickBot="1">
      <c r="A4" s="3137"/>
      <c r="B4" s="3137"/>
      <c r="C4" s="2954" t="s">
        <v>3072</v>
      </c>
      <c r="D4" s="3137"/>
      <c r="E4" s="2954" t="s">
        <v>3075</v>
      </c>
      <c r="F4" s="3137"/>
      <c r="G4" s="2954" t="s">
        <v>3063</v>
      </c>
      <c r="H4" s="3137"/>
      <c r="I4" s="2954" t="s">
        <v>3065</v>
      </c>
      <c r="J4" s="2954" t="s">
        <v>3065</v>
      </c>
      <c r="Y4" s="3019" t="s">
        <v>3216</v>
      </c>
      <c r="Z4" s="3019" t="s">
        <v>3226</v>
      </c>
      <c r="AA4" s="3021" t="s">
        <v>3227</v>
      </c>
      <c r="AB4" s="3021" t="s">
        <v>3225</v>
      </c>
      <c r="AC4" s="3019" t="s">
        <v>3228</v>
      </c>
    </row>
    <row r="5" spans="1:29" ht="23.25" thickBot="1">
      <c r="A5" s="2962" t="s">
        <v>3076</v>
      </c>
      <c r="B5" s="2960"/>
      <c r="C5" s="2964" t="s">
        <v>3080</v>
      </c>
      <c r="D5" s="2959"/>
      <c r="E5" s="2959">
        <v>8</v>
      </c>
      <c r="F5" s="2959">
        <v>3575</v>
      </c>
      <c r="G5" s="2955" t="s">
        <v>3066</v>
      </c>
      <c r="H5" s="2955" t="s">
        <v>3067</v>
      </c>
      <c r="I5" s="2956">
        <v>115646.81</v>
      </c>
      <c r="J5" s="2956">
        <v>19936.87</v>
      </c>
      <c r="Y5" s="3019" t="s">
        <v>3229</v>
      </c>
      <c r="Z5" s="3019" t="s">
        <v>3230</v>
      </c>
      <c r="AA5" s="3019">
        <f>56546.37</f>
        <v>56546.37</v>
      </c>
      <c r="AB5" s="3019">
        <v>498.97</v>
      </c>
      <c r="AC5" s="3019">
        <f>AA5-AB5</f>
        <v>56047.4</v>
      </c>
    </row>
    <row r="6" spans="1:29" ht="16.5" thickBot="1">
      <c r="A6" s="2957">
        <v>5</v>
      </c>
      <c r="B6" s="2960"/>
      <c r="C6" s="2965" t="s">
        <v>3077</v>
      </c>
      <c r="D6" s="2960"/>
      <c r="E6" s="2960">
        <v>30</v>
      </c>
      <c r="F6" s="2960">
        <v>38</v>
      </c>
      <c r="G6" s="2955" t="s">
        <v>3066</v>
      </c>
      <c r="H6" s="2954" t="s">
        <v>3068</v>
      </c>
      <c r="I6" s="2958">
        <v>2186.84</v>
      </c>
      <c r="J6" s="2958">
        <v>374.26</v>
      </c>
      <c r="Y6" s="3019" t="s">
        <v>3231</v>
      </c>
      <c r="Z6" s="3019" t="s">
        <v>3230</v>
      </c>
      <c r="AA6" s="3019">
        <f>61354.65</f>
        <v>61354.65</v>
      </c>
      <c r="AB6" s="3019">
        <v>6447.34</v>
      </c>
      <c r="AC6" s="3019">
        <f t="shared" ref="AC6:AC14" si="0">AA6-AB6</f>
        <v>54907.31</v>
      </c>
    </row>
    <row r="7" spans="1:29" ht="15.6" customHeight="1" thickBot="1">
      <c r="A7" s="2957">
        <v>10</v>
      </c>
      <c r="B7" s="2960"/>
      <c r="C7" s="2965" t="s">
        <v>3078</v>
      </c>
      <c r="D7" s="2960"/>
      <c r="E7" s="2960">
        <v>33</v>
      </c>
      <c r="F7" s="2960">
        <v>8</v>
      </c>
      <c r="G7" s="2955" t="s">
        <v>3066</v>
      </c>
      <c r="H7" s="2954" t="s">
        <v>3068</v>
      </c>
      <c r="I7" s="2958">
        <v>774.98</v>
      </c>
      <c r="J7" s="2958">
        <v>132.63</v>
      </c>
      <c r="Y7" s="3019" t="s">
        <v>3217</v>
      </c>
      <c r="Z7" s="3019" t="s">
        <v>3168</v>
      </c>
      <c r="AA7" s="3019">
        <f>2646.96+2856.64</f>
        <v>5503.6</v>
      </c>
      <c r="AB7" s="3019"/>
      <c r="AC7" s="3019">
        <f t="shared" si="0"/>
        <v>5503.6</v>
      </c>
    </row>
    <row r="8" spans="1:29" ht="16.5" thickBot="1">
      <c r="A8" s="2957">
        <v>11</v>
      </c>
      <c r="B8" s="2960"/>
      <c r="C8" s="2965" t="s">
        <v>3081</v>
      </c>
      <c r="D8" s="2960"/>
      <c r="E8" s="2960">
        <v>34</v>
      </c>
      <c r="F8" s="2960">
        <v>75</v>
      </c>
      <c r="G8" s="2955" t="s">
        <v>3066</v>
      </c>
      <c r="H8" s="2954" t="s">
        <v>3068</v>
      </c>
      <c r="I8" s="2958">
        <v>9859.7800000000007</v>
      </c>
      <c r="J8" s="2958">
        <v>1687.41</v>
      </c>
      <c r="Y8" s="3019" t="s">
        <v>3232</v>
      </c>
      <c r="Z8" s="3019" t="s">
        <v>3224</v>
      </c>
      <c r="AA8" s="3019">
        <f>20242.44</f>
        <v>20242.439999999999</v>
      </c>
      <c r="AB8" s="3019">
        <v>1408.95</v>
      </c>
      <c r="AC8" s="3019">
        <f t="shared" si="0"/>
        <v>18833.489999999998</v>
      </c>
    </row>
    <row r="9" spans="1:29" ht="16.5" thickBot="1">
      <c r="A9" s="2961" t="s">
        <v>37</v>
      </c>
      <c r="B9" s="2960"/>
      <c r="C9" s="2960"/>
      <c r="D9" s="2960"/>
      <c r="E9" s="2960"/>
      <c r="F9" s="2960">
        <v>3696</v>
      </c>
      <c r="G9" s="2960"/>
      <c r="H9" s="2960"/>
      <c r="I9" s="2958">
        <v>128468.41</v>
      </c>
      <c r="J9" s="2958">
        <v>22131.17</v>
      </c>
      <c r="Y9" s="3019" t="s">
        <v>3233</v>
      </c>
      <c r="Z9" s="3019" t="s">
        <v>3234</v>
      </c>
      <c r="AA9" s="3019">
        <f>11993.9</f>
        <v>11993.9</v>
      </c>
      <c r="AB9" s="3019">
        <v>1723.15</v>
      </c>
      <c r="AC9" s="3019">
        <f t="shared" si="0"/>
        <v>10270.75</v>
      </c>
    </row>
    <row r="10" spans="1:29">
      <c r="Y10" s="3019" t="s">
        <v>3215</v>
      </c>
      <c r="Z10" s="3019" t="s">
        <v>3224</v>
      </c>
      <c r="AA10" s="3019">
        <f>12003.85</f>
        <v>12003.85</v>
      </c>
      <c r="AB10" s="3019">
        <v>1088.44</v>
      </c>
      <c r="AC10" s="3019">
        <f t="shared" si="0"/>
        <v>10915.41</v>
      </c>
    </row>
    <row r="11" spans="1:29" ht="14.25" thickBot="1">
      <c r="A11" s="2970" t="s">
        <v>3126</v>
      </c>
      <c r="Y11" s="3019" t="s">
        <v>3235</v>
      </c>
      <c r="Z11" s="3019" t="s">
        <v>3236</v>
      </c>
      <c r="AA11" s="3019">
        <f>10706.31</f>
        <v>10706.31</v>
      </c>
      <c r="AB11" s="3019">
        <v>846.53</v>
      </c>
      <c r="AC11" s="3019">
        <f t="shared" si="0"/>
        <v>9859.7799999999988</v>
      </c>
    </row>
    <row r="12" spans="1:29" ht="14.25">
      <c r="A12" s="3136" t="s">
        <v>3069</v>
      </c>
      <c r="B12" s="3136" t="s">
        <v>3070</v>
      </c>
      <c r="C12" s="2963" t="s">
        <v>3071</v>
      </c>
      <c r="D12" s="3136" t="s">
        <v>3073</v>
      </c>
      <c r="E12" s="2963" t="s">
        <v>3074</v>
      </c>
      <c r="F12" s="3136" t="s">
        <v>3061</v>
      </c>
      <c r="G12" s="2963" t="s">
        <v>3062</v>
      </c>
      <c r="H12" s="3136" t="s">
        <v>3064</v>
      </c>
      <c r="I12" s="2963" t="s">
        <v>3062</v>
      </c>
      <c r="J12" s="2963" t="s">
        <v>3079</v>
      </c>
      <c r="Y12" s="3019" t="s">
        <v>3237</v>
      </c>
      <c r="Z12" s="3019" t="s">
        <v>3218</v>
      </c>
      <c r="AA12" s="3019">
        <v>3153.34</v>
      </c>
      <c r="AB12" s="3019"/>
      <c r="AC12" s="3019">
        <f t="shared" si="0"/>
        <v>3153.34</v>
      </c>
    </row>
    <row r="13" spans="1:29" ht="15" thickBot="1">
      <c r="A13" s="3137"/>
      <c r="B13" s="3137"/>
      <c r="C13" s="2954" t="s">
        <v>3072</v>
      </c>
      <c r="D13" s="3137"/>
      <c r="E13" s="2954" t="s">
        <v>3075</v>
      </c>
      <c r="F13" s="3137"/>
      <c r="G13" s="2954" t="s">
        <v>3063</v>
      </c>
      <c r="H13" s="3137"/>
      <c r="I13" s="2954" t="s">
        <v>3065</v>
      </c>
      <c r="J13" s="2954" t="s">
        <v>3065</v>
      </c>
      <c r="Y13" s="3019" t="s">
        <v>3215</v>
      </c>
      <c r="Z13" s="3019" t="s">
        <v>3218</v>
      </c>
      <c r="AA13" s="3019">
        <v>3167.72</v>
      </c>
      <c r="AB13" s="3019"/>
      <c r="AC13" s="3019">
        <f t="shared" si="0"/>
        <v>3167.72</v>
      </c>
    </row>
    <row r="14" spans="1:29" ht="16.5" thickBot="1">
      <c r="A14" s="2957">
        <v>2</v>
      </c>
      <c r="B14" s="2960"/>
      <c r="C14" s="2964" t="s">
        <v>3127</v>
      </c>
      <c r="D14" s="2960"/>
      <c r="E14" s="2960">
        <v>25</v>
      </c>
      <c r="F14" s="2960">
        <v>399</v>
      </c>
      <c r="G14" s="2954" t="s">
        <v>3066</v>
      </c>
      <c r="H14" s="2954" t="s">
        <v>27</v>
      </c>
      <c r="I14" s="2958">
        <v>35167.74</v>
      </c>
      <c r="J14" s="2958">
        <v>6018.61</v>
      </c>
      <c r="Y14" s="3019" t="s">
        <v>3238</v>
      </c>
      <c r="Z14" s="3019" t="s">
        <v>3239</v>
      </c>
      <c r="AA14" s="3019">
        <f>I5</f>
        <v>115646.81</v>
      </c>
      <c r="AB14" s="3019">
        <v>17507.23</v>
      </c>
      <c r="AC14" s="3019">
        <f t="shared" si="0"/>
        <v>98139.58</v>
      </c>
    </row>
    <row r="15" spans="1:29" ht="16.5" thickBot="1">
      <c r="A15" s="2957">
        <v>3</v>
      </c>
      <c r="B15" s="2960"/>
      <c r="C15" s="2964" t="s">
        <v>3128</v>
      </c>
      <c r="D15" s="2960"/>
      <c r="E15" s="2960">
        <v>30</v>
      </c>
      <c r="F15" s="2960">
        <v>415</v>
      </c>
      <c r="G15" s="2954" t="s">
        <v>3066</v>
      </c>
      <c r="H15" s="2954" t="s">
        <v>27</v>
      </c>
      <c r="I15" s="2958">
        <v>25857.91</v>
      </c>
      <c r="J15" s="2958">
        <v>4425.3100000000004</v>
      </c>
      <c r="Y15" s="3019"/>
      <c r="Z15" s="3019"/>
      <c r="AA15" s="3019">
        <f>SUM(AA5:AA14)</f>
        <v>300318.99</v>
      </c>
      <c r="AB15" s="3019"/>
      <c r="AC15" s="3019">
        <f>SUM(AC5:AC14)</f>
        <v>270798.38</v>
      </c>
    </row>
    <row r="16" spans="1:29" ht="16.5" thickBot="1">
      <c r="A16" s="2957">
        <v>5</v>
      </c>
      <c r="B16" s="2960"/>
      <c r="C16" s="2964" t="s">
        <v>3129</v>
      </c>
      <c r="D16" s="2960"/>
      <c r="E16" s="2960">
        <v>30</v>
      </c>
      <c r="F16" s="2960">
        <v>62</v>
      </c>
      <c r="G16" s="2954" t="s">
        <v>3066</v>
      </c>
      <c r="H16" s="2954" t="s">
        <v>3068</v>
      </c>
      <c r="I16" s="2958">
        <v>3316.76</v>
      </c>
      <c r="J16" s="2958">
        <v>567.63</v>
      </c>
    </row>
    <row r="17" spans="1:10" ht="16.5" thickBot="1">
      <c r="A17" s="2957">
        <v>6</v>
      </c>
      <c r="B17" s="2960"/>
      <c r="C17" s="2964" t="s">
        <v>3081</v>
      </c>
      <c r="D17" s="2960"/>
      <c r="E17" s="2960">
        <v>31</v>
      </c>
      <c r="F17" s="2960">
        <v>195</v>
      </c>
      <c r="G17" s="2954" t="s">
        <v>3066</v>
      </c>
      <c r="H17" s="2954" t="s">
        <v>3068</v>
      </c>
      <c r="I17" s="2958">
        <v>18269.91</v>
      </c>
      <c r="J17" s="2958">
        <v>3126.71</v>
      </c>
    </row>
    <row r="18" spans="1:10" ht="16.5" thickBot="1">
      <c r="A18" s="2957">
        <v>9</v>
      </c>
      <c r="B18" s="2960"/>
      <c r="C18" s="2964" t="s">
        <v>3130</v>
      </c>
      <c r="D18" s="2960"/>
      <c r="E18" s="2960">
        <v>33</v>
      </c>
      <c r="F18" s="2960">
        <v>81</v>
      </c>
      <c r="G18" s="2954" t="s">
        <v>3066</v>
      </c>
      <c r="H18" s="2954" t="s">
        <v>3068</v>
      </c>
      <c r="I18" s="2958">
        <v>7854.33</v>
      </c>
      <c r="J18" s="2958">
        <v>1344.19</v>
      </c>
    </row>
    <row r="19" spans="1:10" ht="16.5" thickBot="1">
      <c r="A19" s="2957">
        <v>10</v>
      </c>
      <c r="B19" s="2960"/>
      <c r="C19" s="2964" t="s">
        <v>3131</v>
      </c>
      <c r="D19" s="2960"/>
      <c r="E19" s="2960">
        <v>33</v>
      </c>
      <c r="F19" s="2960">
        <v>205</v>
      </c>
      <c r="G19" s="2954" t="s">
        <v>3066</v>
      </c>
      <c r="H19" s="2954" t="s">
        <v>3068</v>
      </c>
      <c r="I19" s="3022">
        <v>19809.849999999999</v>
      </c>
      <c r="J19" s="3023">
        <v>3390.26</v>
      </c>
    </row>
    <row r="20" spans="1:10" ht="16.5" thickBot="1">
      <c r="A20" s="2957">
        <v>11</v>
      </c>
      <c r="B20" s="2960"/>
      <c r="C20" s="2964" t="s">
        <v>3241</v>
      </c>
      <c r="D20" s="3025"/>
      <c r="E20" s="3025">
        <v>34</v>
      </c>
      <c r="F20" s="3025">
        <v>98</v>
      </c>
      <c r="G20" s="3026" t="s">
        <v>3066</v>
      </c>
      <c r="H20" s="3026" t="s">
        <v>3068</v>
      </c>
      <c r="I20" s="3024">
        <v>10732.6</v>
      </c>
      <c r="J20" s="2958">
        <v>1836.78</v>
      </c>
    </row>
    <row r="21" spans="1:10" ht="16.5" thickBot="1">
      <c r="A21" s="2957">
        <v>9</v>
      </c>
      <c r="B21" s="2960"/>
      <c r="C21" s="2964" t="s">
        <v>3132</v>
      </c>
      <c r="D21" s="2960"/>
      <c r="E21" s="2960">
        <v>33</v>
      </c>
      <c r="F21" s="2960">
        <v>15</v>
      </c>
      <c r="G21" s="2954" t="s">
        <v>3066</v>
      </c>
      <c r="H21" s="2954" t="s">
        <v>3067</v>
      </c>
      <c r="I21" s="2958">
        <v>3153.34</v>
      </c>
      <c r="J21" s="2958">
        <v>539.66</v>
      </c>
    </row>
    <row r="22" spans="1:10" ht="16.5" thickBot="1">
      <c r="A22" s="2957">
        <v>10</v>
      </c>
      <c r="B22" s="2960"/>
      <c r="C22" s="2964" t="s">
        <v>3132</v>
      </c>
      <c r="D22" s="2960"/>
      <c r="E22" s="2960">
        <v>33</v>
      </c>
      <c r="F22" s="2960">
        <v>17</v>
      </c>
      <c r="G22" s="2954" t="s">
        <v>3066</v>
      </c>
      <c r="H22" s="2954" t="s">
        <v>3067</v>
      </c>
      <c r="I22" s="2958">
        <v>3167.72</v>
      </c>
      <c r="J22" s="2958">
        <v>542.12</v>
      </c>
    </row>
    <row r="23" spans="1:10" ht="16.5" thickBot="1">
      <c r="A23" s="2961" t="s">
        <v>37</v>
      </c>
      <c r="B23" s="2960"/>
      <c r="C23" s="2960"/>
      <c r="D23" s="2960"/>
      <c r="E23" s="2960"/>
      <c r="F23" s="2960">
        <v>1487</v>
      </c>
      <c r="G23" s="2960"/>
      <c r="H23" s="2960"/>
      <c r="I23" s="2958">
        <f>SUM(I14:I22)</f>
        <v>127330.16</v>
      </c>
      <c r="J23" s="2958">
        <f>SUM(J14:J22)</f>
        <v>21791.269999999997</v>
      </c>
    </row>
    <row r="28" spans="1:10" s="3045" customFormat="1" ht="18.75">
      <c r="A28" s="3133" t="s">
        <v>3284</v>
      </c>
      <c r="B28" s="3134"/>
      <c r="C28" s="3134"/>
      <c r="D28" s="3134"/>
      <c r="E28" s="3134"/>
      <c r="F28" s="3134"/>
      <c r="G28" s="3134"/>
      <c r="H28" s="3134"/>
    </row>
    <row r="29" spans="1:10" s="3045" customFormat="1" ht="15.75">
      <c r="B29" s="3135"/>
      <c r="C29" s="3135"/>
      <c r="D29" s="3135"/>
      <c r="H29" s="3046" t="s">
        <v>3285</v>
      </c>
    </row>
    <row r="30" spans="1:10" s="3045" customFormat="1" ht="54">
      <c r="A30" s="3047" t="s">
        <v>3286</v>
      </c>
      <c r="B30" s="3048" t="s">
        <v>3287</v>
      </c>
      <c r="C30" s="3048" t="s">
        <v>3288</v>
      </c>
      <c r="D30" s="3048" t="s">
        <v>3289</v>
      </c>
      <c r="E30" s="3049" t="s">
        <v>3290</v>
      </c>
      <c r="F30" s="3049" t="s">
        <v>3291</v>
      </c>
      <c r="G30" s="3049" t="s">
        <v>3292</v>
      </c>
      <c r="H30" s="3049" t="s">
        <v>3293</v>
      </c>
      <c r="I30" s="3049" t="s">
        <v>3298</v>
      </c>
    </row>
    <row r="31" spans="1:10" s="3045" customFormat="1">
      <c r="A31" s="3050">
        <v>1</v>
      </c>
      <c r="B31" s="3051">
        <v>2</v>
      </c>
      <c r="C31" s="3051">
        <v>711</v>
      </c>
      <c r="D31" s="3051">
        <v>59868.24</v>
      </c>
      <c r="E31" s="3051">
        <v>57</v>
      </c>
      <c r="F31" s="3051">
        <v>2753.91</v>
      </c>
      <c r="G31" s="3051">
        <f>C31-E31</f>
        <v>654</v>
      </c>
      <c r="H31" s="3051">
        <f>D31-F31</f>
        <v>57114.33</v>
      </c>
      <c r="I31" s="3049">
        <f>ROUND(H31/5.8431,2)</f>
        <v>9774.66</v>
      </c>
    </row>
    <row r="32" spans="1:10" s="3045" customFormat="1">
      <c r="A32" s="3050">
        <v>2</v>
      </c>
      <c r="B32" s="3051">
        <v>3</v>
      </c>
      <c r="C32" s="3051">
        <v>724</v>
      </c>
      <c r="D32" s="3051">
        <v>45085.59</v>
      </c>
      <c r="E32" s="3051">
        <v>219</v>
      </c>
      <c r="F32" s="3051">
        <v>13101.18</v>
      </c>
      <c r="G32" s="3051">
        <v>504</v>
      </c>
      <c r="H32" s="3051">
        <f>D32-F32</f>
        <v>31984.409999999996</v>
      </c>
      <c r="I32" s="3049">
        <f t="shared" ref="I32:I43" si="1">ROUND(H32/5.8431,2)</f>
        <v>5473.88</v>
      </c>
    </row>
    <row r="33" spans="1:9" s="3045" customFormat="1">
      <c r="A33" s="3050"/>
      <c r="B33" s="3052" t="s">
        <v>3294</v>
      </c>
      <c r="C33" s="3052">
        <f>SUM(C31:C32)</f>
        <v>1435</v>
      </c>
      <c r="D33" s="3052">
        <f t="shared" ref="D33:H33" si="2">SUM(D31:D32)</f>
        <v>104953.82999999999</v>
      </c>
      <c r="E33" s="3052">
        <f t="shared" si="2"/>
        <v>276</v>
      </c>
      <c r="F33" s="3052">
        <f t="shared" si="2"/>
        <v>15855.09</v>
      </c>
      <c r="G33" s="3052">
        <f t="shared" si="2"/>
        <v>1158</v>
      </c>
      <c r="H33" s="3052">
        <f t="shared" si="2"/>
        <v>89098.739999999991</v>
      </c>
      <c r="I33" s="3049">
        <f t="shared" si="1"/>
        <v>15248.54</v>
      </c>
    </row>
    <row r="34" spans="1:9" s="3045" customFormat="1">
      <c r="A34" s="3050">
        <v>3</v>
      </c>
      <c r="B34" s="3051">
        <v>5</v>
      </c>
      <c r="C34" s="3051">
        <v>100</v>
      </c>
      <c r="D34" s="3051">
        <v>5503.6</v>
      </c>
      <c r="E34" s="3051">
        <v>3</v>
      </c>
      <c r="F34" s="3051">
        <v>183.03</v>
      </c>
      <c r="G34" s="3051">
        <v>97</v>
      </c>
      <c r="H34" s="3051">
        <v>5320.5700000000006</v>
      </c>
      <c r="I34" s="3049">
        <f t="shared" si="1"/>
        <v>910.57</v>
      </c>
    </row>
    <row r="35" spans="1:9" s="3045" customFormat="1">
      <c r="A35" s="3050">
        <v>4</v>
      </c>
      <c r="B35" s="3051">
        <v>6</v>
      </c>
      <c r="C35" s="3051">
        <v>195</v>
      </c>
      <c r="D35" s="3051">
        <v>18269.91</v>
      </c>
      <c r="E35" s="3051">
        <v>68</v>
      </c>
      <c r="F35" s="3051">
        <v>6489.2</v>
      </c>
      <c r="G35" s="3051">
        <v>127</v>
      </c>
      <c r="H35" s="3051">
        <v>11780.71</v>
      </c>
      <c r="I35" s="3049">
        <f t="shared" si="1"/>
        <v>2016.17</v>
      </c>
    </row>
    <row r="36" spans="1:9" s="3045" customFormat="1">
      <c r="A36" s="3050">
        <v>5</v>
      </c>
      <c r="B36" s="3051">
        <v>9</v>
      </c>
      <c r="C36" s="3051">
        <v>81</v>
      </c>
      <c r="D36" s="3051">
        <v>7854.33</v>
      </c>
      <c r="E36" s="3051">
        <v>63</v>
      </c>
      <c r="F36" s="3051">
        <v>6073.27</v>
      </c>
      <c r="G36" s="3051">
        <v>18</v>
      </c>
      <c r="H36" s="3051">
        <v>1781.0599999999995</v>
      </c>
      <c r="I36" s="3049">
        <f t="shared" si="1"/>
        <v>304.81</v>
      </c>
    </row>
    <row r="37" spans="1:9" s="3045" customFormat="1">
      <c r="A37" s="3050">
        <v>6</v>
      </c>
      <c r="B37" s="3051">
        <v>10</v>
      </c>
      <c r="C37" s="3051">
        <v>105</v>
      </c>
      <c r="D37" s="3051">
        <v>10141.200000000001</v>
      </c>
      <c r="E37" s="3051">
        <v>61</v>
      </c>
      <c r="F37" s="3051">
        <v>5912.75</v>
      </c>
      <c r="G37" s="3051">
        <v>44</v>
      </c>
      <c r="H37" s="3051">
        <v>4228.4500000000007</v>
      </c>
      <c r="I37" s="3049">
        <f t="shared" si="1"/>
        <v>723.67</v>
      </c>
    </row>
    <row r="38" spans="1:9" s="3045" customFormat="1">
      <c r="A38" s="3050">
        <v>7</v>
      </c>
      <c r="B38" s="3051">
        <v>11</v>
      </c>
      <c r="C38" s="3051">
        <v>75</v>
      </c>
      <c r="D38" s="3051">
        <v>9859.7800000000007</v>
      </c>
      <c r="E38" s="3051">
        <v>53</v>
      </c>
      <c r="F38" s="3051">
        <v>7362.55</v>
      </c>
      <c r="G38" s="3051">
        <v>22</v>
      </c>
      <c r="H38" s="3051">
        <v>2497.2300000000005</v>
      </c>
      <c r="I38" s="3049">
        <f t="shared" si="1"/>
        <v>427.38</v>
      </c>
    </row>
    <row r="39" spans="1:9" s="3045" customFormat="1">
      <c r="A39" s="3050"/>
      <c r="B39" s="3052" t="s">
        <v>3295</v>
      </c>
      <c r="C39" s="3052">
        <f>SUM(C34:C38)</f>
        <v>556</v>
      </c>
      <c r="D39" s="3052">
        <f t="shared" ref="D39:H39" si="3">SUM(D34:D38)</f>
        <v>51628.820000000007</v>
      </c>
      <c r="E39" s="3052">
        <f t="shared" si="3"/>
        <v>248</v>
      </c>
      <c r="F39" s="3052">
        <f t="shared" si="3"/>
        <v>26020.799999999999</v>
      </c>
      <c r="G39" s="3052">
        <f t="shared" si="3"/>
        <v>308</v>
      </c>
      <c r="H39" s="3052">
        <f t="shared" si="3"/>
        <v>25608.019999999997</v>
      </c>
      <c r="I39" s="3049">
        <f t="shared" si="1"/>
        <v>4382.6099999999997</v>
      </c>
    </row>
    <row r="40" spans="1:9" s="3045" customFormat="1">
      <c r="A40" s="3050">
        <v>8</v>
      </c>
      <c r="B40" s="3051">
        <v>9</v>
      </c>
      <c r="C40" s="3051">
        <v>15</v>
      </c>
      <c r="D40" s="3051">
        <v>3153.34</v>
      </c>
      <c r="E40" s="3051">
        <v>3</v>
      </c>
      <c r="F40" s="3051">
        <v>557.72</v>
      </c>
      <c r="G40" s="3051">
        <v>12</v>
      </c>
      <c r="H40" s="3051">
        <v>2595.62</v>
      </c>
      <c r="I40" s="3049">
        <f t="shared" si="1"/>
        <v>444.22</v>
      </c>
    </row>
    <row r="41" spans="1:9" s="3045" customFormat="1">
      <c r="A41" s="3050">
        <v>9</v>
      </c>
      <c r="B41" s="3051">
        <v>10</v>
      </c>
      <c r="C41" s="3051">
        <v>17</v>
      </c>
      <c r="D41" s="3051">
        <v>3167.72</v>
      </c>
      <c r="E41" s="3051">
        <v>3</v>
      </c>
      <c r="F41" s="3051">
        <v>305.72000000000003</v>
      </c>
      <c r="G41" s="3051">
        <v>14</v>
      </c>
      <c r="H41" s="3051">
        <v>2862</v>
      </c>
      <c r="I41" s="3049">
        <f t="shared" si="1"/>
        <v>489.81</v>
      </c>
    </row>
    <row r="42" spans="1:9" s="3045" customFormat="1">
      <c r="A42" s="3050"/>
      <c r="B42" s="3052" t="s">
        <v>3296</v>
      </c>
      <c r="C42" s="3052">
        <f>SUM(C40:C41)</f>
        <v>32</v>
      </c>
      <c r="D42" s="3052">
        <f t="shared" ref="D42:H42" si="4">SUM(D40:D41)</f>
        <v>6321.0599999999995</v>
      </c>
      <c r="E42" s="3052">
        <f t="shared" si="4"/>
        <v>6</v>
      </c>
      <c r="F42" s="3052">
        <f t="shared" si="4"/>
        <v>863.44</v>
      </c>
      <c r="G42" s="3052">
        <f t="shared" si="4"/>
        <v>26</v>
      </c>
      <c r="H42" s="3052">
        <f t="shared" si="4"/>
        <v>5457.62</v>
      </c>
      <c r="I42" s="3049">
        <f t="shared" si="1"/>
        <v>934.03</v>
      </c>
    </row>
    <row r="43" spans="1:9" s="3045" customFormat="1">
      <c r="A43" s="3050"/>
      <c r="B43" s="3052" t="s">
        <v>3297</v>
      </c>
      <c r="C43" s="3052">
        <f>C33+C39+C42</f>
        <v>2023</v>
      </c>
      <c r="D43" s="3052">
        <f t="shared" ref="D43:H43" si="5">D33+D39+D42</f>
        <v>162903.71</v>
      </c>
      <c r="E43" s="3052">
        <f t="shared" si="5"/>
        <v>530</v>
      </c>
      <c r="F43" s="3052">
        <f t="shared" si="5"/>
        <v>42739.33</v>
      </c>
      <c r="G43" s="3052">
        <f t="shared" si="5"/>
        <v>1492</v>
      </c>
      <c r="H43" s="3052">
        <f t="shared" si="5"/>
        <v>120164.37999999998</v>
      </c>
      <c r="I43" s="3049">
        <f t="shared" si="1"/>
        <v>20565.18</v>
      </c>
    </row>
  </sheetData>
  <mergeCells count="12">
    <mergeCell ref="A28:H28"/>
    <mergeCell ref="B29:D29"/>
    <mergeCell ref="F12:F13"/>
    <mergeCell ref="H12:H13"/>
    <mergeCell ref="A3:A4"/>
    <mergeCell ref="B3:B4"/>
    <mergeCell ref="D3:D4"/>
    <mergeCell ref="F3:F4"/>
    <mergeCell ref="H3:H4"/>
    <mergeCell ref="A12:A13"/>
    <mergeCell ref="B12:B13"/>
    <mergeCell ref="D12:D13"/>
  </mergeCells>
  <phoneticPr fontId="26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8" t="s">
        <v>0</v>
      </c>
      <c r="B1" s="3138" t="s">
        <v>4</v>
      </c>
      <c r="C1" s="3138" t="s">
        <v>5</v>
      </c>
      <c r="D1" s="3139" t="s">
        <v>53</v>
      </c>
      <c r="E1" s="3139" t="s">
        <v>54</v>
      </c>
      <c r="F1" s="3139"/>
      <c r="G1" s="3139"/>
      <c r="H1" s="3139"/>
      <c r="I1" s="3139"/>
      <c r="J1" s="3139"/>
      <c r="K1" s="3139"/>
      <c r="L1" s="3139"/>
      <c r="M1" s="3139"/>
    </row>
    <row r="2" spans="1:13" ht="27" customHeight="1">
      <c r="A2" s="3138"/>
      <c r="B2" s="3138"/>
      <c r="C2" s="3138"/>
      <c r="D2" s="3139"/>
      <c r="E2" s="3139" t="s">
        <v>37</v>
      </c>
      <c r="F2" s="3139" t="s">
        <v>38</v>
      </c>
      <c r="G2" s="3139"/>
      <c r="H2" s="3139"/>
      <c r="I2" s="3139"/>
      <c r="J2" s="3139" t="s">
        <v>39</v>
      </c>
      <c r="K2" s="3139"/>
      <c r="L2" s="3139"/>
      <c r="M2" s="3139"/>
    </row>
    <row r="3" spans="1:13" ht="28.5">
      <c r="A3" s="3138"/>
      <c r="B3" s="3138"/>
      <c r="C3" s="3138"/>
      <c r="D3" s="3139"/>
      <c r="E3" s="31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9" t="s">
        <v>55</v>
      </c>
      <c r="B9" s="3139"/>
      <c r="C9" s="31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3" sqref="G23"/>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2.125" style="2217" bestFit="1" customWidth="1"/>
    <col min="20" max="16384" width="9.25" style="2217"/>
  </cols>
  <sheetData>
    <row r="1" spans="1:16" ht="18.75">
      <c r="A1" s="2216" t="s">
        <v>1933</v>
      </c>
      <c r="B1" s="1389"/>
      <c r="C1" s="1389"/>
      <c r="D1" s="1389"/>
      <c r="E1" s="1389"/>
      <c r="F1" s="1389"/>
      <c r="G1" s="1389"/>
      <c r="H1" s="1389"/>
      <c r="I1" s="1389"/>
      <c r="J1" s="1389"/>
      <c r="K1" s="1389"/>
      <c r="L1" s="1389"/>
      <c r="M1" s="1389"/>
      <c r="N1" s="1389"/>
      <c r="O1" s="1389"/>
      <c r="P1" s="1389"/>
    </row>
    <row r="2" spans="1:16" ht="15">
      <c r="A2" s="3149" t="s">
        <v>1934</v>
      </c>
      <c r="B2" s="3149"/>
      <c r="C2" s="3149"/>
      <c r="D2" s="964" t="s">
        <v>1910</v>
      </c>
      <c r="E2" s="2218" t="s">
        <v>1911</v>
      </c>
      <c r="F2" s="1389"/>
      <c r="G2" s="2219"/>
      <c r="H2" s="2220"/>
      <c r="I2" s="2221" t="s">
        <v>1935</v>
      </c>
      <c r="J2" s="1389"/>
      <c r="K2" s="1389"/>
      <c r="L2" s="1389"/>
      <c r="M2" s="1389"/>
      <c r="N2" s="1424"/>
      <c r="O2" s="1389"/>
      <c r="P2" s="1389"/>
    </row>
    <row r="3" spans="1:16" ht="15.75" thickBot="1">
      <c r="A3" s="3150" t="s">
        <v>1908</v>
      </c>
      <c r="B3" s="3150"/>
      <c r="C3" s="3150"/>
      <c r="D3" s="46">
        <f>'数据-基础表'!AY6</f>
        <v>20565.18</v>
      </c>
      <c r="E3" s="46">
        <f>'数据-基础表'!AZ5</f>
        <v>120164.37999999998</v>
      </c>
      <c r="F3" s="1389"/>
      <c r="G3" s="1396"/>
      <c r="H3" s="1244" t="s">
        <v>1909</v>
      </c>
      <c r="I3" s="55">
        <f>ROUND('数据-基础表'!B3/'数据-基础表'!A3,2)</f>
        <v>5.84</v>
      </c>
      <c r="J3" s="1389"/>
      <c r="K3" s="1389"/>
      <c r="L3" s="1389"/>
      <c r="M3" s="1389"/>
      <c r="N3" s="1424"/>
      <c r="O3" s="1389"/>
      <c r="P3" s="1389"/>
    </row>
    <row r="4" spans="1:16" ht="15">
      <c r="A4" s="3151"/>
      <c r="B4" s="3152"/>
      <c r="C4" s="3153"/>
      <c r="D4" s="2222" t="s">
        <v>1910</v>
      </c>
      <c r="E4" s="2223" t="s">
        <v>1911</v>
      </c>
      <c r="F4" s="1389"/>
      <c r="G4" s="2224" t="s">
        <v>1936</v>
      </c>
      <c r="H4" s="1244" t="s">
        <v>1916</v>
      </c>
      <c r="I4" s="55">
        <f>ROUND(SUMIF('数据-基础表'!I9:AS9,"地上",'数据-基础表'!I5:AS5)/'数据-基础表'!A3,2)</f>
        <v>5.84</v>
      </c>
      <c r="J4" s="1389"/>
      <c r="K4" s="1389"/>
      <c r="L4" s="1389"/>
      <c r="M4" s="1389"/>
      <c r="N4" s="1424"/>
      <c r="O4" s="1389"/>
      <c r="P4" s="1389"/>
    </row>
    <row r="5" spans="1:16">
      <c r="A5" s="47" t="s">
        <v>1912</v>
      </c>
      <c r="B5" s="3154" t="s">
        <v>1913</v>
      </c>
      <c r="C5" s="3154"/>
      <c r="D5" s="48">
        <f>ROUND($D$3*E5/$E$3,2)</f>
        <v>4382.6099999999997</v>
      </c>
      <c r="E5" s="49">
        <f>SUMIF('数据-基础表'!$11:$11,"住宅",'数据-基础表'!$5:$5)</f>
        <v>25608.019999999997</v>
      </c>
      <c r="F5" s="1389"/>
      <c r="G5" s="1396"/>
      <c r="H5" s="1244" t="s">
        <v>1909</v>
      </c>
      <c r="I5" s="55">
        <f>ROUND(E31/D31,2)</f>
        <v>5.84</v>
      </c>
      <c r="J5" s="1389"/>
      <c r="K5" s="1389"/>
      <c r="L5" s="1389"/>
      <c r="M5" s="1389"/>
      <c r="N5" s="1389"/>
      <c r="O5" s="1389"/>
      <c r="P5" s="1389"/>
    </row>
    <row r="6" spans="1:16" ht="15" thickBot="1">
      <c r="A6" s="2225"/>
      <c r="B6" s="3154" t="s">
        <v>1914</v>
      </c>
      <c r="C6" s="3154"/>
      <c r="D6" s="48">
        <f>ROUND($D$3*E6/$E$3,2)</f>
        <v>16182.57</v>
      </c>
      <c r="E6" s="49">
        <f>E3-E5</f>
        <v>94556.359999999986</v>
      </c>
      <c r="F6" s="1389"/>
      <c r="G6" s="2226" t="s">
        <v>1915</v>
      </c>
      <c r="H6" s="1396" t="s">
        <v>1916</v>
      </c>
      <c r="I6" s="936">
        <f>ROUND(F31/D31,2)</f>
        <v>5.84</v>
      </c>
      <c r="J6" s="1389"/>
      <c r="K6" s="1389"/>
      <c r="L6" s="1389"/>
      <c r="M6" s="1389"/>
      <c r="N6" s="1389"/>
      <c r="O6" s="1389"/>
      <c r="P6" s="1389"/>
    </row>
    <row r="7" spans="1:16" ht="15">
      <c r="A7" s="3146"/>
      <c r="B7" s="3147"/>
      <c r="C7" s="3148"/>
      <c r="D7" s="2222" t="s">
        <v>1910</v>
      </c>
      <c r="E7" s="2227" t="s">
        <v>1917</v>
      </c>
      <c r="F7" s="1389"/>
      <c r="G7" s="2219" t="s">
        <v>1918</v>
      </c>
      <c r="H7" s="64"/>
      <c r="I7" s="420"/>
      <c r="J7" s="1389"/>
      <c r="K7" s="1389"/>
      <c r="L7" s="1389"/>
      <c r="M7" s="1389"/>
      <c r="N7" s="1389"/>
      <c r="O7" s="1389"/>
      <c r="P7" s="1389"/>
    </row>
    <row r="8" spans="1:16">
      <c r="A8" s="47" t="s">
        <v>1919</v>
      </c>
      <c r="B8" s="50" t="s">
        <v>1920</v>
      </c>
      <c r="C8" s="48" t="s">
        <v>1921</v>
      </c>
      <c r="D8" s="48">
        <f t="shared" ref="D8:D15" si="0">ROUND($D$3*E8/$E$3,2)</f>
        <v>20565.18</v>
      </c>
      <c r="E8" s="51">
        <f>SUMIF('数据-基础表'!BB10:BK10,"地上",'数据-基础表'!BB5:BK5)</f>
        <v>120164.37999999998</v>
      </c>
      <c r="F8" s="1389"/>
      <c r="G8" s="2228"/>
      <c r="H8" s="2228"/>
      <c r="I8" s="1389"/>
      <c r="J8" s="1389"/>
      <c r="K8" s="1389"/>
      <c r="L8" s="1389"/>
      <c r="M8" s="1389"/>
      <c r="N8" s="1389"/>
      <c r="O8" s="1389"/>
      <c r="P8" s="1389"/>
    </row>
    <row r="9" spans="1:16">
      <c r="A9" s="2229"/>
      <c r="B9" s="2230"/>
      <c r="C9" s="48" t="s">
        <v>1922</v>
      </c>
      <c r="D9" s="48">
        <f t="shared" si="0"/>
        <v>0</v>
      </c>
      <c r="E9" s="52">
        <v>0</v>
      </c>
      <c r="F9" s="1389"/>
      <c r="G9" s="2228"/>
      <c r="H9" s="2228"/>
      <c r="I9" s="1389"/>
      <c r="J9" s="1389"/>
      <c r="K9" s="1389"/>
      <c r="L9" s="1389"/>
      <c r="M9" s="1389"/>
      <c r="N9" s="1389"/>
      <c r="O9" s="1389"/>
      <c r="P9" s="1389"/>
    </row>
    <row r="10" spans="1:16">
      <c r="A10" s="2229"/>
      <c r="B10" s="2230"/>
      <c r="C10" s="48" t="s">
        <v>1931</v>
      </c>
      <c r="D10" s="48">
        <f t="shared" si="0"/>
        <v>0</v>
      </c>
      <c r="E10" s="51">
        <f>SUMPRODUCT(('数据-基础表'!BB10:BK10="地下")*('数据-基础表'!BB11:BK11="商业")*('数据-基础表'!BB5:BK5))</f>
        <v>0</v>
      </c>
      <c r="F10" s="1389"/>
      <c r="G10" s="2228"/>
      <c r="H10" s="2228"/>
      <c r="I10" s="1389"/>
      <c r="J10" s="1389"/>
      <c r="K10" s="1389"/>
      <c r="L10" s="1389"/>
      <c r="M10" s="1389"/>
      <c r="N10" s="1389"/>
      <c r="O10" s="1389"/>
      <c r="P10" s="1389"/>
    </row>
    <row r="11" spans="1:16">
      <c r="A11" s="2229"/>
      <c r="B11" s="2230"/>
      <c r="C11" s="48" t="s">
        <v>1923</v>
      </c>
      <c r="D11" s="48">
        <f t="shared" si="0"/>
        <v>0</v>
      </c>
      <c r="E11" s="51">
        <f>SUMPRODUCT(('数据-基础表'!BB10:BK10="地下")*('数据-基础表'!BB11:BK11="办公")*('数据-基础表'!BB5:BK5))+'数据-基础表'!BP5</f>
        <v>0</v>
      </c>
      <c r="F11" s="1389"/>
      <c r="G11" s="2228"/>
      <c r="H11" s="2228"/>
      <c r="I11" s="1389"/>
      <c r="J11" s="1389"/>
      <c r="K11" s="1389"/>
      <c r="L11" s="1389"/>
      <c r="M11" s="1389"/>
      <c r="N11" s="1389"/>
      <c r="O11" s="1389"/>
      <c r="P11" s="1389"/>
    </row>
    <row r="12" spans="1:16">
      <c r="A12" s="2229"/>
      <c r="B12" s="2230"/>
      <c r="C12" s="48" t="s">
        <v>1924</v>
      </c>
      <c r="D12" s="48">
        <f t="shared" si="0"/>
        <v>0</v>
      </c>
      <c r="E12" s="51">
        <f>SUMPRODUCT(('数据-基础表'!BB10:BK10="地下")*('数据-基础表'!BB11:BK11="仓储")*('数据-基础表'!BB5:BK5))</f>
        <v>0</v>
      </c>
      <c r="F12" s="1389"/>
      <c r="G12" s="2228"/>
      <c r="H12" s="2228"/>
      <c r="I12" s="1389"/>
      <c r="J12" s="1389"/>
      <c r="K12" s="1389"/>
      <c r="L12" s="1389"/>
      <c r="M12" s="1389"/>
      <c r="N12" s="1389"/>
      <c r="O12" s="1389"/>
      <c r="P12" s="1389"/>
    </row>
    <row r="13" spans="1:16">
      <c r="A13" s="2229"/>
      <c r="B13" s="2230"/>
      <c r="C13" s="48" t="s">
        <v>1925</v>
      </c>
      <c r="D13" s="48">
        <f t="shared" si="0"/>
        <v>0</v>
      </c>
      <c r="E13" s="51">
        <f>SUMPRODUCT(('数据-基础表'!BB10:BK10="地下")*('数据-基础表'!BB11:BK11="车库")*('数据-基础表'!BB5:BK5))</f>
        <v>0</v>
      </c>
      <c r="F13" s="1389"/>
      <c r="G13" s="2228"/>
      <c r="H13" s="2228"/>
      <c r="I13" s="1389"/>
      <c r="J13" s="1389"/>
      <c r="K13" s="1389"/>
      <c r="L13" s="1389"/>
      <c r="M13" s="1389"/>
      <c r="N13" s="1389"/>
      <c r="O13" s="1389"/>
      <c r="P13" s="1389"/>
    </row>
    <row r="14" spans="1:16">
      <c r="A14" s="2229"/>
      <c r="B14" s="2230"/>
      <c r="C14" s="48" t="s">
        <v>1937</v>
      </c>
      <c r="D14" s="48">
        <f t="shared" si="0"/>
        <v>0</v>
      </c>
      <c r="E14" s="51">
        <f>SUMPRODUCT(('数据-基础表'!BB10:BK10="地下")*('数据-基础表'!BB11:BK11="车库—商业")*('数据-基础表'!BB5:BK5))</f>
        <v>0</v>
      </c>
      <c r="F14" s="1389"/>
      <c r="G14" s="2228"/>
      <c r="H14" s="2228"/>
      <c r="I14" s="1389"/>
      <c r="J14" s="1389"/>
      <c r="K14" s="1389"/>
      <c r="L14" s="1389"/>
      <c r="M14" s="1389"/>
      <c r="N14" s="1389"/>
      <c r="O14" s="1389"/>
      <c r="P14" s="1389"/>
    </row>
    <row r="15" spans="1:16" ht="15" thickBot="1">
      <c r="A15" s="2229"/>
      <c r="B15" s="2230"/>
      <c r="C15" s="48" t="s">
        <v>1932</v>
      </c>
      <c r="D15" s="48">
        <f t="shared" si="0"/>
        <v>0</v>
      </c>
      <c r="E15" s="51">
        <f>SUMPRODUCT(('数据-基础表'!BB10:BK10="地下")*('数据-基础表'!BB11:BK11="车库—办公")*('数据-基础表'!BB5:BK5))</f>
        <v>0</v>
      </c>
      <c r="F15" s="1389"/>
      <c r="G15" s="2228"/>
      <c r="H15" s="2228"/>
      <c r="I15" s="1389"/>
      <c r="J15" s="1389"/>
      <c r="K15" s="1389"/>
      <c r="L15" s="1389"/>
      <c r="M15" s="1389"/>
      <c r="N15" s="1389"/>
      <c r="O15" s="1389"/>
      <c r="P15" s="1389"/>
    </row>
    <row r="16" spans="1:16" ht="15.75" thickBot="1">
      <c r="A16" s="2225"/>
      <c r="B16" s="2230"/>
      <c r="C16" s="50" t="s">
        <v>1926</v>
      </c>
      <c r="D16" s="50">
        <f>SUM(D8:D15)</f>
        <v>20565.18</v>
      </c>
      <c r="E16" s="53">
        <f>SUM(E8:E15)</f>
        <v>120164.37999999998</v>
      </c>
      <c r="F16" s="1389"/>
      <c r="G16" s="2228"/>
      <c r="H16" s="2231" t="s">
        <v>1938</v>
      </c>
      <c r="I16" s="2232"/>
      <c r="J16" s="1389"/>
      <c r="K16" s="3143" t="s">
        <v>1938</v>
      </c>
      <c r="L16" s="3144"/>
      <c r="M16" s="3144"/>
      <c r="N16" s="3144"/>
      <c r="O16" s="3144"/>
      <c r="P16" s="3145"/>
    </row>
    <row r="17" spans="1:19" ht="15">
      <c r="A17" s="2233" t="s">
        <v>1939</v>
      </c>
      <c r="B17" s="2234" t="s">
        <v>1940</v>
      </c>
      <c r="C17" s="2235" t="s">
        <v>1941</v>
      </c>
      <c r="D17" s="2236" t="s">
        <v>1929</v>
      </c>
      <c r="E17" s="2237" t="s">
        <v>1930</v>
      </c>
      <c r="F17" s="2238"/>
      <c r="G17" s="2239"/>
      <c r="H17" s="2240" t="s">
        <v>1942</v>
      </c>
      <c r="I17" s="2241" t="s">
        <v>1927</v>
      </c>
      <c r="J17" s="1389"/>
      <c r="K17" s="3140" t="s">
        <v>1943</v>
      </c>
      <c r="L17" s="3141"/>
      <c r="M17" s="3142"/>
      <c r="N17" s="3140" t="s">
        <v>1944</v>
      </c>
      <c r="O17" s="3141"/>
      <c r="P17" s="3142"/>
      <c r="R17" s="2219" t="s">
        <v>1945</v>
      </c>
      <c r="S17" s="64"/>
    </row>
    <row r="18" spans="1:19" ht="15">
      <c r="A18" s="2229"/>
      <c r="B18" s="2242"/>
      <c r="C18" s="2243"/>
      <c r="D18" s="2244"/>
      <c r="E18" s="2245" t="s">
        <v>1946</v>
      </c>
      <c r="F18" s="2246" t="s">
        <v>1947</v>
      </c>
      <c r="G18" s="2247" t="s">
        <v>1948</v>
      </c>
      <c r="H18" s="1259" t="s">
        <v>1949</v>
      </c>
      <c r="I18" s="2248" t="s">
        <v>1950</v>
      </c>
      <c r="J18" s="1389"/>
      <c r="K18" s="1259" t="s">
        <v>1951</v>
      </c>
      <c r="L18" s="2249" t="s">
        <v>1952</v>
      </c>
      <c r="M18" s="1043" t="s">
        <v>1953</v>
      </c>
      <c r="N18" s="1259" t="s">
        <v>1951</v>
      </c>
      <c r="O18" s="2249" t="s">
        <v>1952</v>
      </c>
      <c r="P18" s="1043" t="s">
        <v>1953</v>
      </c>
      <c r="R18" s="1244" t="s">
        <v>1954</v>
      </c>
      <c r="S18" s="1244" t="s">
        <v>1955</v>
      </c>
    </row>
    <row r="19" spans="1:19">
      <c r="A19" s="2250"/>
      <c r="B19" s="50" t="s">
        <v>1928</v>
      </c>
      <c r="C19" s="2966" t="str">
        <f>'数据-基础表'!C13</f>
        <v>住宅</v>
      </c>
      <c r="D19" s="48">
        <f>ROUND($D$3*E19/$E$3,2)</f>
        <v>4382.6099999999997</v>
      </c>
      <c r="E19" s="56">
        <f t="shared" ref="E19:E26" si="1">SUM(F19:G19)</f>
        <v>25608.019999999997</v>
      </c>
      <c r="F19" s="57">
        <f>'数据-基础表'!I13</f>
        <v>25608.019999999997</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2"/>
      <c r="O19" s="2253"/>
      <c r="P19" s="1400">
        <f>N19+O19</f>
        <v>0</v>
      </c>
      <c r="R19" s="1244">
        <f t="shared" ref="R19:S26" si="5">D19+H19</f>
        <v>4382.6099999999997</v>
      </c>
      <c r="S19" s="1245">
        <f t="shared" si="5"/>
        <v>25608.019999999997</v>
      </c>
    </row>
    <row r="20" spans="1:19">
      <c r="A20" s="2254"/>
      <c r="B20" s="50" t="s">
        <v>1956</v>
      </c>
      <c r="C20" s="2251" t="str">
        <f>'数据-基础表'!C14</f>
        <v>公寓</v>
      </c>
      <c r="D20" s="48">
        <f t="shared" ref="D20:D26" si="6">ROUND($D$3*E20/$E$3,2)</f>
        <v>15248.54</v>
      </c>
      <c r="E20" s="56">
        <f t="shared" si="1"/>
        <v>89098.739999999991</v>
      </c>
      <c r="F20" s="57">
        <f>'数据-基础表'!K14</f>
        <v>89098.739999999991</v>
      </c>
      <c r="G20" s="58"/>
      <c r="H20" s="723">
        <f t="shared" ref="H20:H26" si="7">ROUND($D$3*I20/$E$3,2)</f>
        <v>0</v>
      </c>
      <c r="I20" s="51">
        <f t="shared" si="2"/>
        <v>0</v>
      </c>
      <c r="J20" s="1389"/>
      <c r="K20" s="1388">
        <f t="shared" si="3"/>
        <v>0</v>
      </c>
      <c r="L20" s="1244">
        <f t="shared" si="4"/>
        <v>0</v>
      </c>
      <c r="M20" s="1400">
        <f t="shared" ref="M20:M26" si="8">K20+L20</f>
        <v>0</v>
      </c>
      <c r="N20" s="2252"/>
      <c r="O20" s="2253"/>
      <c r="P20" s="1400">
        <f t="shared" ref="P20:P26" si="9">N20+O20</f>
        <v>0</v>
      </c>
      <c r="R20" s="1244">
        <f t="shared" si="5"/>
        <v>15248.54</v>
      </c>
      <c r="S20" s="1245">
        <f t="shared" si="5"/>
        <v>89098.739999999991</v>
      </c>
    </row>
    <row r="21" spans="1:19">
      <c r="A21" s="2254"/>
      <c r="B21" s="50" t="s">
        <v>1956</v>
      </c>
      <c r="C21" s="2251" t="str">
        <f>'数据-基础表'!C15</f>
        <v>底商</v>
      </c>
      <c r="D21" s="48">
        <f t="shared" si="6"/>
        <v>934.03</v>
      </c>
      <c r="E21" s="56">
        <f t="shared" si="1"/>
        <v>5457.62</v>
      </c>
      <c r="F21" s="57">
        <f>'数据-基础表'!M15</f>
        <v>5457.62</v>
      </c>
      <c r="G21" s="58"/>
      <c r="H21" s="723">
        <f t="shared" si="7"/>
        <v>0</v>
      </c>
      <c r="I21" s="51">
        <f t="shared" si="2"/>
        <v>0</v>
      </c>
      <c r="J21" s="1389"/>
      <c r="K21" s="1388">
        <f t="shared" si="3"/>
        <v>0</v>
      </c>
      <c r="L21" s="1244">
        <f t="shared" si="4"/>
        <v>0</v>
      </c>
      <c r="M21" s="1400">
        <f t="shared" si="8"/>
        <v>0</v>
      </c>
      <c r="N21" s="2252"/>
      <c r="O21" s="2253"/>
      <c r="P21" s="1400">
        <f t="shared" si="9"/>
        <v>0</v>
      </c>
      <c r="R21" s="1244">
        <f t="shared" si="5"/>
        <v>934.03</v>
      </c>
      <c r="S21" s="1245">
        <f t="shared" si="5"/>
        <v>5457.62</v>
      </c>
    </row>
    <row r="22" spans="1:19">
      <c r="A22" s="2254"/>
      <c r="B22" s="50" t="s">
        <v>1956</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2"/>
      <c r="O22" s="2253"/>
      <c r="P22" s="1400">
        <f t="shared" si="9"/>
        <v>0</v>
      </c>
      <c r="R22" s="1244">
        <f t="shared" si="5"/>
        <v>0</v>
      </c>
      <c r="S22" s="1245">
        <f t="shared" si="5"/>
        <v>0</v>
      </c>
    </row>
    <row r="23" spans="1:19">
      <c r="A23" s="2254"/>
      <c r="B23" s="50" t="s">
        <v>1956</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2"/>
      <c r="O23" s="2253"/>
      <c r="P23" s="1400">
        <f t="shared" si="9"/>
        <v>0</v>
      </c>
      <c r="R23" s="1244">
        <f t="shared" si="5"/>
        <v>0</v>
      </c>
      <c r="S23" s="1245">
        <f t="shared" si="5"/>
        <v>0</v>
      </c>
    </row>
    <row r="24" spans="1:19">
      <c r="A24" s="2254"/>
      <c r="B24" s="50" t="s">
        <v>1956</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2"/>
      <c r="O24" s="2253"/>
      <c r="P24" s="1400">
        <f t="shared" si="9"/>
        <v>0</v>
      </c>
      <c r="R24" s="1244">
        <f t="shared" si="5"/>
        <v>0</v>
      </c>
      <c r="S24" s="1245">
        <f t="shared" si="5"/>
        <v>0</v>
      </c>
    </row>
    <row r="25" spans="1:19">
      <c r="A25" s="2254"/>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2"/>
      <c r="O25" s="2253"/>
      <c r="P25" s="1400">
        <f t="shared" si="9"/>
        <v>0</v>
      </c>
      <c r="R25" s="1244">
        <f t="shared" si="5"/>
        <v>0</v>
      </c>
      <c r="S25" s="1245">
        <f t="shared" si="5"/>
        <v>0</v>
      </c>
    </row>
    <row r="26" spans="1:19">
      <c r="A26" s="2254"/>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5"/>
      <c r="O26" s="2256"/>
      <c r="P26" s="67">
        <f t="shared" si="9"/>
        <v>0</v>
      </c>
      <c r="R26" s="1244">
        <f t="shared" si="5"/>
        <v>0</v>
      </c>
      <c r="S26" s="1245">
        <f t="shared" si="5"/>
        <v>0</v>
      </c>
    </row>
    <row r="27" spans="1:19" ht="15.75" thickBot="1">
      <c r="A27" s="2254"/>
      <c r="B27" s="48"/>
      <c r="C27" s="2257" t="s">
        <v>1957</v>
      </c>
      <c r="D27" s="1390">
        <f>SUM(D19:D26)</f>
        <v>20565.18</v>
      </c>
      <c r="E27" s="1391">
        <f>IF(SUM(E19:E26)='数据-基础表'!BA5,SUM(E19:E26),IF(F27="地上面积有误","面积有误","地下面积有误"))</f>
        <v>120164.37999999998</v>
      </c>
      <c r="F27" s="1390">
        <f>IF(SUM(F19:F26)=E8,SUM(F19:F26),"地上面积有误")</f>
        <v>120164.37999999998</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20565.18</v>
      </c>
      <c r="S27" s="1244">
        <f>IF(SUM(S19:S26)=$E$3,SUM(S19:S26),SUM(S19:S26)&amp;"误差"&amp;ROUND(SUM(S19:S26)-E3,2))</f>
        <v>120164.37999999998</v>
      </c>
    </row>
    <row r="28" spans="1:19">
      <c r="A28" s="2254"/>
      <c r="B28" s="50" t="s">
        <v>1958</v>
      </c>
      <c r="C28" s="1256" t="s">
        <v>1959</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4"/>
      <c r="B29" s="50" t="s">
        <v>1958</v>
      </c>
      <c r="C29" s="2258"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4"/>
      <c r="B30" s="50"/>
      <c r="C30" s="2259" t="s">
        <v>1957</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0"/>
      <c r="B31" s="2261"/>
      <c r="C31" s="1004" t="s">
        <v>1961</v>
      </c>
      <c r="D31" s="729">
        <f>D27+D30</f>
        <v>20565.18</v>
      </c>
      <c r="E31" s="729">
        <f>E27+E30</f>
        <v>120164.37999999998</v>
      </c>
      <c r="F31" s="730">
        <f>F27+F30</f>
        <v>120164.37999999998</v>
      </c>
      <c r="G31" s="731">
        <f>G27+G30</f>
        <v>0</v>
      </c>
      <c r="H31" s="1389"/>
      <c r="I31" s="1389"/>
      <c r="J31" s="1389"/>
      <c r="K31" s="1389"/>
      <c r="L31" s="1389"/>
      <c r="M31" s="1389"/>
      <c r="N31" s="1389"/>
      <c r="O31" s="1389"/>
      <c r="P31" s="1389"/>
    </row>
    <row r="32" spans="1:19">
      <c r="A32" s="2224"/>
      <c r="B32" s="2224" t="s">
        <v>1962</v>
      </c>
      <c r="C32" s="2224"/>
      <c r="D32" s="2224"/>
      <c r="E32" s="1271">
        <f>SUMIF(C19:C26,"*住宅*",E19:E26)</f>
        <v>25608.019999999997</v>
      </c>
      <c r="F32" s="2224"/>
      <c r="G32" s="2224"/>
      <c r="H32" s="1389"/>
      <c r="I32" s="1389"/>
      <c r="J32" s="1389"/>
      <c r="K32" s="1389"/>
      <c r="L32" s="1389"/>
      <c r="M32" s="1389"/>
      <c r="N32" s="1389"/>
      <c r="O32" s="1389"/>
      <c r="P32" s="1389"/>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37" sqref="E37"/>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24" width="6.75" style="2266" customWidth="1"/>
    <col min="25" max="25" width="8" style="2266" bestFit="1" customWidth="1"/>
    <col min="26"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2"/>
      <c r="C1" s="1578"/>
      <c r="D1" s="2264"/>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75" thickBot="1">
      <c r="A2" s="2267" t="s">
        <v>1964</v>
      </c>
      <c r="B2" s="1263">
        <f>项目基本情况!D3</f>
        <v>43951</v>
      </c>
      <c r="C2" s="2268"/>
      <c r="D2" s="2269"/>
      <c r="E2" s="2268"/>
      <c r="F2" s="2268"/>
      <c r="G2" s="2268"/>
      <c r="H2" s="2268"/>
      <c r="I2" s="2268"/>
      <c r="J2" s="2268"/>
      <c r="K2" s="1424"/>
      <c r="L2" s="1424"/>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7" customFormat="1" ht="15" thickBot="1">
      <c r="A3" s="2025"/>
      <c r="B3" s="2271"/>
      <c r="C3" s="2268"/>
      <c r="D3" s="2269"/>
      <c r="E3" s="2268"/>
      <c r="F3" s="2268"/>
      <c r="G3" s="2268"/>
      <c r="H3" s="2268"/>
      <c r="I3" s="2268"/>
      <c r="J3" s="2268"/>
      <c r="K3" s="1424"/>
      <c r="L3" s="1424"/>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7"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8" customFormat="1" ht="42">
      <c r="A5" s="2280" t="s">
        <v>1971</v>
      </c>
      <c r="B5" s="2281" t="s">
        <v>1972</v>
      </c>
      <c r="C5" s="2282" t="s">
        <v>1973</v>
      </c>
      <c r="D5" s="2283" t="s">
        <v>1974</v>
      </c>
      <c r="E5" s="1265" t="s">
        <v>1975</v>
      </c>
      <c r="F5" s="2284" t="s">
        <v>1976</v>
      </c>
      <c r="G5" s="1265" t="s">
        <v>1977</v>
      </c>
      <c r="H5" s="1265" t="s">
        <v>1978</v>
      </c>
      <c r="I5" s="1265" t="s">
        <v>1979</v>
      </c>
      <c r="J5" s="2285" t="s">
        <v>1980</v>
      </c>
      <c r="K5" s="2286" t="s">
        <v>1981</v>
      </c>
      <c r="L5" s="2287" t="s">
        <v>1982</v>
      </c>
      <c r="M5" s="2288" t="s">
        <v>1983</v>
      </c>
      <c r="N5" s="2289" t="s">
        <v>1984</v>
      </c>
      <c r="O5" s="2287" t="s">
        <v>1985</v>
      </c>
      <c r="P5" s="2290" t="s">
        <v>1986</v>
      </c>
      <c r="Q5" s="69" t="s">
        <v>1987</v>
      </c>
      <c r="R5" s="2291" t="s">
        <v>1988</v>
      </c>
      <c r="S5" s="2292" t="s">
        <v>1989</v>
      </c>
      <c r="T5" s="2293" t="s">
        <v>1990</v>
      </c>
      <c r="U5" s="1264" t="s">
        <v>1991</v>
      </c>
      <c r="V5" s="1265" t="s">
        <v>1992</v>
      </c>
      <c r="W5" s="1265" t="s">
        <v>1993</v>
      </c>
      <c r="X5" s="71"/>
      <c r="Y5" s="70" t="s">
        <v>1994</v>
      </c>
      <c r="Z5" s="2294" t="s">
        <v>1991</v>
      </c>
      <c r="AA5" s="1265" t="s">
        <v>1992</v>
      </c>
      <c r="AB5" s="1265" t="s">
        <v>1993</v>
      </c>
      <c r="AC5" s="71"/>
      <c r="AD5" s="71" t="s">
        <v>1994</v>
      </c>
      <c r="AE5" s="1264" t="s">
        <v>1995</v>
      </c>
      <c r="AF5" s="1265" t="s">
        <v>1996</v>
      </c>
      <c r="AG5" s="70" t="s">
        <v>1997</v>
      </c>
      <c r="AH5" s="1264" t="s">
        <v>1998</v>
      </c>
      <c r="AI5" s="2294" t="s">
        <v>1999</v>
      </c>
      <c r="AJ5" s="2294" t="s">
        <v>2000</v>
      </c>
      <c r="AK5" s="1265" t="s">
        <v>2001</v>
      </c>
      <c r="AL5" s="1265" t="s">
        <v>2002</v>
      </c>
      <c r="AM5" s="70" t="s">
        <v>2003</v>
      </c>
      <c r="AN5" s="2295" t="s">
        <v>2004</v>
      </c>
      <c r="AO5" s="2065" t="s">
        <v>2005</v>
      </c>
      <c r="AP5" s="1246" t="s">
        <v>2006</v>
      </c>
      <c r="AQ5" s="2296" t="s">
        <v>2007</v>
      </c>
      <c r="AR5" s="2296" t="s">
        <v>2008</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7" customFormat="1" ht="14.25">
      <c r="A6" s="2297" t="str">
        <f>'数据-汇总表'!C19</f>
        <v>住宅</v>
      </c>
      <c r="B6" s="2298" t="str">
        <f>IF(A6=0,"","经营性")</f>
        <v>经营性</v>
      </c>
      <c r="C6" s="2299" t="s">
        <v>3068</v>
      </c>
      <c r="D6" s="1048">
        <f>SUMIF(项目基本情况!D$12:I$12,C6,项目基本情况!D$14:I$14)</f>
        <v>70</v>
      </c>
      <c r="E6" s="1045">
        <f>IF(B6="","",SUMIF(项目基本情况!D$12:I$12,C6,项目基本情况!D$13:I$13))</f>
        <v>68099</v>
      </c>
      <c r="F6" s="72">
        <f>SUMIF(项目基本情况!D$12:I$12,C6,项目基本情况!D$15:I$15)</f>
        <v>66.150000000000006</v>
      </c>
      <c r="G6" s="73">
        <f>IF(ISERROR(ROUND(POWER(1+H6,D6-F6)*(POWER(1+H6,F6)-1)/(POWER(1+H6,D6)-1),3)),0,ROUND(POWER(1+H6,D6-F6)*(POWER(1+H6,F6)-1)/(POWER(1+H6,D6)-1),3))</f>
        <v>0.99099999999999999</v>
      </c>
      <c r="H6" s="802">
        <v>4.4999999999999998E-2</v>
      </c>
      <c r="I6" s="802">
        <v>0.05</v>
      </c>
      <c r="J6" s="74">
        <v>8.5000000000000006E-2</v>
      </c>
      <c r="K6" s="1248">
        <f>SUMIF('数据-汇总表'!C$19:C$33,A6,'数据-汇总表'!E$19:E$33)</f>
        <v>25608.019999999997</v>
      </c>
      <c r="L6" s="803">
        <v>2500</v>
      </c>
      <c r="M6" s="75">
        <f t="shared" ref="M6:M14" si="0">ROUND(K6*L6/10000,0)</f>
        <v>6402</v>
      </c>
      <c r="N6" s="801">
        <v>0.6</v>
      </c>
      <c r="O6" s="75">
        <f>IF($N$5="成新度","——",ROUND(M6*N6,0))</f>
        <v>3841</v>
      </c>
      <c r="P6" s="76">
        <f>IF($N$5="成新度","——",M6-O6)</f>
        <v>2561</v>
      </c>
      <c r="Q6" s="804">
        <v>0.1</v>
      </c>
      <c r="R6" s="77">
        <f ca="1">SUMIF('数据-汇总表'!C$19:C$33,A6,'数据-汇总表'!R$19:R$27)</f>
        <v>4382.6099999999997</v>
      </c>
      <c r="S6" s="54">
        <f>IF('数据-汇总表'!$I$17="按面积比例",SUMIF('数据-汇总表'!C$19:C$33,A6,'数据-汇总表'!K$19:K$33),SUMIF('数据-汇总表'!C$19:C$33,A6,'数据-汇总表'!N$19:N$33))</f>
        <v>0</v>
      </c>
      <c r="T6" s="1440">
        <f>ROUND($L$14*S6/10000,0)</f>
        <v>0</v>
      </c>
      <c r="U6" s="78"/>
      <c r="V6" s="79"/>
      <c r="W6" s="79"/>
      <c r="X6" s="1258"/>
      <c r="Y6" s="80"/>
      <c r="Z6" s="81"/>
      <c r="AA6" s="74"/>
      <c r="AB6" s="74"/>
      <c r="AC6" s="1258"/>
      <c r="AD6" s="82"/>
      <c r="AE6" s="1259">
        <f ca="1">IF(AN6="",0,SUMIF(INDIRECT("'"&amp;AN6&amp;"'"&amp;"!E:E"),$AE$5,INDIRECT("'"&amp;AN6&amp;"'"&amp;"!F:F")))</f>
        <v>0</v>
      </c>
      <c r="AF6" s="1801"/>
      <c r="AG6" s="147">
        <f>IF(AF6="",0,AE6-AF6)</f>
        <v>0</v>
      </c>
      <c r="AH6" s="83"/>
      <c r="AI6" s="85"/>
      <c r="AJ6" s="86"/>
      <c r="AK6" s="87"/>
      <c r="AL6" s="88"/>
      <c r="AM6" s="89"/>
      <c r="AN6" s="2300"/>
      <c r="AO6" s="55" t="e">
        <f ca="1">SUMIF(INDIRECT("'"&amp;AN6&amp;"'"&amp;"!A:A"),"总价",INDIRECT("'"&amp;AN6&amp;"'"&amp;"!B:B"))</f>
        <v>#REF!</v>
      </c>
      <c r="AP6" s="2301">
        <f>IF(C6="住宅",K6*L6,0)</f>
        <v>64020049.999999993</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7" customFormat="1" ht="14.25">
      <c r="A7" s="2297" t="str">
        <f>'数据-汇总表'!C20</f>
        <v>公寓</v>
      </c>
      <c r="B7" s="2298" t="str">
        <f t="shared" ref="B7:B13" si="1">IF(A7=0,"","经营性")</f>
        <v>经营性</v>
      </c>
      <c r="C7" s="2299" t="s">
        <v>1372</v>
      </c>
      <c r="D7" s="1048">
        <f>SUMIF(项目基本情况!D$12:I$12,C7,项目基本情况!D$14:I$14)</f>
        <v>40</v>
      </c>
      <c r="E7" s="1045">
        <f>IF(B7="","",SUMIF(项目基本情况!D$12:I$12,C7,项目基本情况!D$13:I$13))</f>
        <v>57142</v>
      </c>
      <c r="F7" s="72">
        <f>SUMIF(项目基本情况!D$12:I$12,C7,项目基本情况!D$15:I$15)</f>
        <v>36.130000000000003</v>
      </c>
      <c r="G7" s="73">
        <f t="shared" ref="G7:G11" si="2">IF(ISERROR(ROUND(POWER(1+H7,D7-F7)*(POWER(1+H7,F7)-1)/(POWER(1+H7,D7)-1),3)),0,ROUND(POWER(1+H7,D7-F7)*(POWER(1+H7,F7)-1)/(POWER(1+H7,D7)-1),3))</f>
        <v>0.96599999999999997</v>
      </c>
      <c r="H7" s="802">
        <v>0.05</v>
      </c>
      <c r="I7" s="802">
        <v>5.5E-2</v>
      </c>
      <c r="J7" s="74">
        <v>8.5000000000000006E-2</v>
      </c>
      <c r="K7" s="1248">
        <f>SUMIF('数据-汇总表'!C$19:C$33,A7,'数据-汇总表'!E$19:E$33)</f>
        <v>89098.739999999991</v>
      </c>
      <c r="L7" s="803">
        <v>2800</v>
      </c>
      <c r="M7" s="75">
        <f t="shared" si="0"/>
        <v>24948</v>
      </c>
      <c r="N7" s="2975">
        <v>0.6</v>
      </c>
      <c r="O7" s="75">
        <f t="shared" ref="O7:O14" si="3">IF($N$5="成新度","——",ROUND(M7*N7,0))</f>
        <v>14969</v>
      </c>
      <c r="P7" s="76">
        <f t="shared" ref="P7:P14" si="4">IF($N$5="成新度","——",M7-O7)</f>
        <v>9979</v>
      </c>
      <c r="Q7" s="804">
        <v>0.15</v>
      </c>
      <c r="R7" s="77">
        <f ca="1">SUMIF('数据-汇总表'!C$19:C$33,A7,'数据-汇总表'!R$19:R$27)</f>
        <v>15248.54</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1"/>
      <c r="AG7" s="147">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7" customFormat="1" ht="14.25">
      <c r="A8" s="2297" t="str">
        <f>'数据-汇总表'!C21</f>
        <v>底商</v>
      </c>
      <c r="B8" s="2298" t="str">
        <f t="shared" si="1"/>
        <v>经营性</v>
      </c>
      <c r="C8" s="2299" t="s">
        <v>1372</v>
      </c>
      <c r="D8" s="1048">
        <f>SUMIF(项目基本情况!D$12:I$12,C8,项目基本情况!D$14:I$14)</f>
        <v>40</v>
      </c>
      <c r="E8" s="1045">
        <f>IF(B8="","",SUMIF(项目基本情况!D$12:I$12,C8,项目基本情况!D$13:I$13))</f>
        <v>57142</v>
      </c>
      <c r="F8" s="72">
        <f>SUMIF(项目基本情况!D$12:I$12,C8,项目基本情况!D$15:I$15)</f>
        <v>36.130000000000003</v>
      </c>
      <c r="G8" s="73">
        <f t="shared" si="2"/>
        <v>0.96599999999999997</v>
      </c>
      <c r="H8" s="802">
        <v>0.05</v>
      </c>
      <c r="I8" s="802">
        <v>5.5E-2</v>
      </c>
      <c r="J8" s="74">
        <v>8.5000000000000006E-2</v>
      </c>
      <c r="K8" s="1248">
        <f>SUMIF('数据-汇总表'!C$19:C$33,A8,'数据-汇总表'!E$19:E$33)</f>
        <v>5457.62</v>
      </c>
      <c r="L8" s="803">
        <v>2800</v>
      </c>
      <c r="M8" s="75">
        <f>ROUND(K8*L8/10000,0)</f>
        <v>1528</v>
      </c>
      <c r="N8" s="2975">
        <v>0.6</v>
      </c>
      <c r="O8" s="75">
        <f t="shared" si="3"/>
        <v>917</v>
      </c>
      <c r="P8" s="76">
        <f t="shared" si="4"/>
        <v>611</v>
      </c>
      <c r="Q8" s="804">
        <v>0.25</v>
      </c>
      <c r="R8" s="77">
        <f ca="1">SUMIF('数据-汇总表'!C$19:C$33,A8,'数据-汇总表'!R$19:R$27)</f>
        <v>934.03</v>
      </c>
      <c r="S8" s="54">
        <f>IF('数据-汇总表'!$I$17="按面积比例",SUMIF('数据-汇总表'!C$19:C$33,A8,'数据-汇总表'!K$19:K$33),SUMIF('数据-汇总表'!C$19:C$33,A8,'数据-汇总表'!N$19:N$33))</f>
        <v>0</v>
      </c>
      <c r="T8" s="1440">
        <f t="shared" si="5"/>
        <v>0</v>
      </c>
      <c r="U8" s="805">
        <v>5.5</v>
      </c>
      <c r="V8" s="806">
        <v>0.03</v>
      </c>
      <c r="W8" s="806">
        <v>0.1</v>
      </c>
      <c r="X8" s="1258"/>
      <c r="Y8" s="807">
        <v>1</v>
      </c>
      <c r="Z8" s="81"/>
      <c r="AA8" s="74"/>
      <c r="AB8" s="74"/>
      <c r="AC8" s="1258"/>
      <c r="AD8" s="82"/>
      <c r="AE8" s="1259">
        <f t="shared" ca="1" si="6"/>
        <v>35.130000000000003</v>
      </c>
      <c r="AF8" s="1801"/>
      <c r="AG8" s="147">
        <f t="shared" si="7"/>
        <v>0</v>
      </c>
      <c r="AH8" s="808"/>
      <c r="AI8" s="85">
        <v>365</v>
      </c>
      <c r="AJ8" s="86"/>
      <c r="AK8" s="87">
        <v>1.4999999999999999E-2</v>
      </c>
      <c r="AL8" s="88">
        <v>1.5E-3</v>
      </c>
      <c r="AM8" s="89">
        <v>0.01</v>
      </c>
      <c r="AN8" s="2300" t="s">
        <v>3083</v>
      </c>
      <c r="AO8" s="55">
        <f t="shared" ca="1" si="8"/>
        <v>17491</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7" customFormat="1" ht="14.25" hidden="1">
      <c r="A9" s="2297">
        <f>'数据-汇总表'!C22</f>
        <v>0</v>
      </c>
      <c r="B9" s="2298" t="str">
        <f t="shared" si="1"/>
        <v/>
      </c>
      <c r="C9" s="2299"/>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7" customFormat="1" ht="14.25" hidden="1">
      <c r="A10" s="2297">
        <f>'数据-汇总表'!C23</f>
        <v>0</v>
      </c>
      <c r="B10" s="2298" t="str">
        <f t="shared" si="1"/>
        <v/>
      </c>
      <c r="C10" s="2299"/>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7" customFormat="1" ht="14.25" hidden="1">
      <c r="A11" s="2297">
        <f>'数据-汇总表'!C24</f>
        <v>0</v>
      </c>
      <c r="B11" s="2298" t="str">
        <f t="shared" si="1"/>
        <v/>
      </c>
      <c r="C11" s="2299"/>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7" customFormat="1" ht="14.25" hidden="1">
      <c r="A12" s="2297">
        <f>'数据-汇总表'!C25</f>
        <v>0</v>
      </c>
      <c r="B12" s="2298" t="str">
        <f t="shared" si="1"/>
        <v/>
      </c>
      <c r="C12" s="2299"/>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7" customFormat="1" ht="14.25" hidden="1">
      <c r="A13" s="2297">
        <f>'数据-汇总表'!C26</f>
        <v>0</v>
      </c>
      <c r="B13" s="2298" t="str">
        <f t="shared" si="1"/>
        <v/>
      </c>
      <c r="C13" s="2299"/>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7" customFormat="1" ht="14.25">
      <c r="A14" s="2302" t="s">
        <v>2009</v>
      </c>
      <c r="B14" s="2298" t="s">
        <v>2010</v>
      </c>
      <c r="C14" s="2303" t="s">
        <v>2009</v>
      </c>
      <c r="D14" s="1048"/>
      <c r="E14" s="1045"/>
      <c r="F14" s="72"/>
      <c r="G14" s="73"/>
      <c r="H14" s="1247"/>
      <c r="I14" s="1247"/>
      <c r="J14" s="1247"/>
      <c r="K14" s="1248">
        <f>SUMIF('数据-汇总表'!C$19:C$33,A14,'数据-汇总表'!E$19:E$33)</f>
        <v>0</v>
      </c>
      <c r="L14" s="91"/>
      <c r="M14" s="75">
        <f t="shared" si="0"/>
        <v>0</v>
      </c>
      <c r="N14" s="92"/>
      <c r="O14" s="75">
        <f t="shared" si="3"/>
        <v>0</v>
      </c>
      <c r="P14" s="76">
        <f t="shared" si="4"/>
        <v>0</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7" customFormat="1" ht="27">
      <c r="A15" s="2302" t="s">
        <v>2011</v>
      </c>
      <c r="B15" s="2298" t="s">
        <v>2010</v>
      </c>
      <c r="C15" s="2303" t="s">
        <v>2012</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7" customFormat="1" ht="15.75" thickBot="1">
      <c r="A16" s="2304" t="s">
        <v>2013</v>
      </c>
      <c r="B16" s="97"/>
      <c r="C16" s="1002"/>
      <c r="D16" s="2305"/>
      <c r="E16" s="97"/>
      <c r="F16" s="97"/>
      <c r="G16" s="98">
        <f>ROUND(SUMPRODUCT(G6:G13,K6:K13)/SUMPRODUCT((G6:G13&gt;0)*(K6:K13)),3)</f>
        <v>0.97099999999999997</v>
      </c>
      <c r="H16" s="99">
        <f>ROUND(SUMPRODUCT(H6:H13,K6:K13)/SUMPRODUCT((H6:H13&gt;0)*(K6:K13)),3)</f>
        <v>4.9000000000000002E-2</v>
      </c>
      <c r="I16" s="100"/>
      <c r="J16" s="100"/>
      <c r="K16" s="101">
        <f>SUM(K6:K15)</f>
        <v>120164.37999999998</v>
      </c>
      <c r="L16" s="102">
        <f>ROUND(M16*10000/SUM(K6:K14),0)</f>
        <v>2736</v>
      </c>
      <c r="M16" s="102">
        <f>SUM(M6:M14)</f>
        <v>32878</v>
      </c>
      <c r="N16" s="103">
        <f>ROUND(SUMPRODUCT(M6:M14,N6:N14)/M16,3)</f>
        <v>0.6</v>
      </c>
      <c r="O16" s="102">
        <f>SUM(O6:O14)</f>
        <v>19727</v>
      </c>
      <c r="P16" s="102">
        <f>SUM(P6:P14)</f>
        <v>13151</v>
      </c>
      <c r="Q16" s="104">
        <f>ROUND(SUMPRODUCT(Q6:Q13,K6:K13)/SUMPRODUCT((Q6:Q13&gt;0)*(K6:K13)),2)</f>
        <v>0.14000000000000001</v>
      </c>
      <c r="R16" s="1252">
        <f ca="1">SUM(R6:R13)</f>
        <v>20565.18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78"/>
      <c r="D17" s="2264"/>
      <c r="E17" s="2264"/>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2014</v>
      </c>
      <c r="B18" s="2271"/>
      <c r="C18" s="2268"/>
      <c r="D18" s="2269"/>
      <c r="E18" s="2268"/>
      <c r="F18" s="2268"/>
      <c r="G18" s="2268"/>
      <c r="H18" s="2268"/>
      <c r="I18" s="2268"/>
      <c r="J18" s="2268"/>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7" t="s">
        <v>2015</v>
      </c>
      <c r="B19" s="112">
        <v>0</v>
      </c>
      <c r="C19" s="2268" t="s">
        <v>2016</v>
      </c>
      <c r="D19" s="2269"/>
      <c r="E19" s="2268"/>
      <c r="F19" s="2268"/>
      <c r="G19" s="2268"/>
      <c r="H19" s="2268"/>
      <c r="I19" s="2268"/>
      <c r="J19" s="2268"/>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8" t="s">
        <v>2017</v>
      </c>
      <c r="B20" s="113">
        <v>3</v>
      </c>
      <c r="C20" s="2268" t="s">
        <v>2018</v>
      </c>
      <c r="D20" s="2269"/>
      <c r="E20" s="2268"/>
      <c r="F20" s="2268"/>
      <c r="G20" s="2268"/>
      <c r="H20" s="2268"/>
      <c r="I20" s="2268"/>
      <c r="J20" s="2268"/>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09" t="s">
        <v>2019</v>
      </c>
      <c r="B21" s="113">
        <v>2</v>
      </c>
      <c r="C21" s="2268"/>
      <c r="D21" s="2269"/>
      <c r="E21" s="2268"/>
      <c r="F21" s="2268"/>
      <c r="G21" s="2268"/>
      <c r="H21" s="2268"/>
      <c r="I21" s="2268"/>
      <c r="J21" s="2268"/>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8" t="s">
        <v>2020</v>
      </c>
      <c r="B22" s="114">
        <f>B19+B20</f>
        <v>3</v>
      </c>
      <c r="C22" s="2268"/>
      <c r="D22" s="2269"/>
      <c r="E22" s="2268"/>
      <c r="F22" s="2268"/>
      <c r="G22" s="2268"/>
      <c r="H22" s="2268"/>
      <c r="I22" s="2268"/>
      <c r="J22" s="2268"/>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09" t="s">
        <v>2021</v>
      </c>
      <c r="B23" s="114">
        <f>B19+B21</f>
        <v>2</v>
      </c>
      <c r="C23" s="2268"/>
      <c r="D23" s="2269"/>
      <c r="E23" s="2268"/>
      <c r="F23" s="2268"/>
      <c r="G23" s="2268"/>
      <c r="H23" s="2268"/>
      <c r="I23" s="2268"/>
      <c r="J23" s="2268"/>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0" t="s">
        <v>2022</v>
      </c>
      <c r="B24" s="115">
        <f>B20-B21</f>
        <v>1</v>
      </c>
      <c r="C24" s="2268"/>
      <c r="D24" s="2269"/>
      <c r="E24" s="2268"/>
      <c r="F24" s="2268"/>
      <c r="G24" s="2268"/>
      <c r="H24" s="2268"/>
      <c r="I24" s="2268"/>
      <c r="J24" s="2268"/>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5"/>
      <c r="B25" s="2271"/>
      <c r="C25" s="2268"/>
      <c r="D25" s="2269"/>
      <c r="E25" s="2268"/>
      <c r="F25" s="2268"/>
      <c r="G25" s="2268"/>
      <c r="H25" s="2268"/>
      <c r="I25" s="2268"/>
      <c r="J25" s="2268"/>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7" t="s">
        <v>2023</v>
      </c>
      <c r="B26" s="2311" t="s">
        <v>2024</v>
      </c>
      <c r="C26" s="2312" t="s">
        <v>2025</v>
      </c>
      <c r="D26" s="2269"/>
      <c r="E26" s="2268"/>
      <c r="F26" s="2268"/>
      <c r="G26" s="2268"/>
      <c r="H26" s="2268"/>
      <c r="I26" s="2268"/>
      <c r="J26" s="2268"/>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5" customFormat="1" ht="27.75">
      <c r="A27" s="2313" t="s">
        <v>2026</v>
      </c>
      <c r="B27" s="116">
        <v>170</v>
      </c>
      <c r="C27" s="1761" t="s">
        <v>2027</v>
      </c>
      <c r="D27" s="2314"/>
      <c r="E27" s="1424"/>
      <c r="F27" s="1424"/>
      <c r="G27" s="2268"/>
      <c r="H27" s="2268"/>
      <c r="I27" s="2268"/>
      <c r="J27" s="2268"/>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5" customFormat="1" ht="27.75">
      <c r="A28" s="2316" t="s">
        <v>2028</v>
      </c>
      <c r="B28" s="119">
        <v>170</v>
      </c>
      <c r="C28" s="2317"/>
      <c r="D28" s="2314"/>
      <c r="E28" s="1424"/>
      <c r="F28" s="1424"/>
      <c r="G28" s="2268"/>
      <c r="H28" s="2268"/>
      <c r="I28" s="2268"/>
      <c r="J28" s="2268"/>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5" customFormat="1" ht="28.5" thickBot="1">
      <c r="A29" s="2318" t="s">
        <v>2029</v>
      </c>
      <c r="B29" s="121">
        <v>0</v>
      </c>
      <c r="C29" s="1761" t="s">
        <v>2030</v>
      </c>
      <c r="D29" s="2314"/>
      <c r="E29" s="1424"/>
      <c r="F29" s="1424"/>
      <c r="G29" s="2268"/>
      <c r="H29" s="2268"/>
      <c r="I29" s="2268"/>
      <c r="J29" s="2268"/>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5" customFormat="1" ht="27">
      <c r="A30" s="2319" t="s">
        <v>2031</v>
      </c>
      <c r="B30" s="724">
        <v>200</v>
      </c>
      <c r="C30" s="2317"/>
      <c r="D30" s="2314"/>
      <c r="E30" s="1424"/>
      <c r="F30" s="1424"/>
      <c r="G30" s="2268"/>
      <c r="H30" s="2268"/>
      <c r="I30" s="2268"/>
      <c r="J30" s="2268"/>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5" customFormat="1" ht="27">
      <c r="A31" s="2316" t="s">
        <v>2032</v>
      </c>
      <c r="B31" s="120">
        <f>B30-B32</f>
        <v>200</v>
      </c>
      <c r="C31" s="1761"/>
      <c r="D31" s="2314"/>
      <c r="E31" s="1424"/>
      <c r="F31" s="1424"/>
      <c r="G31" s="2268"/>
      <c r="H31" s="2268"/>
      <c r="I31" s="2268"/>
      <c r="J31" s="2268"/>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5" customFormat="1" ht="27.75" thickBot="1">
      <c r="A32" s="2320" t="s">
        <v>2033</v>
      </c>
      <c r="B32" s="725">
        <v>0</v>
      </c>
      <c r="C32" s="2317"/>
      <c r="D32" s="2269"/>
      <c r="E32" s="2268"/>
      <c r="F32" s="2268"/>
      <c r="G32" s="2268"/>
      <c r="H32" s="2268"/>
      <c r="I32" s="2268"/>
      <c r="J32" s="2268"/>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5" customFormat="1" ht="14.25">
      <c r="A33" s="2313" t="s">
        <v>2034</v>
      </c>
      <c r="B33" s="726">
        <v>0.05</v>
      </c>
      <c r="C33" s="1760" t="s">
        <v>2035</v>
      </c>
      <c r="D33" s="2269"/>
      <c r="E33" s="2268"/>
      <c r="F33" s="2268"/>
      <c r="G33" s="2268"/>
      <c r="H33" s="2268"/>
      <c r="I33" s="2268"/>
      <c r="J33" s="2268"/>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5" customFormat="1" ht="14.25">
      <c r="A34" s="2316" t="s">
        <v>2036</v>
      </c>
      <c r="B34" s="122">
        <v>0</v>
      </c>
      <c r="C34" s="1760" t="s">
        <v>2037</v>
      </c>
      <c r="D34" s="2269" t="s">
        <v>2038</v>
      </c>
      <c r="E34" s="732"/>
      <c r="F34" s="2268"/>
      <c r="G34" s="2268"/>
      <c r="H34" s="2268"/>
      <c r="I34" s="2268"/>
      <c r="J34" s="2268"/>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5" customFormat="1" ht="14.25">
      <c r="A35" s="2316" t="s">
        <v>2039</v>
      </c>
      <c r="B35" s="119">
        <v>200</v>
      </c>
      <c r="C35" s="1760" t="s">
        <v>2040</v>
      </c>
      <c r="D35" s="2314"/>
      <c r="E35" s="1424"/>
      <c r="F35" s="1424"/>
      <c r="G35" s="2268"/>
      <c r="H35" s="2268"/>
      <c r="I35" s="2268"/>
      <c r="J35" s="2268"/>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8" t="s">
        <v>2041</v>
      </c>
      <c r="B36" s="123">
        <v>1.4999999999999999E-2</v>
      </c>
      <c r="C36" s="1760" t="s">
        <v>2042</v>
      </c>
      <c r="D36" s="2269"/>
      <c r="E36" s="2268"/>
      <c r="F36" s="2268"/>
      <c r="G36" s="2268"/>
      <c r="H36" s="2268"/>
      <c r="I36" s="2268"/>
      <c r="J36" s="2268"/>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19" t="s">
        <v>2043</v>
      </c>
      <c r="B37" s="124">
        <v>0.02</v>
      </c>
      <c r="C37" s="1760" t="s">
        <v>2044</v>
      </c>
      <c r="D37" s="2269"/>
      <c r="E37" s="2268"/>
      <c r="F37" s="2268"/>
      <c r="G37" s="2268"/>
      <c r="H37" s="2268"/>
      <c r="I37" s="2268"/>
      <c r="J37" s="2268"/>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6" t="s">
        <v>2045</v>
      </c>
      <c r="B38" s="122">
        <v>0.03</v>
      </c>
      <c r="C38" s="1760" t="s">
        <v>2044</v>
      </c>
      <c r="D38" s="2269"/>
      <c r="E38" s="2268"/>
      <c r="F38" s="2268"/>
      <c r="G38" s="2268"/>
      <c r="H38" s="2268"/>
      <c r="I38" s="2268"/>
      <c r="J38" s="2268"/>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0" t="s">
        <v>2046</v>
      </c>
      <c r="B39" s="362">
        <f ca="1">存贷款利率!I1</f>
        <v>1.4999999999999999E-2</v>
      </c>
      <c r="C39" s="1760"/>
      <c r="D39" s="2269"/>
      <c r="E39" s="2268"/>
      <c r="F39" s="2268"/>
      <c r="G39" s="2268"/>
      <c r="H39" s="2268"/>
      <c r="I39" s="2268"/>
      <c r="J39" s="2268"/>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0" t="s">
        <v>2047</v>
      </c>
      <c r="B40" s="1297">
        <f ca="1">存贷款利率!G1</f>
        <v>4.7500000000000001E-2</v>
      </c>
      <c r="C40" s="1760" t="s">
        <v>2048</v>
      </c>
      <c r="D40" s="1578"/>
      <c r="E40" s="2269"/>
      <c r="F40" s="2268"/>
      <c r="G40" s="2268"/>
      <c r="H40" s="2268"/>
      <c r="I40" s="2268"/>
      <c r="J40" s="2268"/>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3" t="s">
        <v>2049</v>
      </c>
      <c r="B41" s="125">
        <f>B42+B43</f>
        <v>5.6000000000000001E-2</v>
      </c>
      <c r="C41" s="1761"/>
      <c r="D41" s="1578"/>
      <c r="E41" s="2269"/>
      <c r="F41" s="2268"/>
      <c r="G41" s="2268"/>
      <c r="H41" s="2268"/>
      <c r="I41" s="2268"/>
      <c r="J41" s="2268"/>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1" t="s">
        <v>2050</v>
      </c>
      <c r="B42" s="126">
        <v>0.05</v>
      </c>
      <c r="C42" s="2322">
        <f>IF(B2&lt;DATE(2016,5,1),0,B42)</f>
        <v>0.05</v>
      </c>
      <c r="D42" s="2269"/>
      <c r="E42" s="2268"/>
      <c r="F42" s="2268"/>
      <c r="G42" s="2268"/>
      <c r="H42" s="2268"/>
      <c r="I42" s="2268"/>
      <c r="J42" s="2268"/>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1" t="s">
        <v>2051</v>
      </c>
      <c r="B43" s="127">
        <f>B42*(B44+B45+B46)+B47</f>
        <v>6.000000000000001E-3</v>
      </c>
      <c r="C43" s="1761"/>
      <c r="D43" s="2269"/>
      <c r="E43" s="2268"/>
      <c r="F43" s="2268"/>
      <c r="G43" s="2268"/>
      <c r="H43" s="2268"/>
      <c r="I43" s="2268"/>
      <c r="J43" s="2268"/>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3" t="s">
        <v>2052</v>
      </c>
      <c r="B44" s="128">
        <v>7.0000000000000007E-2</v>
      </c>
      <c r="C44" s="1760" t="s">
        <v>2053</v>
      </c>
      <c r="D44" s="2269"/>
      <c r="E44" s="2268"/>
      <c r="F44" s="2268"/>
      <c r="G44" s="2268"/>
      <c r="H44" s="2268"/>
      <c r="I44" s="2268"/>
      <c r="J44" s="2268"/>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3" t="s">
        <v>2054</v>
      </c>
      <c r="B45" s="126">
        <v>0.03</v>
      </c>
      <c r="C45" s="1761" t="s">
        <v>2055</v>
      </c>
      <c r="D45" s="2269"/>
      <c r="E45" s="2268"/>
      <c r="F45" s="2268"/>
      <c r="G45" s="2268"/>
      <c r="H45" s="2268"/>
      <c r="I45" s="2268"/>
      <c r="J45" s="2268"/>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3" t="s">
        <v>2056</v>
      </c>
      <c r="B46" s="126">
        <v>0.02</v>
      </c>
      <c r="C46" s="1761" t="s">
        <v>2057</v>
      </c>
      <c r="D46" s="2269"/>
      <c r="E46" s="2268"/>
      <c r="F46" s="2268"/>
      <c r="G46" s="2268"/>
      <c r="H46" s="2268"/>
      <c r="I46" s="2268"/>
      <c r="J46" s="2268"/>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4" t="s">
        <v>2058</v>
      </c>
      <c r="B47" s="129">
        <v>0</v>
      </c>
      <c r="C47" s="1761" t="s">
        <v>2059</v>
      </c>
      <c r="D47" s="2269"/>
      <c r="E47" s="2268"/>
      <c r="F47" s="2268"/>
      <c r="G47" s="2268"/>
      <c r="H47" s="2268"/>
      <c r="I47" s="2268"/>
      <c r="J47" s="2268"/>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5" t="s">
        <v>2060</v>
      </c>
      <c r="B48" s="130">
        <v>0.04</v>
      </c>
      <c r="C48" s="1768" t="s">
        <v>2061</v>
      </c>
      <c r="D48" s="2269"/>
      <c r="E48" s="2268"/>
      <c r="F48" s="2268"/>
      <c r="G48" s="2268"/>
      <c r="H48" s="2268"/>
      <c r="I48" s="2268"/>
      <c r="J48" s="2268"/>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0" t="s">
        <v>2062</v>
      </c>
      <c r="B49" s="126">
        <v>5.0000000000000001E-4</v>
      </c>
      <c r="C49" s="1768" t="s">
        <v>2063</v>
      </c>
      <c r="D49" s="2269"/>
      <c r="E49" s="2268"/>
      <c r="F49" s="2268"/>
      <c r="G49" s="2268"/>
      <c r="H49" s="2268"/>
      <c r="I49" s="2268"/>
      <c r="J49" s="2268"/>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6" t="s">
        <v>2064</v>
      </c>
      <c r="B50" s="131">
        <v>1.2E-2</v>
      </c>
      <c r="C50" s="1424"/>
      <c r="D50" s="2269"/>
      <c r="E50" s="2268"/>
      <c r="F50" s="2268"/>
      <c r="G50" s="2268"/>
      <c r="H50" s="2268"/>
      <c r="I50" s="2268"/>
      <c r="J50" s="2268"/>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8" t="s">
        <v>2065</v>
      </c>
      <c r="B51" s="132">
        <v>0.12</v>
      </c>
      <c r="C51" s="1424"/>
      <c r="D51" s="2269"/>
      <c r="E51" s="2268"/>
      <c r="F51" s="2268"/>
      <c r="G51" s="2268"/>
      <c r="H51" s="2268"/>
      <c r="I51" s="2268"/>
      <c r="J51" s="2268"/>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6" t="s">
        <v>2066</v>
      </c>
      <c r="B52" s="133">
        <f>SUMIF(A54:A63,B53,B54:B63)</f>
        <v>18</v>
      </c>
      <c r="C52" s="1424"/>
      <c r="D52" s="2269"/>
      <c r="E52" s="2268"/>
      <c r="F52" s="2268"/>
      <c r="G52" s="2268"/>
      <c r="H52" s="2268"/>
      <c r="I52" s="2268"/>
      <c r="J52" s="2268"/>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6" t="s">
        <v>2067</v>
      </c>
      <c r="B53" s="2327" t="s">
        <v>212</v>
      </c>
      <c r="C53" s="1424" t="s">
        <v>2068</v>
      </c>
      <c r="D53" s="2328" t="s">
        <v>2069</v>
      </c>
      <c r="E53" s="2268"/>
      <c r="F53" s="2268"/>
      <c r="G53" s="2268"/>
      <c r="H53" s="2268"/>
      <c r="I53" s="2268"/>
      <c r="J53" s="2268"/>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29" t="s">
        <v>2070</v>
      </c>
      <c r="B54" s="84">
        <v>18</v>
      </c>
      <c r="C54" s="1424">
        <v>30</v>
      </c>
      <c r="D54" s="2269"/>
      <c r="E54" s="2268"/>
      <c r="F54" s="2268"/>
      <c r="G54" s="2268"/>
      <c r="H54" s="2268"/>
      <c r="I54" s="2268"/>
      <c r="J54" s="2268"/>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29" t="s">
        <v>2071</v>
      </c>
      <c r="B55" s="84"/>
      <c r="C55" s="1424">
        <v>24</v>
      </c>
      <c r="D55" s="2269"/>
      <c r="E55" s="2268"/>
      <c r="F55" s="2268"/>
      <c r="G55" s="2268"/>
      <c r="H55" s="2268"/>
      <c r="I55" s="2330"/>
      <c r="J55" s="2268"/>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29" t="s">
        <v>2072</v>
      </c>
      <c r="B56" s="84"/>
      <c r="C56" s="1424">
        <v>18</v>
      </c>
      <c r="D56" s="2269"/>
      <c r="E56" s="2268"/>
      <c r="F56" s="2268"/>
      <c r="G56" s="2268"/>
      <c r="H56" s="2268"/>
      <c r="I56" s="2268"/>
      <c r="J56" s="2268"/>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29" t="s">
        <v>2073</v>
      </c>
      <c r="B57" s="84"/>
      <c r="C57" s="1424">
        <v>12</v>
      </c>
      <c r="D57" s="2269"/>
      <c r="E57" s="2268"/>
      <c r="F57" s="2268"/>
      <c r="G57" s="2268"/>
      <c r="H57" s="2268"/>
      <c r="I57" s="2268"/>
      <c r="J57" s="2268"/>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29" t="s">
        <v>2074</v>
      </c>
      <c r="B58" s="84"/>
      <c r="C58" s="1424">
        <v>3</v>
      </c>
      <c r="D58" s="2269"/>
      <c r="E58" s="2268"/>
      <c r="F58" s="2268"/>
      <c r="G58" s="2268"/>
      <c r="H58" s="2268"/>
      <c r="I58" s="2268"/>
      <c r="J58" s="2268"/>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29" t="s">
        <v>2075</v>
      </c>
      <c r="B59" s="84"/>
      <c r="C59" s="1424">
        <v>1.5</v>
      </c>
      <c r="D59" s="2269"/>
      <c r="E59" s="2268"/>
      <c r="F59" s="2268"/>
      <c r="G59" s="2268"/>
      <c r="H59" s="2268"/>
      <c r="I59" s="2268"/>
      <c r="J59" s="2268"/>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29" t="s">
        <v>2076</v>
      </c>
      <c r="B60" s="84"/>
      <c r="C60" s="2268"/>
      <c r="D60" s="2269"/>
      <c r="E60" s="2268"/>
      <c r="F60" s="2268"/>
      <c r="G60" s="2268"/>
      <c r="H60" s="2268"/>
      <c r="I60" s="2268"/>
      <c r="J60" s="2268"/>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29" t="s">
        <v>2077</v>
      </c>
      <c r="B61" s="84"/>
      <c r="C61" s="2268"/>
      <c r="D61" s="2269"/>
      <c r="E61" s="2268"/>
      <c r="F61" s="2268"/>
      <c r="G61" s="2268"/>
      <c r="H61" s="2268"/>
      <c r="I61" s="2268"/>
      <c r="J61" s="2268"/>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29" t="s">
        <v>2078</v>
      </c>
      <c r="B62" s="84"/>
      <c r="C62" s="2268"/>
      <c r="D62" s="2269"/>
      <c r="E62" s="2268"/>
      <c r="F62" s="2268"/>
      <c r="G62" s="2268"/>
      <c r="H62" s="2268"/>
      <c r="I62" s="2268"/>
      <c r="J62" s="2268"/>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1" t="s">
        <v>2079</v>
      </c>
      <c r="B63" s="134"/>
      <c r="C63" s="2268"/>
      <c r="D63" s="2269"/>
      <c r="E63" s="2268"/>
      <c r="F63" s="2268"/>
      <c r="G63" s="2268"/>
      <c r="H63" s="2268"/>
      <c r="I63" s="2268"/>
      <c r="J63" s="2268"/>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2"/>
      <c r="D64" s="2333"/>
      <c r="K64" s="798"/>
      <c r="L64" s="798"/>
    </row>
    <row r="65" spans="1:12" s="961" customFormat="1">
      <c r="A65" s="2332"/>
      <c r="D65" s="2333"/>
      <c r="K65" s="798"/>
      <c r="L65" s="798"/>
    </row>
    <row r="66" spans="1:12" s="961" customFormat="1">
      <c r="A66" s="2332"/>
      <c r="D66" s="2333"/>
      <c r="K66" s="798"/>
      <c r="L66" s="798"/>
    </row>
    <row r="67" spans="1:12" s="961" customFormat="1">
      <c r="A67" s="2332"/>
      <c r="D67" s="2333"/>
      <c r="K67" s="798"/>
      <c r="L67" s="798"/>
    </row>
    <row r="68" spans="1:12" s="961" customFormat="1">
      <c r="A68" s="2332"/>
      <c r="D68" s="2333"/>
      <c r="K68" s="798"/>
      <c r="L68" s="798"/>
    </row>
    <row r="69" spans="1:12" s="961" customFormat="1">
      <c r="A69" s="2332"/>
      <c r="D69" s="2333"/>
      <c r="K69" s="798"/>
      <c r="L69" s="798"/>
    </row>
    <row r="70" spans="1:12" s="961" customFormat="1">
      <c r="A70" s="2332"/>
      <c r="D70" s="2333"/>
      <c r="K70" s="798"/>
      <c r="L70" s="798"/>
    </row>
    <row r="71" spans="1:12" s="961" customFormat="1">
      <c r="A71" s="2332"/>
      <c r="D71" s="2333"/>
      <c r="K71" s="798"/>
      <c r="L71" s="798"/>
    </row>
    <row r="72" spans="1:12" s="961" customFormat="1">
      <c r="A72" s="2332"/>
      <c r="D72" s="2333"/>
      <c r="K72" s="798"/>
      <c r="L72" s="798"/>
    </row>
    <row r="73" spans="1:12" s="961" customFormat="1">
      <c r="A73" s="2332"/>
      <c r="D73" s="2333"/>
      <c r="K73" s="798"/>
      <c r="L73" s="798"/>
    </row>
    <row r="74" spans="1:12" s="961" customFormat="1">
      <c r="A74" s="2332"/>
      <c r="D74" s="2333"/>
      <c r="K74" s="798"/>
      <c r="L74" s="798"/>
    </row>
    <row r="75" spans="1:12" s="961" customFormat="1">
      <c r="A75" s="2332"/>
      <c r="D75" s="2333"/>
      <c r="K75" s="798"/>
      <c r="L75" s="798"/>
    </row>
    <row r="76" spans="1:12" s="961" customFormat="1">
      <c r="A76" s="2332"/>
      <c r="D76" s="2333"/>
      <c r="K76" s="798"/>
      <c r="L76" s="798"/>
    </row>
    <row r="77" spans="1:12" s="961" customFormat="1">
      <c r="A77" s="2332"/>
      <c r="D77" s="2333"/>
      <c r="K77" s="798"/>
      <c r="L77" s="798"/>
    </row>
    <row r="78" spans="1:12" s="961" customFormat="1">
      <c r="A78" s="2332"/>
      <c r="D78" s="2333"/>
      <c r="K78" s="798"/>
      <c r="L78" s="798"/>
    </row>
    <row r="79" spans="1:12" s="961" customFormat="1">
      <c r="A79" s="2332"/>
      <c r="D79" s="2333"/>
      <c r="K79" s="798"/>
      <c r="L79" s="798"/>
    </row>
    <row r="80" spans="1:12" s="961" customFormat="1">
      <c r="A80" s="2332"/>
      <c r="D80" s="2333"/>
      <c r="K80" s="798"/>
      <c r="L80" s="798"/>
    </row>
    <row r="81" spans="1:12" s="961" customFormat="1">
      <c r="A81" s="2332"/>
      <c r="D81" s="2333"/>
      <c r="K81" s="798"/>
      <c r="L81" s="798"/>
    </row>
    <row r="82" spans="1:12" s="961" customFormat="1">
      <c r="A82" s="2332"/>
      <c r="D82" s="2333"/>
      <c r="K82" s="798"/>
      <c r="L82" s="798"/>
    </row>
    <row r="83" spans="1:12" s="961" customFormat="1">
      <c r="A83" s="2332"/>
      <c r="D83" s="2333"/>
      <c r="K83" s="798"/>
      <c r="L83" s="798"/>
    </row>
    <row r="84" spans="1:12" s="961" customFormat="1">
      <c r="A84" s="2332"/>
      <c r="D84" s="2333"/>
      <c r="K84" s="798"/>
      <c r="L84" s="798"/>
    </row>
    <row r="85" spans="1:12" s="961" customFormat="1">
      <c r="A85" s="2332"/>
      <c r="D85" s="2333"/>
      <c r="K85" s="798"/>
      <c r="L85" s="798"/>
    </row>
    <row r="86" spans="1:12" s="961" customFormat="1">
      <c r="A86" s="2332"/>
      <c r="D86" s="2333"/>
      <c r="K86" s="798"/>
      <c r="L86" s="798"/>
    </row>
    <row r="87" spans="1:12" s="961" customFormat="1">
      <c r="A87" s="2332"/>
      <c r="D87" s="2333"/>
      <c r="K87" s="798"/>
      <c r="L87" s="798"/>
    </row>
    <row r="88" spans="1:12" s="961" customFormat="1">
      <c r="A88" s="2332"/>
      <c r="D88" s="2333"/>
      <c r="K88" s="798"/>
      <c r="L88" s="798"/>
    </row>
    <row r="89" spans="1:12" s="961" customFormat="1">
      <c r="A89" s="2332"/>
      <c r="D89" s="2333"/>
      <c r="K89" s="798"/>
      <c r="L89" s="798"/>
    </row>
    <row r="90" spans="1:12" s="961" customFormat="1">
      <c r="A90" s="2332"/>
      <c r="D90" s="2333"/>
      <c r="K90" s="798"/>
      <c r="L90" s="798"/>
    </row>
    <row r="91" spans="1:12" s="961" customFormat="1">
      <c r="A91" s="2332"/>
      <c r="D91" s="2333"/>
      <c r="K91" s="798"/>
      <c r="L91" s="798"/>
    </row>
    <row r="92" spans="1:12" s="961" customFormat="1">
      <c r="A92" s="2332"/>
      <c r="D92" s="2333"/>
      <c r="K92" s="798"/>
      <c r="L92" s="798"/>
    </row>
    <row r="93" spans="1:12" s="961" customFormat="1">
      <c r="A93" s="2332"/>
      <c r="D93" s="2333"/>
      <c r="K93" s="798"/>
      <c r="L93" s="798"/>
    </row>
    <row r="94" spans="1:12" s="961" customFormat="1">
      <c r="A94" s="2332"/>
      <c r="D94" s="2333"/>
      <c r="K94" s="798"/>
      <c r="L94" s="798"/>
    </row>
    <row r="95" spans="1:12" s="961" customFormat="1">
      <c r="A95" s="2332"/>
      <c r="D95" s="2333"/>
      <c r="K95" s="798"/>
      <c r="L95" s="798"/>
    </row>
    <row r="96" spans="1:12" s="961" customFormat="1">
      <c r="A96" s="2332"/>
      <c r="D96" s="2333"/>
      <c r="K96" s="798"/>
      <c r="L96" s="798"/>
    </row>
    <row r="97" spans="1:12" s="961" customFormat="1">
      <c r="A97" s="2332"/>
      <c r="D97" s="2333"/>
      <c r="K97" s="798"/>
      <c r="L97" s="798"/>
    </row>
    <row r="98" spans="1:12" s="961" customFormat="1">
      <c r="A98" s="2332"/>
      <c r="D98" s="2333"/>
      <c r="K98" s="798"/>
      <c r="L98" s="798"/>
    </row>
    <row r="99" spans="1:12" s="961" customFormat="1">
      <c r="A99" s="2332"/>
      <c r="D99" s="2333"/>
      <c r="K99" s="798"/>
      <c r="L99" s="798"/>
    </row>
    <row r="100" spans="1:12" s="961" customFormat="1">
      <c r="A100" s="2332"/>
      <c r="D100" s="2333"/>
      <c r="K100" s="798"/>
      <c r="L100" s="798"/>
    </row>
    <row r="101" spans="1:12" s="961" customFormat="1">
      <c r="A101" s="2332"/>
      <c r="D101" s="2333"/>
      <c r="K101" s="798"/>
      <c r="L101" s="798"/>
    </row>
    <row r="102" spans="1:12" s="961" customFormat="1">
      <c r="A102" s="2332"/>
      <c r="D102" s="2333"/>
      <c r="K102" s="798"/>
      <c r="L102" s="798"/>
    </row>
    <row r="103" spans="1:12" s="961" customFormat="1">
      <c r="A103" s="2332"/>
      <c r="D103" s="2333"/>
      <c r="K103" s="798"/>
      <c r="L103" s="798"/>
    </row>
    <row r="104" spans="1:12" s="961" customFormat="1">
      <c r="A104" s="2332"/>
      <c r="D104" s="2333"/>
      <c r="K104" s="798"/>
      <c r="L104" s="798"/>
    </row>
    <row r="105" spans="1:12" s="961" customFormat="1">
      <c r="A105" s="2332"/>
      <c r="D105" s="2333"/>
      <c r="K105" s="798"/>
      <c r="L105" s="798"/>
    </row>
    <row r="106" spans="1:12" s="961" customFormat="1">
      <c r="A106" s="2332"/>
      <c r="D106" s="2333"/>
      <c r="K106" s="798"/>
      <c r="L106" s="798"/>
    </row>
    <row r="107" spans="1:12" s="961" customFormat="1">
      <c r="A107" s="2332"/>
      <c r="D107" s="2333"/>
      <c r="K107" s="798"/>
      <c r="L107" s="798"/>
    </row>
    <row r="108" spans="1:12" s="961" customFormat="1">
      <c r="A108" s="2332"/>
      <c r="D108" s="2333"/>
      <c r="K108" s="798"/>
      <c r="L108" s="798"/>
    </row>
    <row r="109" spans="1:12" s="961" customFormat="1">
      <c r="A109" s="2332"/>
      <c r="D109" s="2333"/>
      <c r="K109" s="798"/>
      <c r="L109" s="798"/>
    </row>
    <row r="110" spans="1:12" s="961" customFormat="1">
      <c r="A110" s="2332"/>
      <c r="D110" s="2333"/>
      <c r="K110" s="798"/>
      <c r="L110" s="798"/>
    </row>
    <row r="111" spans="1:12" s="961" customFormat="1">
      <c r="A111" s="2332"/>
      <c r="D111" s="2333"/>
      <c r="K111" s="798"/>
      <c r="L111" s="798"/>
    </row>
    <row r="112" spans="1:12" s="961" customFormat="1">
      <c r="A112" s="2332"/>
      <c r="D112" s="2333"/>
      <c r="K112" s="798"/>
      <c r="L112" s="798"/>
    </row>
    <row r="113" spans="1:12" s="961" customFormat="1">
      <c r="A113" s="2332"/>
      <c r="D113" s="2333"/>
      <c r="K113" s="798"/>
      <c r="L113" s="798"/>
    </row>
    <row r="114" spans="1:12" s="961" customFormat="1">
      <c r="A114" s="2332"/>
      <c r="D114" s="2333"/>
      <c r="K114" s="798"/>
      <c r="L114" s="798"/>
    </row>
    <row r="115" spans="1:12" s="961" customFormat="1">
      <c r="A115" s="2332"/>
      <c r="D115" s="2333"/>
      <c r="K115" s="798"/>
      <c r="L115" s="798"/>
    </row>
    <row r="116" spans="1:12" s="961" customFormat="1">
      <c r="A116" s="2332"/>
      <c r="D116" s="2333"/>
      <c r="K116" s="798"/>
      <c r="L116" s="798"/>
    </row>
    <row r="117" spans="1:12" s="961" customFormat="1">
      <c r="A117" s="2332"/>
      <c r="D117" s="2333"/>
      <c r="K117" s="798"/>
      <c r="L117" s="798"/>
    </row>
    <row r="118" spans="1:12" s="961" customFormat="1">
      <c r="A118" s="2332"/>
      <c r="D118" s="2333"/>
      <c r="K118" s="798"/>
      <c r="L118" s="798"/>
    </row>
    <row r="119" spans="1:12" s="961" customFormat="1">
      <c r="A119" s="2332"/>
      <c r="D119" s="2333"/>
      <c r="K119" s="798"/>
      <c r="L119" s="798"/>
    </row>
    <row r="120" spans="1:12" s="961" customFormat="1">
      <c r="A120" s="2332"/>
      <c r="D120" s="2333"/>
      <c r="K120" s="798"/>
      <c r="L120" s="798"/>
    </row>
    <row r="121" spans="1:12" s="961" customFormat="1">
      <c r="A121" s="2332"/>
      <c r="D121" s="2333"/>
      <c r="K121" s="798"/>
      <c r="L121" s="798"/>
    </row>
    <row r="122" spans="1:12" s="961" customFormat="1">
      <c r="A122" s="2332"/>
      <c r="D122" s="2333"/>
      <c r="K122" s="798"/>
      <c r="L122" s="798"/>
    </row>
    <row r="123" spans="1:12" s="961" customFormat="1">
      <c r="A123" s="2332"/>
      <c r="D123" s="2333"/>
      <c r="K123" s="798"/>
      <c r="L123" s="798"/>
    </row>
    <row r="124" spans="1:12" s="961" customFormat="1">
      <c r="A124" s="2332"/>
      <c r="D124" s="2333"/>
      <c r="K124" s="798"/>
      <c r="L124" s="798"/>
    </row>
    <row r="125" spans="1:12" s="961" customFormat="1">
      <c r="A125" s="2332"/>
      <c r="D125" s="2333"/>
      <c r="K125" s="798"/>
      <c r="L125" s="798"/>
    </row>
    <row r="126" spans="1:12" s="961" customFormat="1">
      <c r="A126" s="2332"/>
      <c r="D126" s="2333"/>
      <c r="K126" s="798"/>
      <c r="L126" s="798"/>
    </row>
    <row r="127" spans="1:12" s="961" customFormat="1">
      <c r="A127" s="2332"/>
      <c r="D127" s="2333"/>
      <c r="K127" s="798"/>
      <c r="L127" s="798"/>
    </row>
    <row r="128" spans="1:12" s="961" customFormat="1">
      <c r="A128" s="2332"/>
      <c r="D128" s="2333"/>
      <c r="K128" s="798"/>
      <c r="L128" s="798"/>
    </row>
    <row r="129" spans="1:12" s="961" customFormat="1">
      <c r="A129" s="2332"/>
      <c r="D129" s="2333"/>
      <c r="K129" s="798"/>
      <c r="L129" s="798"/>
    </row>
    <row r="130" spans="1:12" s="961" customFormat="1">
      <c r="A130" s="2332"/>
      <c r="D130" s="2333"/>
      <c r="K130" s="798"/>
      <c r="L130" s="798"/>
    </row>
    <row r="131" spans="1:12" s="961" customFormat="1">
      <c r="A131" s="2332"/>
      <c r="D131" s="2333"/>
      <c r="K131" s="798"/>
      <c r="L131" s="798"/>
    </row>
    <row r="132" spans="1:12" s="961" customFormat="1">
      <c r="A132" s="2332"/>
      <c r="D132" s="2333"/>
      <c r="K132" s="798"/>
      <c r="L132" s="798"/>
    </row>
    <row r="133" spans="1:12" s="961"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2" sqref="H12"/>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155" t="s">
        <v>2080</v>
      </c>
      <c r="B1" s="3156"/>
      <c r="C1" s="3156"/>
      <c r="D1" s="3156"/>
      <c r="E1" s="3156"/>
      <c r="F1" s="3156"/>
      <c r="G1" s="3156"/>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2081</v>
      </c>
      <c r="D2" s="2356"/>
      <c r="E2" s="2357"/>
      <c r="F2" s="2277"/>
      <c r="G2" s="2355" t="s">
        <v>2082</v>
      </c>
      <c r="H2" s="2358"/>
      <c r="I2" s="2358"/>
      <c r="J2" s="2358"/>
      <c r="K2" s="2358"/>
      <c r="L2" s="2358"/>
      <c r="M2" s="2358"/>
      <c r="N2" s="2358"/>
      <c r="O2" s="2358"/>
      <c r="P2" s="2358"/>
      <c r="Q2" s="2358"/>
      <c r="R2" s="2358"/>
    </row>
    <row r="3" spans="1:29" ht="27">
      <c r="A3" s="415" t="s">
        <v>2083</v>
      </c>
      <c r="B3" s="1265" t="s">
        <v>2084</v>
      </c>
      <c r="C3" s="2360"/>
      <c r="D3" s="2361"/>
      <c r="E3" s="431" t="s">
        <v>2083</v>
      </c>
      <c r="F3" s="2362" t="s">
        <v>2085</v>
      </c>
      <c r="G3" s="2363"/>
      <c r="H3" s="2358"/>
      <c r="I3" s="2358"/>
      <c r="J3" s="2358"/>
      <c r="K3" s="2358"/>
      <c r="L3" s="2358"/>
      <c r="M3" s="2358"/>
      <c r="N3" s="2358"/>
      <c r="O3" s="2358"/>
      <c r="P3" s="2358"/>
      <c r="Q3" s="2358"/>
      <c r="R3" s="2358"/>
    </row>
    <row r="4" spans="1:29" ht="15">
      <c r="A4" s="431"/>
      <c r="B4" s="1792" t="s">
        <v>2086</v>
      </c>
      <c r="C4" s="2364"/>
      <c r="D4" s="2361"/>
      <c r="E4" s="2365"/>
      <c r="F4" s="42" t="s">
        <v>2087</v>
      </c>
      <c r="G4" s="2366"/>
      <c r="H4" s="2358"/>
      <c r="I4" s="2358"/>
      <c r="J4" s="2358"/>
      <c r="K4" s="2358"/>
      <c r="L4" s="2358"/>
      <c r="M4" s="2358"/>
      <c r="N4" s="2358"/>
      <c r="O4" s="2358"/>
      <c r="P4" s="2358"/>
      <c r="Q4" s="2358"/>
      <c r="R4" s="2358"/>
    </row>
    <row r="5" spans="1:29" ht="15">
      <c r="A5" s="431"/>
      <c r="B5" s="1792" t="s">
        <v>2088</v>
      </c>
      <c r="C5" s="2364"/>
      <c r="D5" s="2361"/>
      <c r="E5" s="2365"/>
      <c r="F5" s="1792" t="s">
        <v>2089</v>
      </c>
      <c r="G5" s="2366"/>
      <c r="H5" s="2358"/>
      <c r="I5" s="2358"/>
      <c r="J5" s="2358"/>
      <c r="K5" s="2358"/>
      <c r="L5" s="2358"/>
      <c r="M5" s="2358"/>
      <c r="N5" s="2358"/>
      <c r="O5" s="2358"/>
      <c r="P5" s="2358"/>
      <c r="Q5" s="2358"/>
      <c r="R5" s="2358"/>
    </row>
    <row r="6" spans="1:29" ht="15">
      <c r="A6" s="431"/>
      <c r="B6" s="1792" t="s">
        <v>2090</v>
      </c>
      <c r="C6" s="2366"/>
      <c r="D6" s="2361"/>
      <c r="E6" s="2365"/>
      <c r="F6" s="1792" t="s">
        <v>2091</v>
      </c>
      <c r="G6" s="2366"/>
      <c r="H6" s="2358"/>
      <c r="I6" s="2358"/>
      <c r="J6" s="2358"/>
      <c r="K6" s="2358"/>
      <c r="L6" s="2358"/>
      <c r="M6" s="2358"/>
      <c r="N6" s="2358"/>
      <c r="O6" s="2358"/>
      <c r="P6" s="2358"/>
      <c r="Q6" s="2358"/>
      <c r="R6" s="2358"/>
    </row>
    <row r="7" spans="1:29" ht="15.75" thickBot="1">
      <c r="A7" s="431"/>
      <c r="B7" s="1792" t="s">
        <v>2089</v>
      </c>
      <c r="C7" s="2366"/>
      <c r="D7" s="2367"/>
      <c r="E7" s="2368"/>
      <c r="F7" s="2369" t="s">
        <v>2092</v>
      </c>
      <c r="G7" s="2370"/>
      <c r="H7" s="2358"/>
      <c r="I7" s="2358"/>
      <c r="J7" s="2358"/>
      <c r="K7" s="2358"/>
      <c r="L7" s="2358"/>
      <c r="M7" s="2358"/>
      <c r="N7" s="2358"/>
      <c r="O7" s="2358"/>
      <c r="P7" s="2358"/>
      <c r="Q7" s="2358"/>
      <c r="R7" s="2358"/>
    </row>
    <row r="8" spans="1:29" ht="15">
      <c r="A8" s="431"/>
      <c r="B8" s="1792" t="s">
        <v>2091</v>
      </c>
      <c r="C8" s="2366"/>
      <c r="D8" s="2367"/>
      <c r="E8" s="2367"/>
      <c r="F8" s="1130"/>
      <c r="G8" s="1130"/>
      <c r="H8" s="2358"/>
      <c r="I8" s="2358"/>
      <c r="J8" s="2358"/>
      <c r="K8" s="2358"/>
      <c r="L8" s="2358"/>
      <c r="M8" s="2358"/>
      <c r="N8" s="2358"/>
      <c r="O8" s="2358"/>
      <c r="P8" s="2358"/>
      <c r="Q8" s="2358"/>
      <c r="R8" s="2358"/>
    </row>
    <row r="9" spans="1:29" ht="15">
      <c r="A9" s="431"/>
      <c r="B9" s="1792" t="s">
        <v>2093</v>
      </c>
      <c r="C9" s="2364"/>
      <c r="D9" s="2361"/>
      <c r="E9" s="2367"/>
      <c r="F9" s="1130"/>
      <c r="G9" s="1130"/>
      <c r="H9" s="2358"/>
      <c r="I9" s="2358"/>
      <c r="J9" s="2358"/>
      <c r="K9" s="2358"/>
      <c r="L9" s="2358"/>
      <c r="M9" s="2358"/>
      <c r="N9" s="2358"/>
      <c r="O9" s="2358"/>
      <c r="P9" s="2358"/>
      <c r="Q9" s="2358"/>
      <c r="R9" s="2358"/>
    </row>
    <row r="10" spans="1:29" s="117" customFormat="1" ht="15.75" thickBot="1">
      <c r="A10" s="2371"/>
      <c r="B10" s="2372" t="s">
        <v>2094</v>
      </c>
      <c r="C10" s="2373"/>
      <c r="D10" s="2361"/>
      <c r="E10" s="2361"/>
      <c r="F10" s="1130"/>
      <c r="G10" s="1130"/>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48"/>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8"/>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2095</v>
      </c>
      <c r="B13" s="2378"/>
      <c r="C13" s="2378"/>
      <c r="D13" s="2385"/>
      <c r="E13" s="2378"/>
      <c r="F13" s="2378"/>
      <c r="G13" s="2378"/>
    </row>
    <row r="14" spans="1:29" ht="15.75" thickBot="1">
      <c r="A14" s="2389"/>
      <c r="B14" s="2390"/>
      <c r="C14" s="2391" t="s">
        <v>2096</v>
      </c>
      <c r="D14" s="2361"/>
      <c r="E14" s="2392"/>
      <c r="F14" s="2392"/>
      <c r="G14" s="2355" t="s">
        <v>2097</v>
      </c>
    </row>
    <row r="15" spans="1:29" ht="27">
      <c r="A15" s="68" t="s">
        <v>2098</v>
      </c>
      <c r="B15" s="1264" t="s">
        <v>2084</v>
      </c>
      <c r="C15" s="2393">
        <f>C3</f>
        <v>0</v>
      </c>
      <c r="D15" s="2361"/>
      <c r="E15" s="2394" t="s">
        <v>2099</v>
      </c>
      <c r="F15" s="1264" t="s">
        <v>2100</v>
      </c>
      <c r="G15" s="135">
        <f>G3</f>
        <v>0</v>
      </c>
    </row>
    <row r="16" spans="1:29" ht="15">
      <c r="A16" s="645"/>
      <c r="B16" s="2395" t="s">
        <v>2086</v>
      </c>
      <c r="C16" s="2396">
        <f>C4</f>
        <v>0</v>
      </c>
      <c r="D16" s="2361"/>
      <c r="E16" s="2397"/>
      <c r="F16" s="2398" t="s">
        <v>2087</v>
      </c>
      <c r="G16" s="136">
        <f>G4</f>
        <v>0</v>
      </c>
    </row>
    <row r="17" spans="1:18" ht="15">
      <c r="A17" s="645"/>
      <c r="B17" s="2395" t="s">
        <v>2088</v>
      </c>
      <c r="C17" s="2396">
        <f>C5</f>
        <v>0</v>
      </c>
      <c r="D17" s="2367"/>
      <c r="E17" s="2397"/>
      <c r="F17" s="2398" t="s">
        <v>2101</v>
      </c>
      <c r="G17" s="1566"/>
    </row>
    <row r="18" spans="1:18" ht="15">
      <c r="A18" s="645"/>
      <c r="B18" s="2398" t="s">
        <v>2090</v>
      </c>
      <c r="C18" s="136">
        <f>C6</f>
        <v>0</v>
      </c>
      <c r="D18" s="2367"/>
      <c r="E18" s="2397"/>
      <c r="F18" s="2398" t="s">
        <v>2092</v>
      </c>
      <c r="G18" s="136">
        <f>G7</f>
        <v>0</v>
      </c>
    </row>
    <row r="19" spans="1:18" ht="15">
      <c r="A19" s="645"/>
      <c r="B19" s="2398" t="s">
        <v>2102</v>
      </c>
      <c r="C19" s="1566"/>
      <c r="D19" s="2361"/>
      <c r="E19" s="2397"/>
      <c r="F19" s="1792" t="s">
        <v>2089</v>
      </c>
      <c r="G19" s="136">
        <f>G5</f>
        <v>0</v>
      </c>
    </row>
    <row r="20" spans="1:18" ht="15">
      <c r="A20" s="645"/>
      <c r="B20" s="2398" t="s">
        <v>2103</v>
      </c>
      <c r="C20" s="2396">
        <f>C9</f>
        <v>0</v>
      </c>
      <c r="D20" s="2367"/>
      <c r="E20" s="2397"/>
      <c r="F20" s="1792" t="s">
        <v>2104</v>
      </c>
      <c r="G20" s="136">
        <f>G6</f>
        <v>0</v>
      </c>
    </row>
    <row r="21" spans="1:18" ht="15">
      <c r="A21" s="645"/>
      <c r="B21" s="1792" t="s">
        <v>2089</v>
      </c>
      <c r="C21" s="136">
        <f>C7</f>
        <v>0</v>
      </c>
      <c r="D21" s="2361"/>
      <c r="E21" s="2397"/>
      <c r="F21" s="2398" t="s">
        <v>2105</v>
      </c>
      <c r="G21" s="2399"/>
    </row>
    <row r="22" spans="1:18" ht="13.5" customHeight="1">
      <c r="A22" s="645"/>
      <c r="B22" s="1792" t="s">
        <v>2091</v>
      </c>
      <c r="C22" s="136">
        <f>C8</f>
        <v>0</v>
      </c>
      <c r="D22" s="2361"/>
      <c r="E22" s="2397"/>
      <c r="F22" s="2398" t="s">
        <v>2094</v>
      </c>
      <c r="G22" s="1566"/>
    </row>
    <row r="23" spans="1:18" s="2358" customFormat="1" ht="15.75" thickBot="1">
      <c r="A23" s="645"/>
      <c r="B23" s="2398" t="s">
        <v>2105</v>
      </c>
      <c r="C23" s="2399"/>
      <c r="D23" s="2386"/>
      <c r="E23" s="2400"/>
      <c r="F23" s="2401" t="s">
        <v>2106</v>
      </c>
      <c r="G23" s="2402"/>
      <c r="H23" s="2386"/>
      <c r="I23" s="2387"/>
      <c r="J23" s="2386"/>
      <c r="K23" s="2386"/>
      <c r="L23" s="2387"/>
      <c r="M23" s="2386"/>
      <c r="N23" s="2386"/>
      <c r="O23" s="2387"/>
      <c r="P23" s="2386"/>
      <c r="Q23" s="2386"/>
      <c r="R23" s="2388"/>
    </row>
    <row r="24" spans="1:18" s="2358" customFormat="1" ht="15.75" thickBot="1">
      <c r="A24" s="2403"/>
      <c r="B24" s="2401" t="s">
        <v>2107</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2" sqref="D22"/>
    </sheetView>
  </sheetViews>
  <sheetFormatPr defaultColWidth="9" defaultRowHeight="13.5"/>
  <cols>
    <col min="1" max="1" width="23.375" style="1735" customWidth="1"/>
    <col min="2" max="9" width="15.75" style="1735" customWidth="1"/>
    <col min="10" max="16384" width="9" style="1735"/>
  </cols>
  <sheetData>
    <row r="1" spans="1:10" ht="16.5">
      <c r="A1" s="1740" t="s">
        <v>1360</v>
      </c>
      <c r="B1" s="1740">
        <f>SUM(B14:B23)</f>
        <v>190369.59999999998</v>
      </c>
      <c r="C1" s="1739"/>
      <c r="D1" s="1739"/>
      <c r="E1" s="1739"/>
      <c r="F1" s="1739"/>
      <c r="G1" s="1737"/>
    </row>
    <row r="2" spans="1:10" ht="16.5">
      <c r="A2" s="1740" t="s">
        <v>1348</v>
      </c>
      <c r="B2" s="1740">
        <f>SUM(C14:C23)</f>
        <v>32668.17</v>
      </c>
      <c r="C2" s="1739"/>
      <c r="D2" s="1739"/>
      <c r="E2" s="1739"/>
      <c r="F2" s="1739"/>
      <c r="G2" s="1737"/>
    </row>
    <row r="3" spans="1:10" ht="16.5">
      <c r="A3" s="1740" t="s">
        <v>1357</v>
      </c>
      <c r="B3" s="1741">
        <f>项目基本情况!D3</f>
        <v>43951</v>
      </c>
      <c r="C3" s="1739"/>
      <c r="D3" s="1739"/>
      <c r="E3" s="1739"/>
      <c r="F3" s="1739"/>
      <c r="G3" s="1737"/>
    </row>
    <row r="4" spans="1:10" ht="33">
      <c r="A4" s="1740" t="s">
        <v>1356</v>
      </c>
      <c r="B4" s="1740" t="s">
        <v>1355</v>
      </c>
      <c r="C4" s="1740" t="s">
        <v>1354</v>
      </c>
      <c r="D4" s="1740" t="s">
        <v>1353</v>
      </c>
      <c r="E4" s="1739"/>
      <c r="F4" s="1737"/>
      <c r="G4" s="1737"/>
    </row>
    <row r="5" spans="1:10" ht="16.5">
      <c r="A5" s="1740" t="s">
        <v>1352</v>
      </c>
      <c r="B5" s="1740">
        <f ca="1">SUM(D14:D23)</f>
        <v>245595</v>
      </c>
      <c r="C5" s="1740">
        <f ca="1">ROUND(B5*10000/$B$1,0)</f>
        <v>12901</v>
      </c>
      <c r="D5" s="1740">
        <f ca="1">ROUND(B5*10000/$B$2,0)</f>
        <v>75179</v>
      </c>
      <c r="E5" s="1739"/>
      <c r="F5" s="1737"/>
      <c r="G5" s="1737"/>
    </row>
    <row r="6" spans="1:10" ht="16.5">
      <c r="A6" s="1740" t="s">
        <v>1351</v>
      </c>
      <c r="B6" s="1740">
        <f ca="1">SUM(G14:G23)</f>
        <v>212716</v>
      </c>
      <c r="C6" s="1740">
        <f ca="1">ROUND(B6*10000/$B$1,0)</f>
        <v>11174</v>
      </c>
      <c r="D6" s="1740">
        <f ca="1">ROUND(B6*10000/$B$2,0)</f>
        <v>65114</v>
      </c>
      <c r="E6" s="1739"/>
      <c r="F6" s="1737"/>
      <c r="G6" s="1737"/>
    </row>
    <row r="7" spans="1:10" ht="16.5">
      <c r="A7" s="1740" t="s">
        <v>1359</v>
      </c>
      <c r="B7" s="1740">
        <f>SUM(H14:H23)</f>
        <v>0</v>
      </c>
      <c r="C7" s="1740">
        <f>ROUND(B7*10000/$B$1,0)</f>
        <v>0</v>
      </c>
      <c r="D7" s="1740">
        <f>ROUND(B7*10000/$B$2,0)</f>
        <v>0</v>
      </c>
      <c r="E7" s="1739"/>
      <c r="F7" s="1737"/>
      <c r="G7" s="1737"/>
    </row>
    <row r="8" spans="1:10" ht="16.5">
      <c r="A8" s="1740" t="s">
        <v>1280</v>
      </c>
      <c r="B8" s="1740">
        <f>SUM(I14:I23)</f>
        <v>0</v>
      </c>
      <c r="C8" s="1740">
        <f>ROUND(B8*10000/$B$1,0)</f>
        <v>0</v>
      </c>
      <c r="D8" s="1740">
        <f>ROUND(B8*10000/$B$2,0)</f>
        <v>0</v>
      </c>
      <c r="E8" s="1739"/>
      <c r="F8" s="1737"/>
      <c r="G8" s="1737"/>
    </row>
    <row r="9" spans="1:10" ht="16.5">
      <c r="A9" s="1740" t="s">
        <v>1350</v>
      </c>
      <c r="B9" s="1742"/>
      <c r="C9" s="1739"/>
      <c r="D9" s="1739"/>
      <c r="E9" s="1739"/>
      <c r="F9" s="1737"/>
      <c r="G9" s="1737"/>
    </row>
    <row r="10" spans="1:10" ht="16.5">
      <c r="A10" s="1740" t="s">
        <v>1349</v>
      </c>
      <c r="B10" s="1742"/>
      <c r="C10" s="1739"/>
      <c r="D10" s="1739"/>
      <c r="E10" s="1739"/>
      <c r="F10" s="1737"/>
      <c r="G10" s="1737"/>
    </row>
    <row r="11" spans="1:10" ht="16.5">
      <c r="A11" s="1740" t="s">
        <v>1365</v>
      </c>
      <c r="B11" s="1742"/>
      <c r="C11" s="1739"/>
      <c r="D11" s="1739"/>
      <c r="E11" s="1739"/>
      <c r="F11" s="1737"/>
      <c r="G11" s="1737"/>
    </row>
    <row r="12" spans="1:10" ht="16.5">
      <c r="A12" s="1739"/>
      <c r="B12" s="1739"/>
      <c r="C12" s="1739"/>
      <c r="D12" s="1739"/>
      <c r="E12" s="1739"/>
      <c r="F12" s="1737"/>
      <c r="G12" s="1737"/>
    </row>
    <row r="13" spans="1:10" ht="33">
      <c r="A13" s="1745" t="s">
        <v>1364</v>
      </c>
      <c r="B13" s="1738" t="s">
        <v>1361</v>
      </c>
      <c r="C13" s="1738" t="s">
        <v>1363</v>
      </c>
      <c r="D13" s="1738" t="s">
        <v>1362</v>
      </c>
      <c r="E13" s="1740" t="s">
        <v>1354</v>
      </c>
      <c r="F13" s="1740" t="s">
        <v>1353</v>
      </c>
      <c r="G13" s="1738" t="s">
        <v>1347</v>
      </c>
      <c r="H13" s="1738" t="s">
        <v>1358</v>
      </c>
      <c r="I13" s="1738" t="s">
        <v>1346</v>
      </c>
      <c r="J13" s="1737"/>
    </row>
    <row r="14" spans="1:10" ht="16.5">
      <c r="A14" s="1736" t="s">
        <v>1345</v>
      </c>
      <c r="B14" s="1738">
        <f>结果表!B118</f>
        <v>120164.37999999998</v>
      </c>
      <c r="C14" s="3030">
        <f>结果表!C118</f>
        <v>20565.18</v>
      </c>
      <c r="D14" s="3030">
        <f ca="1">结果表!H118</f>
        <v>155524</v>
      </c>
      <c r="E14" s="3030">
        <f ca="1">ROUND(D14*10000/B14,0)</f>
        <v>12943</v>
      </c>
      <c r="F14" s="3030">
        <f ca="1">ROUND(D14*10000/C14,0)</f>
        <v>75625</v>
      </c>
      <c r="G14" s="3030">
        <f ca="1">结果表!D122</f>
        <v>134770</v>
      </c>
      <c r="H14" s="1738" t="str">
        <f>结果表!D124</f>
        <v>——</v>
      </c>
      <c r="I14" s="1738" t="str">
        <f>结果表!D126</f>
        <v>——</v>
      </c>
      <c r="J14" s="1737"/>
    </row>
    <row r="15" spans="1:10" ht="16.5">
      <c r="A15" s="1736" t="s">
        <v>1344</v>
      </c>
      <c r="B15" s="3031">
        <f>[2]系统读取表!$B$14</f>
        <v>70205.22</v>
      </c>
      <c r="C15" s="3031">
        <f>[2]系统读取表!$C$14</f>
        <v>12102.99</v>
      </c>
      <c r="D15" s="3031">
        <f>[2]系统读取表!$D$14</f>
        <v>90071</v>
      </c>
      <c r="E15" s="3030">
        <f>ROUND(D15*10000/B15,0)</f>
        <v>12830</v>
      </c>
      <c r="F15" s="3030">
        <f>ROUND(D15*10000/C15,0)</f>
        <v>74420</v>
      </c>
      <c r="G15" s="3031">
        <f>[2]系统读取表!$G$14</f>
        <v>77946</v>
      </c>
      <c r="H15" s="1744"/>
      <c r="I15" s="1743"/>
      <c r="J15" s="1737"/>
    </row>
    <row r="16" spans="1:10" ht="16.5">
      <c r="A16" s="1736" t="s">
        <v>1343</v>
      </c>
      <c r="B16" s="1744"/>
      <c r="C16" s="1744"/>
      <c r="D16" s="1744"/>
      <c r="E16" s="3030" t="e">
        <f>ROUND(D16*10000/B16,0)</f>
        <v>#DIV/0!</v>
      </c>
      <c r="F16" s="3030" t="e">
        <f>ROUND(D16*10000/C16,0)</f>
        <v>#DIV/0!</v>
      </c>
      <c r="G16" s="1743"/>
      <c r="H16" s="1744"/>
      <c r="I16" s="1743"/>
    </row>
    <row r="17" spans="1:9" ht="16.5">
      <c r="A17" s="1736" t="s">
        <v>1342</v>
      </c>
      <c r="B17" s="1743"/>
      <c r="C17" s="1743"/>
      <c r="D17" s="1743"/>
      <c r="E17" s="1738" t="e">
        <f t="shared" ref="E17:E23" si="0">ROUND(D17*10000/B17,0)</f>
        <v>#DIV/0!</v>
      </c>
      <c r="F17" s="1738" t="e">
        <f t="shared" ref="F17:F23" si="1">ROUND(D17*10000/C17,0)</f>
        <v>#DIV/0!</v>
      </c>
      <c r="G17" s="1744"/>
      <c r="H17" s="1744"/>
      <c r="I17" s="1743"/>
    </row>
    <row r="18" spans="1:9" ht="16.5">
      <c r="A18" s="1736" t="s">
        <v>1341</v>
      </c>
      <c r="B18" s="1743"/>
      <c r="C18" s="1743"/>
      <c r="D18" s="1743"/>
      <c r="E18" s="1738" t="e">
        <f t="shared" si="0"/>
        <v>#DIV/0!</v>
      </c>
      <c r="F18" s="1738" t="e">
        <f t="shared" si="1"/>
        <v>#DIV/0!</v>
      </c>
      <c r="G18" s="1743"/>
      <c r="H18" s="1743"/>
      <c r="I18" s="1743"/>
    </row>
    <row r="19" spans="1:9" ht="16.5">
      <c r="A19" s="1736" t="s">
        <v>1340</v>
      </c>
      <c r="B19" s="1743"/>
      <c r="C19" s="1743"/>
      <c r="D19" s="1743"/>
      <c r="E19" s="1738" t="e">
        <f t="shared" si="0"/>
        <v>#DIV/0!</v>
      </c>
      <c r="F19" s="1738" t="e">
        <f t="shared" si="1"/>
        <v>#DIV/0!</v>
      </c>
      <c r="G19" s="1743"/>
      <c r="H19" s="1743"/>
      <c r="I19" s="1743"/>
    </row>
    <row r="20" spans="1:9" ht="16.5">
      <c r="A20" s="1736" t="s">
        <v>1339</v>
      </c>
      <c r="B20" s="1743"/>
      <c r="C20" s="1743"/>
      <c r="D20" s="1743"/>
      <c r="E20" s="1738" t="e">
        <f t="shared" si="0"/>
        <v>#DIV/0!</v>
      </c>
      <c r="F20" s="1738" t="e">
        <f t="shared" si="1"/>
        <v>#DIV/0!</v>
      </c>
      <c r="G20" s="1743"/>
      <c r="H20" s="1743"/>
      <c r="I20" s="1743"/>
    </row>
    <row r="21" spans="1:9" ht="16.5">
      <c r="A21" s="1736" t="s">
        <v>1338</v>
      </c>
      <c r="B21" s="1743"/>
      <c r="C21" s="1743"/>
      <c r="D21" s="1743"/>
      <c r="E21" s="1738" t="e">
        <f t="shared" si="0"/>
        <v>#DIV/0!</v>
      </c>
      <c r="F21" s="1738" t="e">
        <f t="shared" si="1"/>
        <v>#DIV/0!</v>
      </c>
      <c r="G21" s="1743"/>
      <c r="H21" s="1743"/>
      <c r="I21" s="1743"/>
    </row>
    <row r="22" spans="1:9" ht="16.5">
      <c r="A22" s="1736" t="s">
        <v>1337</v>
      </c>
      <c r="B22" s="1743"/>
      <c r="C22" s="1743"/>
      <c r="D22" s="1743"/>
      <c r="E22" s="1738" t="e">
        <f t="shared" si="0"/>
        <v>#DIV/0!</v>
      </c>
      <c r="F22" s="1738" t="e">
        <f t="shared" si="1"/>
        <v>#DIV/0!</v>
      </c>
      <c r="G22" s="1743"/>
      <c r="H22" s="1743"/>
      <c r="I22" s="1743"/>
    </row>
    <row r="23" spans="1:9" ht="16.5">
      <c r="A23" s="1736" t="s">
        <v>1336</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415"/>
    <col min="3" max="4" width="12.625" style="2415" customWidth="1"/>
    <col min="5" max="8" width="12.625" style="2415"/>
    <col min="9" max="9" width="16.5" style="2415" bestFit="1" customWidth="1"/>
    <col min="10" max="10" width="12.625" style="795" customWidth="1"/>
    <col min="11" max="11" width="31.25" style="795" customWidth="1"/>
    <col min="12" max="12" width="17.75" style="795" customWidth="1"/>
    <col min="13" max="13" width="17.875" style="795" customWidth="1"/>
    <col min="14" max="26" width="12.625" style="795"/>
    <col min="27" max="35" width="12.625" style="2414"/>
    <col min="36" max="16384" width="12.625" style="2415"/>
  </cols>
  <sheetData>
    <row r="1" spans="1:12" ht="21.75" customHeight="1" thickBot="1">
      <c r="A1" s="2216" t="s">
        <v>2108</v>
      </c>
      <c r="B1" s="2409"/>
      <c r="C1" s="2410"/>
      <c r="D1" s="2409"/>
      <c r="E1" s="2409"/>
      <c r="F1" s="2411" t="s">
        <v>2109</v>
      </c>
      <c r="G1" s="2062" t="s">
        <v>2110</v>
      </c>
      <c r="H1" s="2412" t="str">
        <f>IF(G1="现房","——","估价对象范围")</f>
        <v>估价对象范围</v>
      </c>
      <c r="I1" s="2413"/>
    </row>
    <row r="2" spans="1:12" ht="21.75" customHeight="1" thickBot="1">
      <c r="A2" s="3232" t="str">
        <f>项目基本情况!S2</f>
        <v>河南省郑州市金水区红旗路北、经七路东“恒祥百悦城一号院”项目局部住宅、办公（公寓）、商业用房出让国有建设用地使用权及在建建筑物房地产</v>
      </c>
      <c r="B2" s="3233"/>
      <c r="C2" s="3233"/>
      <c r="D2" s="3233"/>
      <c r="E2" s="3233"/>
      <c r="F2" s="3233"/>
      <c r="G2" s="3233"/>
      <c r="H2" s="3233"/>
      <c r="I2" s="3234"/>
    </row>
    <row r="3" spans="1:12" ht="12.75">
      <c r="A3" s="3235" t="s">
        <v>2111</v>
      </c>
      <c r="B3" s="3236"/>
      <c r="C3" s="3236"/>
      <c r="D3" s="3236"/>
      <c r="E3" s="3236"/>
      <c r="F3" s="3236"/>
      <c r="G3" s="3236"/>
      <c r="H3" s="3236"/>
      <c r="I3" s="3236"/>
    </row>
    <row r="4" spans="1:12" ht="14.25">
      <c r="A4" s="2416" t="s">
        <v>2112</v>
      </c>
      <c r="B4" s="2417" t="s">
        <v>2113</v>
      </c>
      <c r="C4" s="2418" t="s">
        <v>3123</v>
      </c>
      <c r="D4" s="2418" t="s">
        <v>3124</v>
      </c>
      <c r="E4" s="3216" t="s">
        <v>2114</v>
      </c>
      <c r="F4" s="3229"/>
      <c r="G4" s="3229"/>
      <c r="H4" s="3229"/>
      <c r="I4" s="3217"/>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2.75">
      <c r="A5" s="3207" t="s">
        <v>2115</v>
      </c>
      <c r="B5" s="3125">
        <v>25</v>
      </c>
      <c r="C5" s="3237"/>
      <c r="D5" s="3225"/>
      <c r="E5" s="140" t="s">
        <v>2116</v>
      </c>
      <c r="F5" s="2420"/>
      <c r="G5" s="2420"/>
      <c r="H5" s="2420"/>
      <c r="I5" s="1828"/>
    </row>
    <row r="6" spans="1:12" ht="12.75">
      <c r="A6" s="3207"/>
      <c r="B6" s="3125"/>
      <c r="C6" s="3239"/>
      <c r="D6" s="3225"/>
      <c r="E6" s="140" t="s">
        <v>2117</v>
      </c>
      <c r="F6" s="2420"/>
      <c r="G6" s="2420"/>
      <c r="H6" s="2420"/>
      <c r="I6" s="1828"/>
    </row>
    <row r="7" spans="1:12" ht="12.75">
      <c r="A7" s="3207"/>
      <c r="B7" s="3125"/>
      <c r="C7" s="3238"/>
      <c r="D7" s="3225"/>
      <c r="E7" s="140" t="s">
        <v>2118</v>
      </c>
      <c r="F7" s="2420"/>
      <c r="G7" s="2420"/>
      <c r="H7" s="2420"/>
      <c r="I7" s="1828"/>
    </row>
    <row r="8" spans="1:12" ht="12.75">
      <c r="A8" s="3207" t="s">
        <v>2119</v>
      </c>
      <c r="B8" s="3125">
        <v>15</v>
      </c>
      <c r="C8" s="3237"/>
      <c r="D8" s="3225"/>
      <c r="E8" s="140" t="s">
        <v>2120</v>
      </c>
      <c r="F8" s="2420"/>
      <c r="G8" s="2420"/>
      <c r="H8" s="2420"/>
      <c r="I8" s="1828"/>
    </row>
    <row r="9" spans="1:12" ht="12.75">
      <c r="A9" s="3207"/>
      <c r="B9" s="3125"/>
      <c r="C9" s="3238"/>
      <c r="D9" s="3225"/>
      <c r="E9" s="140" t="s">
        <v>2121</v>
      </c>
      <c r="F9" s="2420"/>
      <c r="G9" s="2420"/>
      <c r="H9" s="2420"/>
      <c r="I9" s="1828"/>
    </row>
    <row r="10" spans="1:12" ht="12.75">
      <c r="A10" s="3207" t="s">
        <v>2122</v>
      </c>
      <c r="B10" s="3125">
        <v>15</v>
      </c>
      <c r="C10" s="3237"/>
      <c r="D10" s="3225"/>
      <c r="E10" s="140" t="s">
        <v>2123</v>
      </c>
      <c r="F10" s="2420"/>
      <c r="G10" s="2420"/>
      <c r="H10" s="2420"/>
      <c r="I10" s="1828"/>
    </row>
    <row r="11" spans="1:12" ht="12.75">
      <c r="A11" s="3207"/>
      <c r="B11" s="3125"/>
      <c r="C11" s="3238"/>
      <c r="D11" s="3225"/>
      <c r="E11" s="140" t="s">
        <v>2124</v>
      </c>
      <c r="F11" s="2420"/>
      <c r="G11" s="2420"/>
      <c r="H11" s="2420"/>
      <c r="I11" s="1828"/>
    </row>
    <row r="12" spans="1:12" ht="12.75">
      <c r="A12" s="3207" t="s">
        <v>2125</v>
      </c>
      <c r="B12" s="3125">
        <v>15</v>
      </c>
      <c r="C12" s="3237"/>
      <c r="D12" s="3225"/>
      <c r="E12" s="140" t="s">
        <v>2126</v>
      </c>
      <c r="F12" s="2420"/>
      <c r="G12" s="2420"/>
      <c r="H12" s="2420"/>
      <c r="I12" s="1828"/>
    </row>
    <row r="13" spans="1:12" ht="12.75">
      <c r="A13" s="3207"/>
      <c r="B13" s="3125"/>
      <c r="C13" s="3238"/>
      <c r="D13" s="3225"/>
      <c r="E13" s="140" t="s">
        <v>2127</v>
      </c>
      <c r="F13" s="2420"/>
      <c r="G13" s="2420"/>
      <c r="H13" s="2420"/>
      <c r="I13" s="1828"/>
    </row>
    <row r="14" spans="1:12" ht="12.75">
      <c r="A14" s="3207" t="s">
        <v>2128</v>
      </c>
      <c r="B14" s="3125">
        <v>30</v>
      </c>
      <c r="C14" s="3237">
        <v>5</v>
      </c>
      <c r="D14" s="3225">
        <v>5</v>
      </c>
      <c r="E14" s="140" t="s">
        <v>2129</v>
      </c>
      <c r="F14" s="2420"/>
      <c r="G14" s="2420"/>
      <c r="H14" s="2420"/>
      <c r="I14" s="1828"/>
    </row>
    <row r="15" spans="1:12" ht="12.75">
      <c r="A15" s="3207"/>
      <c r="B15" s="3125"/>
      <c r="C15" s="3239"/>
      <c r="D15" s="3225"/>
      <c r="E15" s="140" t="s">
        <v>2130</v>
      </c>
      <c r="F15" s="2420"/>
      <c r="G15" s="2420"/>
      <c r="H15" s="2420"/>
      <c r="I15" s="1828"/>
    </row>
    <row r="16" spans="1:12" ht="12.75">
      <c r="A16" s="3207"/>
      <c r="B16" s="3125"/>
      <c r="C16" s="3238"/>
      <c r="D16" s="3225"/>
      <c r="E16" s="140" t="s">
        <v>2131</v>
      </c>
      <c r="F16" s="2420"/>
      <c r="G16" s="2420"/>
      <c r="H16" s="2420"/>
      <c r="I16" s="1828"/>
    </row>
    <row r="17" spans="1:35" ht="15">
      <c r="A17" s="2421" t="s">
        <v>2132</v>
      </c>
      <c r="B17" s="64"/>
      <c r="C17" s="141">
        <f>SUM(C5:C16)</f>
        <v>5</v>
      </c>
      <c r="D17" s="141">
        <f>SUM(D5:D16)</f>
        <v>5</v>
      </c>
      <c r="E17" s="138"/>
      <c r="F17" s="138"/>
      <c r="G17" s="138"/>
      <c r="H17" s="138"/>
      <c r="I17" s="138"/>
      <c r="K17" s="2419"/>
      <c r="L17" s="2422" t="s">
        <v>2133</v>
      </c>
      <c r="M17" s="2422" t="s">
        <v>2134</v>
      </c>
    </row>
    <row r="18" spans="1:35" ht="15.75" thickBot="1">
      <c r="A18" s="2423" t="s">
        <v>2135</v>
      </c>
      <c r="B18" s="2424"/>
      <c r="C18" s="142">
        <f>ROUND(C17/SUM(C17:D17),2)</f>
        <v>0.5</v>
      </c>
      <c r="D18" s="142">
        <f>1-C18</f>
        <v>0.5</v>
      </c>
      <c r="E18" s="138"/>
      <c r="F18" s="138"/>
      <c r="G18" s="138"/>
      <c r="H18" s="138"/>
      <c r="I18" s="138"/>
      <c r="K18" s="2419" t="s">
        <v>2136</v>
      </c>
      <c r="L18" s="2419">
        <f>IF(C1="",'数据-汇总表'!E3,SUMIF(项目类型,C1,'数据-汇总表'!E17:E26)+SUMIF(项目类型,C1,'数据-汇总表'!I17:I26))</f>
        <v>120164.37999999998</v>
      </c>
      <c r="M18" s="2419">
        <f>IF(C1="",'数据-汇总表'!E3,SUMIF(项目类型,C1,'数据-汇总表'!E17:E26))</f>
        <v>120164.37999999998</v>
      </c>
    </row>
    <row r="19" spans="1:35" ht="15">
      <c r="A19" s="2425" t="s">
        <v>2137</v>
      </c>
      <c r="B19" s="2426" t="s">
        <v>2138</v>
      </c>
      <c r="C19" s="143">
        <f ca="1">SUMIF(INDIRECT("'"&amp;C4&amp;"'"&amp;"!A:A"),结果表!B19,INDIRECT("'"&amp;C4&amp;"'"&amp;"!B:B"))</f>
        <v>169390</v>
      </c>
      <c r="D19" s="144">
        <f ca="1">SUMIF(INDIRECT("'"&amp;D4&amp;"'"&amp;"!A:A"),结果表!B19,INDIRECT("'"&amp;D4&amp;"'"&amp;"!B:B"))</f>
        <v>141658</v>
      </c>
      <c r="E19" s="2425" t="s">
        <v>2139</v>
      </c>
      <c r="F19" s="2426" t="s">
        <v>2138</v>
      </c>
      <c r="G19" s="145">
        <f ca="1">ROUND(C19*$C$18+D19*$D$18,0)</f>
        <v>155524</v>
      </c>
      <c r="H19" s="2427" t="s">
        <v>2140</v>
      </c>
      <c r="I19" s="138"/>
      <c r="K19" s="2419" t="s">
        <v>2141</v>
      </c>
      <c r="L19" s="2419">
        <f>IF(C1="",'数据-汇总表'!D3,SUMIF(项目类型,C1,'数据-汇总表'!D17:D26)+SUMIF(项目类型,C1,'数据-汇总表'!H17:H27))</f>
        <v>20565.18</v>
      </c>
      <c r="M19" s="2419">
        <f>IF(C1="",'数据-汇总表'!D3,SUMIF(项目类型,C1,'数据-汇总表'!D17:D26))</f>
        <v>20565.18</v>
      </c>
    </row>
    <row r="20" spans="1:35" ht="15">
      <c r="A20" s="2428"/>
      <c r="B20" s="1244" t="s">
        <v>2142</v>
      </c>
      <c r="C20" s="146">
        <f ca="1">SUMIF(INDIRECT("'"&amp;C4&amp;"'"&amp;"!A:A"),结果表!B20,INDIRECT("'"&amp;C4&amp;"'"&amp;"!B:B"))</f>
        <v>14097</v>
      </c>
      <c r="D20" s="147">
        <f ca="1">SUMIF(INDIRECT("'"&amp;D4&amp;"'"&amp;"!A:A"),结果表!B20,INDIRECT("'"&amp;D4&amp;"'"&amp;"!B:B"))</f>
        <v>11789</v>
      </c>
      <c r="E20" s="2428"/>
      <c r="F20" s="1244" t="s">
        <v>2142</v>
      </c>
      <c r="G20" s="148">
        <f ca="1">ROUND(C20*$C$18+D20*$D$18,0)</f>
        <v>12943</v>
      </c>
      <c r="H20" s="977" t="s">
        <v>2143</v>
      </c>
      <c r="I20" s="138"/>
    </row>
    <row r="21" spans="1:35" ht="15" customHeight="1" thickBot="1">
      <c r="A21" s="997"/>
      <c r="B21" s="2429" t="s">
        <v>2144</v>
      </c>
      <c r="C21" s="789">
        <f ca="1">ROUND(C19*10000/L19,0)</f>
        <v>82367</v>
      </c>
      <c r="D21" s="790">
        <f ca="1">ROUND(D19*10000/L19,0)</f>
        <v>68882</v>
      </c>
      <c r="E21" s="997"/>
      <c r="F21" s="2429" t="s">
        <v>2144</v>
      </c>
      <c r="G21" s="149">
        <f ca="1">ROUND(G19*10000/L19,0)</f>
        <v>75625</v>
      </c>
      <c r="H21" s="2430" t="s">
        <v>2143</v>
      </c>
      <c r="I21" s="138"/>
    </row>
    <row r="22" spans="1:35" ht="15" thickBot="1">
      <c r="A22" s="2272" t="s">
        <v>2145</v>
      </c>
      <c r="B22" s="2431"/>
      <c r="C22" s="2432"/>
      <c r="D22" s="791">
        <f ca="1">IF(C19&lt;D19,D19/C19-1,C19/D19-1)</f>
        <v>0.19576727046831111</v>
      </c>
      <c r="E22" s="138"/>
      <c r="F22" s="138"/>
      <c r="G22" s="138"/>
      <c r="H22" s="138"/>
      <c r="I22" s="138"/>
    </row>
    <row r="23" spans="1:35" ht="13.5" thickBot="1">
      <c r="A23" s="2409"/>
      <c r="B23" s="2409"/>
      <c r="C23" s="2409"/>
      <c r="D23" s="2409"/>
      <c r="E23" s="138"/>
      <c r="F23" s="138"/>
      <c r="G23" s="138"/>
      <c r="H23" s="138"/>
      <c r="I23" s="138"/>
    </row>
    <row r="24" spans="1:35" ht="14.25">
      <c r="A24" s="3246" t="s">
        <v>2146</v>
      </c>
      <c r="B24" s="2426" t="s">
        <v>2138</v>
      </c>
      <c r="C24" s="145">
        <f>IF(B30=0,0,D30)</f>
        <v>0</v>
      </c>
      <c r="D24" s="2433"/>
      <c r="E24" s="138"/>
      <c r="F24" s="138"/>
      <c r="G24" s="138"/>
      <c r="H24" s="138"/>
      <c r="I24" s="138"/>
    </row>
    <row r="25" spans="1:35" ht="14.25">
      <c r="A25" s="3247"/>
      <c r="B25" s="1244" t="s">
        <v>2142</v>
      </c>
      <c r="C25" s="150">
        <f>IF(B30=0,0,C30)</f>
        <v>0</v>
      </c>
      <c r="D25" s="2434"/>
      <c r="E25" s="138"/>
      <c r="F25" s="138"/>
      <c r="G25" s="138">
        <f ca="1">H107-C97</f>
        <v>123931</v>
      </c>
      <c r="H25" s="138"/>
      <c r="I25" s="138"/>
    </row>
    <row r="26" spans="1:35" ht="13.5" customHeight="1">
      <c r="A26" s="2435" t="s">
        <v>2147</v>
      </c>
      <c r="B26" s="151" t="s">
        <v>2148</v>
      </c>
      <c r="C26" s="151" t="s">
        <v>2149</v>
      </c>
      <c r="D26" s="152" t="s">
        <v>2150</v>
      </c>
      <c r="E26" s="138"/>
      <c r="F26" s="138"/>
      <c r="G26" s="138"/>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2151</v>
      </c>
      <c r="B30" s="151"/>
      <c r="C30" s="151"/>
      <c r="D30" s="151"/>
      <c r="E30" s="2907" t="s">
        <v>3022</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2152</v>
      </c>
      <c r="B32" s="2439"/>
      <c r="C32" s="153">
        <f ca="1">IF(D32="总价",G19-C24,G20-C25)</f>
        <v>155524</v>
      </c>
      <c r="D32" s="2440" t="s">
        <v>2153</v>
      </c>
      <c r="E32" s="138"/>
      <c r="F32" s="138"/>
      <c r="G32" s="138"/>
      <c r="H32" s="138"/>
      <c r="I32" s="138"/>
    </row>
    <row r="33" spans="1:15" ht="15">
      <c r="A33" s="954" t="s">
        <v>2154</v>
      </c>
      <c r="B33" s="2441"/>
      <c r="C33" s="2442" t="s">
        <v>3174</v>
      </c>
      <c r="D33" s="2443" t="s">
        <v>3123</v>
      </c>
      <c r="E33" s="2444" t="s">
        <v>2155</v>
      </c>
      <c r="F33" s="2445" t="str">
        <f>IF(D32="楼面单价","取值（单价）","取值（总价）")</f>
        <v>取值（总价）</v>
      </c>
      <c r="G33" s="138"/>
      <c r="H33" s="138"/>
      <c r="I33" s="138"/>
    </row>
    <row r="34" spans="1:15" ht="15">
      <c r="A34" s="2446"/>
      <c r="B34" s="2447" t="s">
        <v>2156</v>
      </c>
      <c r="C34" s="157">
        <f ca="1">IF(C33="自定义",F34,C32-C35)</f>
        <v>128152</v>
      </c>
      <c r="D34" s="1052">
        <f ca="1">IF(C33="自定义",ROUND(C34/C32,3),IF(C33="收益比率",SUMIF(INDIRECT("'"&amp;D33&amp;"'"&amp;"!b:b"),"土地收益比率",INDIRECT("'"&amp;D33&amp;"'"&amp;"!c:c")),SUMIF(INDIRECT("'"&amp;D33&amp;"'"&amp;"!b:b"),"土地成本比率",INDIRECT("'"&amp;D33&amp;"'"&amp;"!c:c"))))</f>
        <v>0.82400000000000007</v>
      </c>
      <c r="E34" s="2448" t="s">
        <v>2157</v>
      </c>
      <c r="F34" s="1733"/>
      <c r="G34" s="138"/>
      <c r="H34" s="138"/>
      <c r="I34" s="138"/>
    </row>
    <row r="35" spans="1:15" ht="15.75" thickBot="1">
      <c r="A35" s="2449"/>
      <c r="B35" s="2450" t="s">
        <v>2158</v>
      </c>
      <c r="C35" s="1438">
        <f ca="1">IF(C33="自定义",F35,ROUND(C32*D35,0))</f>
        <v>27372</v>
      </c>
      <c r="D35" s="1439">
        <f ca="1">IF(C33="自定义",ROUND(C35/C32,3),IF(C33="收益比率",SUMIF(INDIRECT("'"&amp;D33&amp;"'"&amp;"!b:b"),"建筑物收益比率",INDIRECT("'"&amp;D33&amp;"'"&amp;"!c:c")),SUMIF(INDIRECT("'"&amp;D33&amp;"'"&amp;"!b:b"),"建筑物成本比率",INDIRECT("'"&amp;D33&amp;"'"&amp;"!c:c"))))</f>
        <v>0.17599999999999999</v>
      </c>
      <c r="E35" s="2451" t="s">
        <v>2159</v>
      </c>
      <c r="F35" s="163"/>
      <c r="G35" s="138"/>
      <c r="H35" s="138"/>
      <c r="I35" s="138"/>
    </row>
    <row r="36" spans="1:15" ht="15.75" thickBot="1">
      <c r="A36" s="3226" t="s">
        <v>2160</v>
      </c>
      <c r="B36" s="2452" t="s">
        <v>2161</v>
      </c>
      <c r="C36" s="154"/>
      <c r="D36" s="2453"/>
      <c r="E36" s="2454"/>
      <c r="F36" s="2455"/>
      <c r="G36" s="138"/>
      <c r="H36" s="138"/>
      <c r="I36" s="138"/>
    </row>
    <row r="37" spans="1:15" ht="15.75" thickBot="1">
      <c r="A37" s="3227"/>
      <c r="B37" s="2258" t="s">
        <v>2162</v>
      </c>
      <c r="C37" s="156">
        <f>优先受偿!B10</f>
        <v>8515</v>
      </c>
      <c r="D37" s="1389"/>
      <c r="E37" s="1389"/>
      <c r="F37" s="2455"/>
      <c r="G37" s="138"/>
      <c r="H37" s="138"/>
      <c r="I37" s="138"/>
    </row>
    <row r="38" spans="1:15" ht="15.75" thickBot="1">
      <c r="A38" s="3228"/>
      <c r="B38" s="2456" t="s">
        <v>2163</v>
      </c>
      <c r="C38" s="727">
        <f>优先受偿!B11+优先受偿!B12+优先受偿!B13</f>
        <v>12239</v>
      </c>
      <c r="D38" s="2457" t="s">
        <v>2164</v>
      </c>
      <c r="E38" s="1389"/>
      <c r="F38" s="2455"/>
      <c r="G38" s="138"/>
      <c r="H38" s="138"/>
      <c r="I38" s="138"/>
    </row>
    <row r="39" spans="1:15" ht="15">
      <c r="A39" s="2428" t="s">
        <v>2165</v>
      </c>
      <c r="B39" s="2458" t="s">
        <v>2166</v>
      </c>
      <c r="C39" s="2459" t="s">
        <v>2167</v>
      </c>
      <c r="D39" s="2459" t="s">
        <v>2168</v>
      </c>
      <c r="E39" s="2460" t="s">
        <v>2169</v>
      </c>
      <c r="F39" s="2455"/>
      <c r="G39" s="138"/>
      <c r="H39" s="138"/>
      <c r="I39" s="138"/>
    </row>
    <row r="40" spans="1:15" ht="14.25">
      <c r="A40" s="2461" t="s">
        <v>2170</v>
      </c>
      <c r="B40" s="158"/>
      <c r="C40" s="159"/>
      <c r="D40" s="159"/>
      <c r="E40" s="160"/>
      <c r="F40" s="2455"/>
      <c r="G40" s="138"/>
      <c r="H40" s="138"/>
      <c r="I40" s="138"/>
    </row>
    <row r="41" spans="1:15" ht="14.25">
      <c r="A41" s="2461" t="s">
        <v>2171</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2172</v>
      </c>
      <c r="B44" s="2466"/>
      <c r="C44" s="2466"/>
      <c r="D44" s="2467"/>
      <c r="E44" s="2467"/>
      <c r="F44" s="2468"/>
      <c r="G44" s="2468"/>
      <c r="H44" s="2468"/>
      <c r="I44" s="2468"/>
      <c r="J44" s="2469" t="s">
        <v>2173</v>
      </c>
      <c r="K44" s="2470"/>
      <c r="L44" s="2470"/>
      <c r="M44" s="2470"/>
      <c r="N44" s="2470"/>
      <c r="O44" s="2470"/>
    </row>
    <row r="45" spans="1:15" ht="14.25" customHeight="1" thickBot="1">
      <c r="A45" s="3243" t="s">
        <v>2174</v>
      </c>
      <c r="B45" s="3244"/>
      <c r="C45" s="3245"/>
      <c r="D45" s="164">
        <f ca="1">ROUND(H101*F45,0)</f>
        <v>155524</v>
      </c>
      <c r="E45" s="165" t="s">
        <v>2175</v>
      </c>
      <c r="F45" s="166">
        <v>1</v>
      </c>
      <c r="G45" s="167" t="s">
        <v>2176</v>
      </c>
      <c r="H45" s="138"/>
      <c r="I45" s="138"/>
      <c r="J45" s="3159" t="s">
        <v>2177</v>
      </c>
      <c r="K45" s="3159"/>
      <c r="L45" s="3159"/>
      <c r="M45" s="3159"/>
      <c r="N45" s="3159"/>
      <c r="O45" s="3159"/>
    </row>
    <row r="46" spans="1:15" ht="14.25" customHeight="1">
      <c r="A46" s="3240" t="s">
        <v>2178</v>
      </c>
      <c r="B46" s="3241"/>
      <c r="C46" s="3241"/>
      <c r="D46" s="3241"/>
      <c r="E46" s="3241"/>
      <c r="F46" s="3241"/>
      <c r="G46" s="3242"/>
      <c r="H46" s="2471"/>
      <c r="I46" s="168"/>
      <c r="J46" s="1806">
        <v>1</v>
      </c>
      <c r="K46" s="3159" t="s">
        <v>2179</v>
      </c>
      <c r="L46" s="3159"/>
      <c r="M46" s="3160"/>
      <c r="N46" s="3160"/>
      <c r="O46" s="3160"/>
    </row>
    <row r="47" spans="1:15" ht="12" customHeight="1">
      <c r="A47" s="169" t="s">
        <v>2180</v>
      </c>
      <c r="B47" s="170"/>
      <c r="C47" s="171"/>
      <c r="D47" s="172" t="s">
        <v>2181</v>
      </c>
      <c r="E47" s="24" t="s">
        <v>2182</v>
      </c>
      <c r="F47" s="173" t="s">
        <v>2183</v>
      </c>
      <c r="G47" s="174" t="s">
        <v>2184</v>
      </c>
      <c r="H47" s="2471"/>
      <c r="I47" s="168"/>
      <c r="J47" s="1806">
        <v>2</v>
      </c>
      <c r="K47" s="3159" t="s">
        <v>2185</v>
      </c>
      <c r="L47" s="3159"/>
      <c r="M47" s="3161">
        <f>'数据-取费表'!B2</f>
        <v>43951</v>
      </c>
      <c r="N47" s="3161"/>
      <c r="O47" s="3161"/>
    </row>
    <row r="48" spans="1:15" ht="25.5">
      <c r="A48" s="3230" t="s">
        <v>2186</v>
      </c>
      <c r="B48" s="3231"/>
      <c r="C48" s="3231"/>
      <c r="D48" s="140">
        <f ca="1">IF(H48="情况1",0,IF(H48="情况2",D52,IF(H48="情况3",D53,IF(H48="情况4",D54))))</f>
        <v>8295</v>
      </c>
      <c r="E48" s="1795" t="str">
        <f>IF(H48="情况4","(销售额-原购置价)×税（费）率","销售额×税（费）率")</f>
        <v>销售额×税（费）率</v>
      </c>
      <c r="F48" s="175">
        <f>IF(H48="情况1","免征",'数据-取费表'!B41)</f>
        <v>5.6000000000000001E-2</v>
      </c>
      <c r="G48" s="2472" t="s">
        <v>2187</v>
      </c>
      <c r="H48" s="2473" t="s">
        <v>3256</v>
      </c>
      <c r="I48" s="2471"/>
      <c r="J48" s="1806">
        <v>3</v>
      </c>
      <c r="K48" s="3159" t="s">
        <v>2188</v>
      </c>
      <c r="L48" s="3159"/>
      <c r="M48" s="3162">
        <f ca="1">H101</f>
        <v>155524</v>
      </c>
      <c r="N48" s="3162"/>
      <c r="O48" s="3162"/>
    </row>
    <row r="49" spans="1:35" ht="25.5" customHeight="1">
      <c r="A49" s="176" t="s">
        <v>2189</v>
      </c>
      <c r="B49" s="3210" t="s">
        <v>2190</v>
      </c>
      <c r="C49" s="3210"/>
      <c r="D49" s="177">
        <v>0</v>
      </c>
      <c r="E49" s="23" t="s">
        <v>2191</v>
      </c>
      <c r="F49" s="28" t="s">
        <v>34</v>
      </c>
      <c r="G49" s="3191"/>
      <c r="H49" s="138"/>
      <c r="I49" s="2474"/>
      <c r="J49" s="1806">
        <v>4</v>
      </c>
      <c r="K49" s="3159" t="str">
        <f>IF(项目基本情况!E8="房地产抵押价值","房地产抵押价值","抵押担保权已注销时的房地产抵押价值")</f>
        <v>房地产抵押价值</v>
      </c>
      <c r="L49" s="3159"/>
      <c r="M49" s="3162">
        <f ca="1">IF(项目基本情况!E8="房地产抵押价值",H107,H109)</f>
        <v>134770</v>
      </c>
      <c r="N49" s="3162"/>
      <c r="O49" s="3162"/>
    </row>
    <row r="50" spans="1:35" ht="25.5" customHeight="1">
      <c r="A50" s="178"/>
      <c r="B50" s="3210" t="s">
        <v>2192</v>
      </c>
      <c r="C50" s="3210"/>
      <c r="D50" s="179"/>
      <c r="E50" s="31"/>
      <c r="F50" s="180"/>
      <c r="G50" s="3192"/>
      <c r="H50" s="138"/>
      <c r="I50" s="2474"/>
      <c r="J50" s="3159" t="s">
        <v>2193</v>
      </c>
      <c r="K50" s="3159"/>
      <c r="L50" s="3159"/>
      <c r="M50" s="3159"/>
      <c r="N50" s="3159"/>
      <c r="O50" s="3159"/>
    </row>
    <row r="51" spans="1:35" ht="12" customHeight="1">
      <c r="A51" s="181"/>
      <c r="B51" s="3210" t="s">
        <v>2194</v>
      </c>
      <c r="C51" s="3210"/>
      <c r="D51" s="182"/>
      <c r="E51" s="30"/>
      <c r="F51" s="180"/>
      <c r="G51" s="3193"/>
      <c r="H51" s="138"/>
      <c r="I51" s="2474"/>
      <c r="J51" s="2475" t="s">
        <v>2195</v>
      </c>
      <c r="K51" s="3159" t="s">
        <v>2196</v>
      </c>
      <c r="L51" s="3159"/>
      <c r="M51" s="2475" t="s">
        <v>2197</v>
      </c>
      <c r="N51" s="2475" t="s">
        <v>2198</v>
      </c>
      <c r="O51" s="2475" t="s">
        <v>2199</v>
      </c>
    </row>
    <row r="52" spans="1:35" ht="24" customHeight="1">
      <c r="A52" s="183" t="s">
        <v>2200</v>
      </c>
      <c r="B52" s="3210" t="s">
        <v>2201</v>
      </c>
      <c r="C52" s="3210"/>
      <c r="D52" s="182">
        <f ca="1">ROUND(D45*'数据-取费表'!B41/(1+'数据-取费表'!C42),0)</f>
        <v>8295</v>
      </c>
      <c r="E52" s="11" t="s">
        <v>2202</v>
      </c>
      <c r="F52" s="184">
        <f>'数据-取费表'!B41</f>
        <v>5.6000000000000001E-2</v>
      </c>
      <c r="G52" s="2476"/>
      <c r="H52" s="138"/>
      <c r="I52" s="2474"/>
      <c r="J52" s="1806">
        <v>1</v>
      </c>
      <c r="K52" s="3185" t="s">
        <v>2203</v>
      </c>
      <c r="L52" s="3185"/>
      <c r="M52" s="1748">
        <f ca="1">D48</f>
        <v>8295</v>
      </c>
      <c r="N52" s="1806" t="str">
        <f>E48</f>
        <v>销售额×税（费）率</v>
      </c>
      <c r="O52" s="1749">
        <f>F48</f>
        <v>5.6000000000000001E-2</v>
      </c>
    </row>
    <row r="53" spans="1:35" ht="12" customHeight="1">
      <c r="A53" s="183" t="s">
        <v>2204</v>
      </c>
      <c r="B53" s="3211" t="s">
        <v>2205</v>
      </c>
      <c r="C53" s="3212"/>
      <c r="D53" s="182">
        <f ca="1">ROUND(D45*'数据-取费表'!B41/(1+'数据-取费表'!C42),0)</f>
        <v>8295</v>
      </c>
      <c r="E53" s="11" t="s">
        <v>2202</v>
      </c>
      <c r="F53" s="184">
        <f>'数据-取费表'!B41</f>
        <v>5.6000000000000001E-2</v>
      </c>
      <c r="G53" s="2476"/>
      <c r="H53" s="138"/>
      <c r="I53" s="2474"/>
      <c r="J53" s="1806">
        <v>2</v>
      </c>
      <c r="K53" s="3185" t="s">
        <v>2206</v>
      </c>
      <c r="L53" s="3185"/>
      <c r="M53" s="1748">
        <f t="shared" ref="M53:O54" ca="1" si="0">D55</f>
        <v>78</v>
      </c>
      <c r="N53" s="1806" t="str">
        <f t="shared" si="0"/>
        <v>销售额×税（费）率</v>
      </c>
      <c r="O53" s="1749">
        <f t="shared" si="0"/>
        <v>5.0000000000000001E-4</v>
      </c>
    </row>
    <row r="54" spans="1:35" ht="12" customHeight="1">
      <c r="A54" s="183" t="s">
        <v>2207</v>
      </c>
      <c r="B54" s="3211" t="s">
        <v>2208</v>
      </c>
      <c r="C54" s="3212"/>
      <c r="D54" s="182">
        <f ca="1">C68</f>
        <v>8295</v>
      </c>
      <c r="E54" s="30" t="s">
        <v>2209</v>
      </c>
      <c r="F54" s="184">
        <f>'数据-取费表'!B41</f>
        <v>5.6000000000000001E-2</v>
      </c>
      <c r="G54" s="2476"/>
      <c r="H54" s="2477"/>
      <c r="I54" s="2474"/>
      <c r="J54" s="1806">
        <v>3</v>
      </c>
      <c r="K54" s="3185" t="s">
        <v>2210</v>
      </c>
      <c r="L54" s="3185"/>
      <c r="M54" s="1748">
        <f t="shared" ca="1" si="0"/>
        <v>10839</v>
      </c>
      <c r="N54" s="1806" t="str">
        <f t="shared" si="0"/>
        <v>增值额×税（费）率</v>
      </c>
      <c r="O54" s="1750" t="str">
        <f t="shared" si="0"/>
        <v>——</v>
      </c>
    </row>
    <row r="55" spans="1:35" ht="24" customHeight="1">
      <c r="A55" s="3249" t="s">
        <v>2211</v>
      </c>
      <c r="B55" s="3231"/>
      <c r="C55" s="3231"/>
      <c r="D55" s="185">
        <f ca="1">IF(H55="个人住宅",0,ROUND(D45*I55,0))</f>
        <v>78</v>
      </c>
      <c r="E55" s="11" t="s">
        <v>2212</v>
      </c>
      <c r="F55" s="184">
        <f>IF(H55="正常",I55,"免征")</f>
        <v>5.0000000000000001E-4</v>
      </c>
      <c r="G55" s="2476"/>
      <c r="H55" s="2473" t="s">
        <v>2213</v>
      </c>
      <c r="I55" s="186">
        <f>'数据-取费表'!B49</f>
        <v>5.0000000000000001E-4</v>
      </c>
      <c r="J55" s="1806" t="str">
        <f>IF(H59="非个人房产","",4)</f>
        <v/>
      </c>
      <c r="K55" s="3185" t="str">
        <f>IF(H59="非个人房产","——","个人所得税")</f>
        <v>——</v>
      </c>
      <c r="L55" s="3185"/>
      <c r="M55" s="1751" t="str">
        <f>D59</f>
        <v>——</v>
      </c>
      <c r="N55" s="1804" t="str">
        <f>E59</f>
        <v>——</v>
      </c>
      <c r="O55" s="1752" t="str">
        <f>F59</f>
        <v>——</v>
      </c>
    </row>
    <row r="56" spans="1:35" ht="24.75">
      <c r="A56" s="3249" t="s">
        <v>2214</v>
      </c>
      <c r="B56" s="3231"/>
      <c r="C56" s="3231"/>
      <c r="D56" s="185">
        <f ca="1">IF(H56="个人住宅",D57,D58)</f>
        <v>10839</v>
      </c>
      <c r="E56" s="11" t="s">
        <v>2215</v>
      </c>
      <c r="F56" s="184" t="str">
        <f>IF(H56="正常",F58,"免征")</f>
        <v>——</v>
      </c>
      <c r="G56" s="2478" t="s">
        <v>2216</v>
      </c>
      <c r="H56" s="2479" t="s">
        <v>2213</v>
      </c>
      <c r="I56" s="2480"/>
      <c r="J56" s="1806" t="str">
        <f>IF(项目基本情况!K6="上海银行",IF(J55="",4,J55+1),"")</f>
        <v/>
      </c>
      <c r="K56" s="3165" t="str">
        <f>IF(项目基本情况!K6="上海银行","其他处置费用","")</f>
        <v/>
      </c>
      <c r="L56" s="3166"/>
      <c r="M56" s="1748" t="str">
        <f>IF(项目基本情况!K6="上海银行",M69,"")</f>
        <v/>
      </c>
      <c r="N56" s="3168" t="str">
        <f>IF(项目基本情况!K6="上海银行","包含处置中涉及的律师、诉讼、拍卖、评估等费用","")</f>
        <v/>
      </c>
      <c r="O56" s="3169"/>
    </row>
    <row r="57" spans="1:35" ht="12.75">
      <c r="A57" s="183" t="s">
        <v>2189</v>
      </c>
      <c r="B57" s="3216" t="s">
        <v>2217</v>
      </c>
      <c r="C57" s="3217"/>
      <c r="D57" s="187">
        <v>0</v>
      </c>
      <c r="E57" s="23" t="s">
        <v>2191</v>
      </c>
      <c r="F57" s="155"/>
      <c r="G57" s="2476"/>
      <c r="H57" s="2480"/>
      <c r="I57" s="2480"/>
      <c r="J57" s="3185">
        <f>IF(AND(J55="",J56=""),4,IF(项目基本情况!K6="上海银行",结果表!J56+1,结果表!J55+1))</f>
        <v>4</v>
      </c>
      <c r="K57" s="3185" t="s">
        <v>2218</v>
      </c>
      <c r="L57" s="2481" t="s">
        <v>2219</v>
      </c>
      <c r="M57" s="1753"/>
      <c r="N57" s="1754">
        <f ca="1">SUMIF(M52:M56,"&lt;9e307")</f>
        <v>19212</v>
      </c>
      <c r="O57" s="2482"/>
      <c r="P57" s="1747">
        <f ca="1">N57/M49</f>
        <v>0.14255398085627366</v>
      </c>
    </row>
    <row r="58" spans="1:35" ht="24.75">
      <c r="A58" s="183" t="s">
        <v>2200</v>
      </c>
      <c r="B58" s="3216" t="s">
        <v>2220</v>
      </c>
      <c r="C58" s="3229"/>
      <c r="D58" s="185">
        <f ca="1">IF(H58="转让取得",C81,C97)</f>
        <v>10839</v>
      </c>
      <c r="E58" s="11" t="s">
        <v>2215</v>
      </c>
      <c r="F58" s="24" t="s">
        <v>34</v>
      </c>
      <c r="G58" s="2476"/>
      <c r="H58" s="2479" t="s">
        <v>2221</v>
      </c>
      <c r="I58" s="2480"/>
      <c r="J58" s="3185"/>
      <c r="K58" s="3185"/>
      <c r="L58" s="2481" t="s">
        <v>2222</v>
      </c>
      <c r="M58" s="1755"/>
      <c r="N58" s="2483" t="str">
        <f ca="1">NUMBERSTRING(INT(N57*10000),2)&amp;"元整"</f>
        <v>壹亿玖仟贰佰壹拾贰万元整</v>
      </c>
      <c r="O58" s="2484"/>
    </row>
    <row r="59" spans="1:35" ht="24.75" thickBot="1">
      <c r="A59" s="3189" t="s">
        <v>2223</v>
      </c>
      <c r="B59" s="3190"/>
      <c r="C59" s="3190"/>
      <c r="D59" s="188" t="str">
        <f>IF(H59="非个人房产","——",IF(H59="个人住宅",0,ROUND(D45*I59,0)))</f>
        <v>——</v>
      </c>
      <c r="E59" s="189" t="str">
        <f>IF(H59="非个人房产","——","销售额×税（费）率")</f>
        <v>——</v>
      </c>
      <c r="F59" s="190" t="str">
        <f>IF(H59="非个人房产","——",IF(H59="个人住宅","免征",I59))</f>
        <v>——</v>
      </c>
      <c r="G59" s="2485" t="s">
        <v>2216</v>
      </c>
      <c r="H59" s="2479" t="s">
        <v>2224</v>
      </c>
      <c r="I59" s="191">
        <v>0.01</v>
      </c>
      <c r="J59" s="3187">
        <f>J57+1</f>
        <v>5</v>
      </c>
      <c r="K59" s="3185" t="s">
        <v>2225</v>
      </c>
      <c r="L59" s="1806" t="s">
        <v>2219</v>
      </c>
      <c r="M59" s="1756"/>
      <c r="N59" s="1757">
        <f ca="1">M49-N57</f>
        <v>115558</v>
      </c>
      <c r="O59" s="2486"/>
    </row>
    <row r="60" spans="1:35" ht="12" customHeight="1">
      <c r="A60" s="2487"/>
      <c r="B60" s="2409"/>
      <c r="C60" s="2409"/>
      <c r="D60" s="2409"/>
      <c r="E60" s="2157"/>
      <c r="F60" s="2480"/>
      <c r="G60" s="2480"/>
      <c r="H60" s="2488"/>
      <c r="I60" s="138"/>
      <c r="J60" s="3188"/>
      <c r="K60" s="3185"/>
      <c r="L60" s="2481" t="s">
        <v>2222</v>
      </c>
      <c r="M60" s="1755"/>
      <c r="N60" s="2483" t="str">
        <f ca="1">NUMBERSTRING(INT(N59*10000),2)&amp;"元整"</f>
        <v>壹拾壹亿伍仟伍佰伍拾捌万元整</v>
      </c>
      <c r="O60" s="2484"/>
    </row>
    <row r="61" spans="1:35" ht="13.5" thickBot="1">
      <c r="A61" s="3248" t="s">
        <v>2226</v>
      </c>
      <c r="B61" s="3248"/>
      <c r="C61" s="3248"/>
      <c r="D61" s="3248"/>
      <c r="E61" s="3248"/>
      <c r="F61" s="2480"/>
      <c r="G61" s="2480"/>
      <c r="H61" s="2488"/>
      <c r="I61" s="138"/>
      <c r="J61" s="1806">
        <f>J59+1</f>
        <v>6</v>
      </c>
      <c r="K61" s="3185" t="s">
        <v>2227</v>
      </c>
      <c r="L61" s="3185"/>
      <c r="M61" s="1758"/>
      <c r="N61" s="1759">
        <f ca="1">ROUND(N59*10000/'数据-汇总表'!E3,0)</f>
        <v>9617</v>
      </c>
      <c r="O61" s="2489"/>
    </row>
    <row r="62" spans="1:35" ht="12.75">
      <c r="A62" s="3205" t="s">
        <v>2228</v>
      </c>
      <c r="B62" s="3206"/>
      <c r="C62" s="1798"/>
      <c r="D62" s="1798" t="s">
        <v>2229</v>
      </c>
      <c r="E62" s="192" t="s">
        <v>2230</v>
      </c>
      <c r="F62" s="2480"/>
      <c r="G62" s="2480"/>
      <c r="H62" s="2488"/>
      <c r="I62" s="138"/>
    </row>
    <row r="63" spans="1:35" ht="12.75">
      <c r="A63" s="203" t="s">
        <v>775</v>
      </c>
      <c r="B63" s="193" t="s">
        <v>2231</v>
      </c>
      <c r="C63" s="194">
        <f ca="1">ROUND((C64+C65)/(1+'数据-取费表'!C42),0)</f>
        <v>148118</v>
      </c>
      <c r="D63" s="195"/>
      <c r="E63" s="196"/>
      <c r="F63" s="2480"/>
      <c r="G63" s="2480"/>
      <c r="H63" s="2488"/>
      <c r="I63" s="138"/>
      <c r="J63" s="3167" t="s">
        <v>2232</v>
      </c>
      <c r="K63" s="2490" t="s">
        <v>2233</v>
      </c>
      <c r="L63" s="1746">
        <f ca="1">IF(M49&gt;10000,M49*0.5%,IF(AND(M49&gt;1000,M49&lt;=10000),M49*1%,IF(AND(M49&gt;100,M49&lt;=1000),M49*3%,IF(AND(M49&gt;10,M49&lt;=100),M49*5%,M49*8%))))</f>
        <v>673.85</v>
      </c>
      <c r="M63" s="24">
        <f ca="1">ROUND(L63,1)</f>
        <v>673.9</v>
      </c>
      <c r="Z63" s="2414"/>
      <c r="AI63" s="2415"/>
    </row>
    <row r="64" spans="1:35" ht="14.25" customHeight="1">
      <c r="A64" s="197" t="s">
        <v>770</v>
      </c>
      <c r="B64" s="198" t="s">
        <v>2234</v>
      </c>
      <c r="C64" s="199">
        <f ca="1">D45</f>
        <v>155524</v>
      </c>
      <c r="D64" s="200" t="s">
        <v>32</v>
      </c>
      <c r="E64" s="201"/>
      <c r="F64" s="2480"/>
      <c r="G64" s="2480"/>
      <c r="H64" s="2488"/>
      <c r="I64" s="138"/>
      <c r="J64" s="3167"/>
      <c r="K64" s="2490" t="s">
        <v>2235</v>
      </c>
      <c r="L64" s="1746">
        <f ca="1">IF(M49&gt;2000,M49*0.5%,IF(AND(M49&gt;1000,M49&lt;=2000),M49*0.6%,IF(AND(M49&gt;500,M49&lt;=1000),M49*0.7%,IF(AND(M49&gt;200,M49&lt;=500),M49*0.8%,IF(AND(M49&gt;100,M49&lt;=200),M49*0.9%,IF(AND(M49&gt;50,M49&lt;=100),M49*1%,IF(AND(M49&gt;20,M49&lt;=50),M49*1.5%,IF(AND(M49&gt;10,M49&lt;=20),M49*2%,IF(AND(M49&gt;1,M49&lt;=10),M49*2.5%)))))))))</f>
        <v>673.85</v>
      </c>
      <c r="M64" s="24">
        <f t="shared" ref="M64:M65" ca="1" si="1">ROUND(L64,1)</f>
        <v>673.9</v>
      </c>
      <c r="N64" s="138" t="s">
        <v>2236</v>
      </c>
      <c r="Z64" s="2414"/>
      <c r="AI64" s="2415"/>
    </row>
    <row r="65" spans="1:35" ht="14.25" customHeight="1">
      <c r="A65" s="197" t="s">
        <v>771</v>
      </c>
      <c r="B65" s="198" t="s">
        <v>2237</v>
      </c>
      <c r="C65" s="202"/>
      <c r="D65" s="200"/>
      <c r="E65" s="201"/>
      <c r="F65" s="2480"/>
      <c r="G65" s="2480"/>
      <c r="H65" s="2488"/>
      <c r="I65" s="138"/>
      <c r="J65" s="3167"/>
      <c r="K65" s="2490" t="s">
        <v>2238</v>
      </c>
      <c r="L65" s="1746">
        <f ca="1">IF(M49&gt;1000,M49*0.1%,IF(AND(M49&gt;500,M49&lt;=1000),M49*0.5%,IF(AND(M49&gt;50,M49&lt;=500),M49*1%,IF(AND(M49&gt;1,M49&lt;=50),M49*1.5%))))</f>
        <v>134.77000000000001</v>
      </c>
      <c r="M65" s="24">
        <f t="shared" ca="1" si="1"/>
        <v>134.80000000000001</v>
      </c>
      <c r="N65" s="138" t="s">
        <v>2236</v>
      </c>
      <c r="Z65" s="2414"/>
      <c r="AI65" s="2415"/>
    </row>
    <row r="66" spans="1:35" ht="14.25" customHeight="1">
      <c r="A66" s="203" t="s">
        <v>772</v>
      </c>
      <c r="B66" s="204" t="s">
        <v>2239</v>
      </c>
      <c r="C66" s="205"/>
      <c r="D66" s="206" t="s">
        <v>32</v>
      </c>
      <c r="E66" s="1770" t="s">
        <v>1366</v>
      </c>
      <c r="F66" s="2480"/>
      <c r="G66" s="2480"/>
      <c r="H66" s="2488"/>
      <c r="I66" s="138"/>
      <c r="J66" s="3167"/>
      <c r="K66" s="2490" t="s">
        <v>2240</v>
      </c>
      <c r="L66" s="1746">
        <f ca="1">M49*0.5%</f>
        <v>673.85</v>
      </c>
      <c r="M66" s="24">
        <f ca="1">IF(L66&gt;0.5,0.5,ROUND(L66,0))</f>
        <v>0.5</v>
      </c>
      <c r="N66" s="138" t="s">
        <v>2241</v>
      </c>
      <c r="Z66" s="2414"/>
      <c r="AI66" s="2415"/>
    </row>
    <row r="67" spans="1:35" ht="14.25" customHeight="1">
      <c r="A67" s="203" t="s">
        <v>773</v>
      </c>
      <c r="B67" s="204" t="s">
        <v>2242</v>
      </c>
      <c r="C67" s="207">
        <f ca="1">C63-C66</f>
        <v>148118</v>
      </c>
      <c r="D67" s="200" t="s">
        <v>32</v>
      </c>
      <c r="E67" s="201"/>
      <c r="F67" s="2480"/>
      <c r="G67" s="2480"/>
      <c r="H67" s="2488"/>
      <c r="I67" s="138"/>
      <c r="J67" s="3167"/>
      <c r="K67" s="2490" t="s">
        <v>2243</v>
      </c>
      <c r="L67" s="1746">
        <f ca="1">IF(M49&gt;=10000,(8.25+(M49-10000)*0.01%),IF(AND(M49&gt;=8000,M49&lt;10000),(7.85+(M49-8000)*0.02%),IF(AND(M49&gt;=5000,M49&lt;8000),(6.65+(M49-5000)*0.04%),IF(AND(M49&gt;=2000,M49&lt;5000),(4.25+(PM49-2000)*0.08%),IF(AND(M49&gt;=1000,M49&lt;2000),(2.75+(M49-1000)*0.15%),IF(AND(M49&gt;=100,M49&lt;1000),(0.5+(M49-100)*0.25%),IF(AND(M49&gt;0,M49&lt;100),M49*0.5%)))))))</f>
        <v>20.727</v>
      </c>
      <c r="M67" s="24">
        <f ca="1">ROUND(L67*0.9,1)</f>
        <v>18.7</v>
      </c>
      <c r="Z67" s="2414"/>
      <c r="AI67" s="2415"/>
    </row>
    <row r="68" spans="1:35" ht="14.25" customHeight="1" thickBot="1">
      <c r="A68" s="208" t="s">
        <v>774</v>
      </c>
      <c r="B68" s="209" t="s">
        <v>2244</v>
      </c>
      <c r="C68" s="210">
        <f ca="1">IF(C67&lt;=0,0,ROUND(C67*D68,0))</f>
        <v>8295</v>
      </c>
      <c r="D68" s="211">
        <f>'数据-取费表'!B41</f>
        <v>5.6000000000000001E-2</v>
      </c>
      <c r="E68" s="212"/>
      <c r="F68" s="2480"/>
      <c r="G68" s="2480"/>
      <c r="H68" s="2488"/>
      <c r="I68" s="138"/>
      <c r="J68" s="3167"/>
      <c r="K68" s="2490" t="s">
        <v>2245</v>
      </c>
      <c r="L68" s="1746">
        <f ca="1">IF(M49&gt;10000,M49*0.5%,IF(AND(M49&gt;5000,M49&lt;=10000),M49*1%,IF(AND(M49&gt;1000,M49&lt;=5000),M49*2%,IF(AND(M49&gt;200,M49&lt;=1000),M49*3%,M49*5%))))</f>
        <v>673.85</v>
      </c>
      <c r="M68" s="24">
        <f ca="1">ROUND(L68,1)</f>
        <v>673.9</v>
      </c>
      <c r="Z68" s="2414"/>
      <c r="AI68" s="2415"/>
    </row>
    <row r="69" spans="1:35" s="2437" customFormat="1" ht="16.5" customHeight="1">
      <c r="A69" s="2491"/>
      <c r="B69" s="2492"/>
      <c r="C69" s="2493"/>
      <c r="D69" s="2494"/>
      <c r="E69" s="2495"/>
      <c r="F69" s="2157"/>
      <c r="G69" s="2157"/>
      <c r="H69" s="2156"/>
      <c r="I69" s="2409"/>
      <c r="J69" s="3167"/>
      <c r="K69" s="2490" t="s">
        <v>2246</v>
      </c>
      <c r="L69" s="2496"/>
      <c r="M69" s="24">
        <f ca="1">ROUND(SUM(M63:M68),0)</f>
        <v>2176</v>
      </c>
      <c r="N69" s="1747">
        <f ca="1">M69/M49</f>
        <v>1.6146026563775322E-2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214" t="s">
        <v>2247</v>
      </c>
      <c r="B70" s="3215"/>
      <c r="C70" s="3215"/>
      <c r="D70" s="3215"/>
      <c r="E70" s="3215"/>
      <c r="F70" s="3215"/>
      <c r="G70" s="3215"/>
      <c r="H70" s="3215"/>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205" t="s">
        <v>2228</v>
      </c>
      <c r="B71" s="3206"/>
      <c r="C71" s="1798"/>
      <c r="D71" s="1798" t="s">
        <v>2229</v>
      </c>
      <c r="E71" s="213" t="s">
        <v>2230</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2248</v>
      </c>
      <c r="C72" s="207">
        <f ca="1">ROUND(D45/(1+'数据-取费表'!C42),0)</f>
        <v>148118</v>
      </c>
      <c r="D72" s="200" t="s">
        <v>32</v>
      </c>
      <c r="E72" s="1797"/>
      <c r="F72" s="1791"/>
      <c r="G72" s="1791"/>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2249</v>
      </c>
      <c r="C73" s="207">
        <f ca="1">C74+C78</f>
        <v>889</v>
      </c>
      <c r="D73" s="200" t="s">
        <v>32</v>
      </c>
      <c r="E73" s="1797"/>
      <c r="F73" s="1791"/>
      <c r="G73" s="1791"/>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2250</v>
      </c>
      <c r="C74" s="200">
        <f>ROUND(IF(G77="2016年5月1日后购买",C75/(1+'数据-取费表'!C42)+C76+C77,C75+C76+C77),0)</f>
        <v>0</v>
      </c>
      <c r="D74" s="200" t="s">
        <v>32</v>
      </c>
      <c r="E74" s="1797"/>
      <c r="F74" s="1791"/>
      <c r="G74" s="1791"/>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2251</v>
      </c>
      <c r="C75" s="218"/>
      <c r="D75" s="200" t="s">
        <v>32</v>
      </c>
      <c r="E75" s="219" t="s">
        <v>2252</v>
      </c>
      <c r="F75" s="2502" t="s">
        <v>2253</v>
      </c>
      <c r="G75" s="219" t="s">
        <v>2254</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2255</v>
      </c>
      <c r="C76" s="200">
        <f>IF(F75="购房发票",ROUND(C75*H75*D76,0),0)</f>
        <v>0</v>
      </c>
      <c r="D76" s="222">
        <v>0.05</v>
      </c>
      <c r="E76" s="3211" t="s">
        <v>2256</v>
      </c>
      <c r="F76" s="3210"/>
      <c r="G76" s="3210"/>
      <c r="H76" s="3213"/>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2257</v>
      </c>
      <c r="C77" s="200">
        <f>ROUND(IF(G77="个人住宅",0,IF(G77="2016年5月1日前购买",C75*D77,C75*D77/(1+'数据-取费表'!C42))),0)</f>
        <v>0</v>
      </c>
      <c r="D77" s="223">
        <f>'数据-取费表'!B48+'数据-取费表'!B49</f>
        <v>4.0500000000000001E-2</v>
      </c>
      <c r="E77" s="15" t="s">
        <v>2258</v>
      </c>
      <c r="F77" s="224"/>
      <c r="G77" s="2504" t="s">
        <v>2259</v>
      </c>
      <c r="H77" s="1802" t="str">
        <f>IF(G77="个人买卖住房","免征印花税"," ")</f>
        <v xml:space="preserve"> </v>
      </c>
      <c r="I77" s="2501"/>
      <c r="J77" s="3170" t="s">
        <v>3187</v>
      </c>
      <c r="K77" s="3170"/>
      <c r="L77" s="3170"/>
      <c r="M77" s="3170"/>
      <c r="N77" s="2990"/>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thickBot="1">
      <c r="A78" s="217" t="s">
        <v>771</v>
      </c>
      <c r="B78" s="198" t="s">
        <v>2260</v>
      </c>
      <c r="C78" s="225">
        <f ca="1">ROUND(D45*D78/(1+'数据-取费表'!C42),0)</f>
        <v>889</v>
      </c>
      <c r="D78" s="226">
        <f>'数据-取费表'!B43</f>
        <v>6.000000000000001E-3</v>
      </c>
      <c r="E78" s="3202" t="s">
        <v>2261</v>
      </c>
      <c r="F78" s="3203"/>
      <c r="G78" s="3203"/>
      <c r="H78" s="3204"/>
      <c r="I78" s="2505"/>
      <c r="J78" s="2991"/>
      <c r="K78" s="2991"/>
      <c r="L78" s="2991"/>
      <c r="M78" s="2992" t="s">
        <v>3188</v>
      </c>
      <c r="N78" s="2990"/>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2262</v>
      </c>
      <c r="C79" s="207">
        <f ca="1">C72-C73</f>
        <v>147229</v>
      </c>
      <c r="D79" s="200" t="s">
        <v>32</v>
      </c>
      <c r="E79" s="1797"/>
      <c r="F79" s="1791"/>
      <c r="G79" s="1791"/>
      <c r="H79" s="216"/>
      <c r="I79" s="2501"/>
      <c r="J79" s="2993" t="s">
        <v>608</v>
      </c>
      <c r="K79" s="2994" t="s">
        <v>3189</v>
      </c>
      <c r="L79" s="2995" t="s">
        <v>3190</v>
      </c>
      <c r="M79" s="2996" t="s">
        <v>3191</v>
      </c>
      <c r="N79" s="2990"/>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2263</v>
      </c>
      <c r="C80" s="227">
        <f ca="1">IF(C79&lt;=0,0,C79/C73)</f>
        <v>165.61192350956131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1"/>
      <c r="J80" s="2997">
        <v>1</v>
      </c>
      <c r="K80" s="2998" t="s">
        <v>3192</v>
      </c>
      <c r="L80" s="2999" t="s">
        <v>3193</v>
      </c>
      <c r="M80" s="3000">
        <v>698910000</v>
      </c>
      <c r="N80" s="2990"/>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2264</v>
      </c>
      <c r="C81" s="228">
        <f ca="1">ROUND(IF(C79&lt;=0,0,IF(C80&gt;=200%,C79*60%-C73*35%,IF(C80&gt;=100%,C79*50%-C73*15%,IF(C80&gt;=50%,C79*40%-C73*5%,IF(C80&lt;50%,C79*30%,0))))),0)</f>
        <v>88026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997">
        <v>2</v>
      </c>
      <c r="K81" s="3001" t="s">
        <v>3194</v>
      </c>
      <c r="L81" s="2999" t="s">
        <v>3195</v>
      </c>
      <c r="M81" s="3002">
        <v>100000000</v>
      </c>
      <c r="N81" s="3003"/>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997"/>
      <c r="K82" s="3001"/>
      <c r="L82" s="2999"/>
      <c r="M82" s="3002"/>
      <c r="N82" s="3003"/>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14" t="s">
        <v>2265</v>
      </c>
      <c r="B83" s="3215"/>
      <c r="C83" s="3215"/>
      <c r="D83" s="3215"/>
      <c r="E83" s="3215"/>
      <c r="F83" s="3215"/>
      <c r="G83" s="3215"/>
      <c r="H83" s="3215"/>
      <c r="I83" s="2503"/>
      <c r="J83" s="3171" t="s">
        <v>3196</v>
      </c>
      <c r="K83" s="3171"/>
      <c r="L83" s="3004"/>
      <c r="M83" s="3002">
        <f>SUM(M80:M82)</f>
        <v>798910000</v>
      </c>
      <c r="N83" s="3003"/>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205" t="s">
        <v>2228</v>
      </c>
      <c r="B84" s="3206"/>
      <c r="C84" s="1798"/>
      <c r="D84" s="1798" t="s">
        <v>2229</v>
      </c>
      <c r="E84" s="213" t="s">
        <v>2230</v>
      </c>
      <c r="F84" s="214"/>
      <c r="G84" s="214"/>
      <c r="H84" s="233"/>
      <c r="I84" s="2503"/>
      <c r="J84" s="3003"/>
      <c r="K84" s="3003"/>
      <c r="L84" s="3003"/>
      <c r="M84" s="3003"/>
      <c r="N84" s="3003"/>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2248</v>
      </c>
      <c r="C85" s="207">
        <f ca="1">ROUND(D45/(1+'数据-取费表'!C42),0)</f>
        <v>148118</v>
      </c>
      <c r="D85" s="200" t="s">
        <v>32</v>
      </c>
      <c r="E85" s="1797"/>
      <c r="F85" s="1791"/>
      <c r="G85" s="1791"/>
      <c r="H85" s="234"/>
      <c r="I85" s="2503"/>
      <c r="J85" s="3003"/>
      <c r="K85" s="3003"/>
      <c r="L85" s="3003"/>
      <c r="M85" s="3003">
        <f>M83/10000</f>
        <v>79891</v>
      </c>
      <c r="N85" s="3003"/>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2249</v>
      </c>
      <c r="C86" s="207">
        <f ca="1">IF(H88="仅含出让金",C87+C90+C91+C92+C93+C94,C87+C91+C92+C93+C94)</f>
        <v>111987</v>
      </c>
      <c r="D86" s="235"/>
      <c r="E86" s="1797"/>
      <c r="F86" s="1791"/>
      <c r="G86" s="1791"/>
      <c r="H86" s="234"/>
      <c r="I86" s="2503"/>
      <c r="J86" s="3003"/>
      <c r="K86" s="3003"/>
      <c r="L86" s="3003"/>
      <c r="M86" s="3003"/>
      <c r="N86" s="3003"/>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2266</v>
      </c>
      <c r="C87" s="225">
        <f>C88+C89</f>
        <v>16349</v>
      </c>
      <c r="D87" s="226"/>
      <c r="E87" s="1793"/>
      <c r="F87" s="1794"/>
      <c r="G87" s="1794"/>
      <c r="H87" s="1796"/>
      <c r="I87" s="2503"/>
      <c r="J87" s="3003"/>
      <c r="K87" s="3003"/>
      <c r="L87" s="3003"/>
      <c r="M87" s="3003"/>
      <c r="N87" s="3003"/>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2267</v>
      </c>
      <c r="C88" s="236">
        <f>ROUND(成本计算!I3*成本计算!L2/成本计算!L1,0)</f>
        <v>15713</v>
      </c>
      <c r="D88" s="226"/>
      <c r="E88" s="237" t="s">
        <v>2268</v>
      </c>
      <c r="F88" s="1794"/>
      <c r="G88" s="238" t="s">
        <v>2269</v>
      </c>
      <c r="H88" s="2508" t="s">
        <v>3214</v>
      </c>
      <c r="I88" s="2503"/>
      <c r="J88" s="3003"/>
      <c r="K88" s="3003"/>
      <c r="L88" s="3003"/>
      <c r="M88" s="3003"/>
      <c r="N88" s="3003"/>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2257</v>
      </c>
      <c r="C89" s="225">
        <f>ROUND(C88*D89,0)</f>
        <v>636</v>
      </c>
      <c r="D89" s="226">
        <f>'数据-取费表'!B48+'数据-取费表'!B49</f>
        <v>4.0500000000000001E-2</v>
      </c>
      <c r="E89" s="237" t="s">
        <v>2270</v>
      </c>
      <c r="F89" s="1794"/>
      <c r="G89" s="1794"/>
      <c r="H89" s="1796"/>
      <c r="I89" s="2503"/>
      <c r="J89" s="3003"/>
      <c r="K89" s="3003"/>
      <c r="L89" s="3003"/>
      <c r="M89" s="3003"/>
      <c r="N89" s="3003"/>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20.25">
      <c r="A90" s="217" t="s">
        <v>771</v>
      </c>
      <c r="B90" s="198" t="s">
        <v>2271</v>
      </c>
      <c r="C90" s="236">
        <f>ROUND(成本计算!I12*成本计算!L2/成本计算!L1,0)</f>
        <v>49393</v>
      </c>
      <c r="D90" s="226"/>
      <c r="E90" s="237" t="str">
        <f>IF(H88="-","土地取得成本中已包含该笔费用"," ")</f>
        <v xml:space="preserve"> </v>
      </c>
      <c r="F90" s="1794"/>
      <c r="G90" s="1794"/>
      <c r="H90" s="1796"/>
      <c r="I90" s="2503"/>
      <c r="J90" s="3003"/>
      <c r="K90" s="3172" t="s">
        <v>3197</v>
      </c>
      <c r="L90" s="3172"/>
      <c r="M90" s="3172"/>
      <c r="N90" s="3172"/>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2272</v>
      </c>
      <c r="B91" s="198" t="s">
        <v>2273</v>
      </c>
      <c r="C91" s="225">
        <f>IF(H91="——",成本法!C33,I91)</f>
        <v>19718</v>
      </c>
      <c r="D91" s="226"/>
      <c r="E91" s="3202" t="s">
        <v>2274</v>
      </c>
      <c r="F91" s="3203"/>
      <c r="G91" s="3203"/>
      <c r="H91" s="2509" t="s">
        <v>3183</v>
      </c>
      <c r="I91" s="3018">
        <f>ROUND(成本计算!I15*成本计算!L2/成本计算!L1,0)</f>
        <v>19718</v>
      </c>
      <c r="J91" s="3003"/>
      <c r="K91" s="3003"/>
      <c r="L91" s="3003"/>
      <c r="M91" s="3003"/>
      <c r="N91" s="3003"/>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2275</v>
      </c>
      <c r="B92" s="198" t="s">
        <v>2276</v>
      </c>
      <c r="C92" s="225">
        <f>ROUND((C87+C90+C91)*D92,0)</f>
        <v>8546</v>
      </c>
      <c r="D92" s="226">
        <v>0.1</v>
      </c>
      <c r="E92" s="3202" t="s">
        <v>2277</v>
      </c>
      <c r="F92" s="3203"/>
      <c r="G92" s="3203"/>
      <c r="H92" s="3204"/>
      <c r="I92" s="2503"/>
      <c r="J92" s="3005" t="s">
        <v>3198</v>
      </c>
      <c r="K92" s="3006" t="s">
        <v>3199</v>
      </c>
      <c r="L92" s="3007" t="s">
        <v>3200</v>
      </c>
      <c r="M92" s="3008" t="s">
        <v>3201</v>
      </c>
      <c r="N92" s="3003"/>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2278</v>
      </c>
      <c r="B93" s="198" t="s">
        <v>2260</v>
      </c>
      <c r="C93" s="225">
        <f ca="1">ROUND(D45*D93/(1+'数据-取费表'!C42),0)</f>
        <v>889</v>
      </c>
      <c r="D93" s="226">
        <f>'数据-取费表'!B43</f>
        <v>6.000000000000001E-3</v>
      </c>
      <c r="E93" s="3202" t="s">
        <v>2261</v>
      </c>
      <c r="F93" s="3203"/>
      <c r="G93" s="3203"/>
      <c r="H93" s="3204"/>
      <c r="I93" s="2503"/>
      <c r="J93" s="3005">
        <v>1</v>
      </c>
      <c r="K93" s="3006" t="s">
        <v>3202</v>
      </c>
      <c r="L93" s="3009">
        <v>356375052.22999996</v>
      </c>
      <c r="M93" s="3010" t="s">
        <v>3203</v>
      </c>
      <c r="N93" s="3003"/>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2279</v>
      </c>
      <c r="B94" s="198" t="s">
        <v>2280</v>
      </c>
      <c r="C94" s="236">
        <f>ROUND((C87+C90+C91)*D94,0)</f>
        <v>17092</v>
      </c>
      <c r="D94" s="226">
        <v>0.2</v>
      </c>
      <c r="E94" s="3250" t="s">
        <v>2281</v>
      </c>
      <c r="F94" s="3251"/>
      <c r="G94" s="3251"/>
      <c r="H94" s="3252"/>
      <c r="I94" s="2503"/>
      <c r="J94" s="3005">
        <v>2</v>
      </c>
      <c r="K94" s="3006" t="s">
        <v>3204</v>
      </c>
      <c r="L94" s="3011">
        <v>52403173.649999999</v>
      </c>
      <c r="M94" s="3010" t="s">
        <v>3205</v>
      </c>
      <c r="N94" s="3003"/>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2262</v>
      </c>
      <c r="C95" s="207">
        <f ca="1">ROUND(C85-C86,0)</f>
        <v>36131</v>
      </c>
      <c r="D95" s="200" t="s">
        <v>32</v>
      </c>
      <c r="E95" s="1797"/>
      <c r="F95" s="1791"/>
      <c r="G95" s="1791"/>
      <c r="H95" s="234"/>
      <c r="I95" s="2503"/>
      <c r="J95" s="3005">
        <v>3</v>
      </c>
      <c r="K95" s="3012" t="s">
        <v>3184</v>
      </c>
      <c r="L95" s="3011">
        <v>1168730000</v>
      </c>
      <c r="M95" s="3010" t="s">
        <v>3206</v>
      </c>
      <c r="N95" s="3003"/>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2263</v>
      </c>
      <c r="C96" s="227">
        <f ca="1">IF(C95&lt;=0,0,C95/C86)</f>
        <v>0.32263566306803471</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1"/>
      <c r="G96" s="1791"/>
      <c r="H96" s="234"/>
      <c r="I96" s="2503"/>
      <c r="J96" s="3005">
        <v>4</v>
      </c>
      <c r="K96" s="3013" t="s">
        <v>3185</v>
      </c>
      <c r="L96" s="3011">
        <f>[3]支付土地出让金合计!$E$20</f>
        <v>50299955.039999999</v>
      </c>
      <c r="M96" s="3010" t="s">
        <v>3206</v>
      </c>
      <c r="N96" s="3003"/>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2264</v>
      </c>
      <c r="C97" s="228">
        <f ca="1">ROUND(IF(C95&lt;=0,0,IF(C96&gt;=200%,C95*60%-C86*35%,IF(C96&gt;=100%,C95*50%-C86*15%,IF(C96&gt;=50%,C95*40%-C86*5%,IF(C96&lt;50%,C95*30%,0))))),0)</f>
        <v>10839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03"/>
      <c r="J97" s="3005">
        <v>5</v>
      </c>
      <c r="K97" s="3012" t="s">
        <v>3207</v>
      </c>
      <c r="L97" s="3011">
        <v>114911443.90000001</v>
      </c>
      <c r="M97" s="3010" t="s">
        <v>3206</v>
      </c>
      <c r="N97" s="3003"/>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c r="J98" s="3005">
        <v>6</v>
      </c>
      <c r="K98" s="3014" t="s">
        <v>3208</v>
      </c>
      <c r="L98" s="3011">
        <v>579749427.42999995</v>
      </c>
      <c r="M98" s="3010" t="s">
        <v>3206</v>
      </c>
      <c r="N98" s="3003"/>
    </row>
    <row r="99" spans="1:35" ht="21.75" customHeight="1" thickBot="1">
      <c r="A99" s="2465" t="s">
        <v>2282</v>
      </c>
      <c r="B99" s="2409"/>
      <c r="C99" s="2409"/>
      <c r="D99" s="2409"/>
      <c r="E99" s="2157"/>
      <c r="F99" s="2157"/>
      <c r="G99" s="2157"/>
      <c r="H99" s="2156"/>
      <c r="I99" s="138"/>
      <c r="J99" s="3005">
        <v>7</v>
      </c>
      <c r="K99" s="3012" t="s">
        <v>3186</v>
      </c>
      <c r="L99" s="3015">
        <v>213201336.18000001</v>
      </c>
      <c r="M99" s="3010" t="s">
        <v>3206</v>
      </c>
      <c r="N99" s="3003"/>
    </row>
    <row r="100" spans="1:35" ht="18.75" customHeight="1">
      <c r="A100" s="3151" t="s">
        <v>2283</v>
      </c>
      <c r="B100" s="3152"/>
      <c r="C100" s="3152"/>
      <c r="D100" s="3186"/>
      <c r="E100" s="3152" t="s">
        <v>2284</v>
      </c>
      <c r="F100" s="3152"/>
      <c r="G100" s="3152"/>
      <c r="H100" s="3186"/>
      <c r="I100" s="138"/>
      <c r="J100" s="3005">
        <v>8</v>
      </c>
      <c r="K100" s="3012" t="s">
        <v>3209</v>
      </c>
      <c r="L100" s="3011">
        <v>300527121.81999999</v>
      </c>
      <c r="M100" s="3010" t="s">
        <v>3206</v>
      </c>
      <c r="N100" s="3003"/>
    </row>
    <row r="101" spans="1:35" ht="18.75" customHeight="1">
      <c r="A101" s="3194" t="s">
        <v>2285</v>
      </c>
      <c r="B101" s="3195"/>
      <c r="C101" s="736" t="str">
        <f>C4</f>
        <v>成本法</v>
      </c>
      <c r="D101" s="737" t="str">
        <f>D4</f>
        <v>假设开发法</v>
      </c>
      <c r="E101" s="3163" t="s">
        <v>2286</v>
      </c>
      <c r="F101" s="3164"/>
      <c r="G101" s="2510" t="s">
        <v>2287</v>
      </c>
      <c r="H101" s="1042">
        <f ca="1">H118</f>
        <v>155524</v>
      </c>
      <c r="I101" s="138"/>
      <c r="J101" s="3005">
        <v>9</v>
      </c>
      <c r="K101" s="3012" t="s">
        <v>3210</v>
      </c>
      <c r="L101" s="3011">
        <v>82005277.650000006</v>
      </c>
      <c r="M101" s="3010" t="s">
        <v>3206</v>
      </c>
      <c r="N101" s="3003"/>
    </row>
    <row r="102" spans="1:35" ht="18.75" customHeight="1">
      <c r="A102" s="3196" t="s">
        <v>2288</v>
      </c>
      <c r="B102" s="2510" t="s">
        <v>2287</v>
      </c>
      <c r="C102" s="736">
        <f ca="1">C19</f>
        <v>169390</v>
      </c>
      <c r="D102" s="737">
        <f ca="1">D19</f>
        <v>141658</v>
      </c>
      <c r="E102" s="3163"/>
      <c r="F102" s="3164"/>
      <c r="G102" s="2510" t="s">
        <v>2289</v>
      </c>
      <c r="H102" s="371">
        <f ca="1">I118</f>
        <v>12943</v>
      </c>
      <c r="I102" s="138"/>
      <c r="J102" s="3005">
        <v>10</v>
      </c>
      <c r="K102" s="3012" t="s">
        <v>3211</v>
      </c>
      <c r="L102" s="3011">
        <v>19317443.600000001</v>
      </c>
      <c r="M102" s="3010" t="s">
        <v>3206</v>
      </c>
      <c r="N102" s="3003"/>
    </row>
    <row r="103" spans="1:35" ht="42.75" customHeight="1">
      <c r="A103" s="3196"/>
      <c r="B103" s="2510" t="s">
        <v>2289</v>
      </c>
      <c r="C103" s="738">
        <f ca="1">C20</f>
        <v>14097</v>
      </c>
      <c r="D103" s="739">
        <f ca="1">D20</f>
        <v>11789</v>
      </c>
      <c r="E103" s="3157" t="s">
        <v>2290</v>
      </c>
      <c r="F103" s="3158"/>
      <c r="G103" s="2511" t="s">
        <v>2291</v>
      </c>
      <c r="H103" s="1042">
        <f>IF(D36="正常操作",H104+H105+H106,H105+H106)</f>
        <v>20754</v>
      </c>
      <c r="I103" s="138"/>
      <c r="J103" s="3005">
        <v>11</v>
      </c>
      <c r="K103" s="3012" t="s">
        <v>3212</v>
      </c>
      <c r="L103" s="3015">
        <v>85635168.5</v>
      </c>
      <c r="M103" s="3010" t="s">
        <v>3206</v>
      </c>
      <c r="N103" s="3003"/>
    </row>
    <row r="104" spans="1:35" ht="18.75" customHeight="1">
      <c r="A104" s="3196" t="s">
        <v>2292</v>
      </c>
      <c r="B104" s="2512" t="s">
        <v>2287</v>
      </c>
      <c r="C104" s="740">
        <f ca="1">H118</f>
        <v>155524</v>
      </c>
      <c r="D104" s="741"/>
      <c r="E104" s="2258" t="s">
        <v>2293</v>
      </c>
      <c r="F104" s="2249"/>
      <c r="G104" s="2511" t="s">
        <v>2291</v>
      </c>
      <c r="H104" s="1043">
        <f>IF(D36="同一抵押权人同一抵押物续贷",C36&amp;"（未扣减，详见特别提示）",C36)</f>
        <v>0</v>
      </c>
      <c r="I104" s="138"/>
      <c r="J104" s="3016"/>
      <c r="K104" s="3006" t="s">
        <v>3213</v>
      </c>
      <c r="L104" s="3015">
        <f>SUM(L93:L103)</f>
        <v>3023155400</v>
      </c>
      <c r="M104" s="3017"/>
      <c r="N104" s="3003"/>
    </row>
    <row r="105" spans="1:35" ht="18.75" customHeight="1" thickBot="1">
      <c r="A105" s="3208"/>
      <c r="B105" s="2513" t="s">
        <v>2289</v>
      </c>
      <c r="C105" s="742">
        <f ca="1">I118</f>
        <v>12943</v>
      </c>
      <c r="D105" s="743"/>
      <c r="E105" s="2258" t="s">
        <v>2294</v>
      </c>
      <c r="F105" s="2249"/>
      <c r="G105" s="2511" t="s">
        <v>2291</v>
      </c>
      <c r="H105" s="1043">
        <f>C37</f>
        <v>8515</v>
      </c>
      <c r="I105" s="138"/>
    </row>
    <row r="106" spans="1:35" ht="18.75" customHeight="1">
      <c r="A106" s="2409" t="s">
        <v>2295</v>
      </c>
      <c r="B106" s="2409"/>
      <c r="C106" s="2409"/>
      <c r="D106" s="2409"/>
      <c r="E106" s="2514" t="s">
        <v>2296</v>
      </c>
      <c r="F106" s="2249"/>
      <c r="G106" s="2511" t="s">
        <v>2291</v>
      </c>
      <c r="H106" s="1043">
        <f>C38</f>
        <v>12239</v>
      </c>
      <c r="I106" s="138"/>
    </row>
    <row r="107" spans="1:35" ht="18.75" customHeight="1">
      <c r="A107" s="138"/>
      <c r="B107" s="138"/>
      <c r="C107" s="138"/>
      <c r="D107" s="138"/>
      <c r="E107" s="3197" t="str">
        <f>IF(项目基本情况!E8="已注销","——","3.房地产抵押价值")</f>
        <v>3.房地产抵押价值</v>
      </c>
      <c r="F107" s="3164"/>
      <c r="G107" s="2510" t="s">
        <v>2287</v>
      </c>
      <c r="H107" s="1042">
        <f ca="1">IF(E107="——","——",H101-H103)</f>
        <v>134770</v>
      </c>
      <c r="I107" s="138"/>
      <c r="K107" s="3020" t="e">
        <f>ROUND(L107/L108,2)</f>
        <v>#DIV/0!</v>
      </c>
      <c r="L107" s="795">
        <f>'数据-汇总表'!F31</f>
        <v>120164.37999999998</v>
      </c>
    </row>
    <row r="108" spans="1:35" ht="18.75" customHeight="1">
      <c r="A108" s="138"/>
      <c r="B108" s="138"/>
      <c r="C108" s="138"/>
      <c r="D108" s="138"/>
      <c r="E108" s="3197"/>
      <c r="F108" s="3164"/>
      <c r="G108" s="2510" t="s">
        <v>2289</v>
      </c>
      <c r="H108" s="371">
        <f ca="1">ROUND(H107*10000/'数据-汇总表'!E3,0)</f>
        <v>11215</v>
      </c>
      <c r="I108" s="138"/>
      <c r="L108" s="795">
        <f>面积!P17</f>
        <v>0</v>
      </c>
    </row>
    <row r="109" spans="1:35" ht="18.75" customHeight="1">
      <c r="A109" s="138"/>
      <c r="B109" s="138"/>
      <c r="C109" s="138"/>
      <c r="D109" s="138"/>
      <c r="E109" s="3197" t="str">
        <f>IF(项目基本情况!E8="已注销及未注销","4.抵押担保权已注销时的房地产抵押价值",IF(项目基本情况!E8="已注销","3.抵押担保权已注销时的房地产抵押价值","——"))</f>
        <v>——</v>
      </c>
      <c r="F109" s="3164"/>
      <c r="G109" s="2510" t="s">
        <v>2287</v>
      </c>
      <c r="H109" s="348" t="str">
        <f>IF(E109="——","——",H101-H105-H106)</f>
        <v>——</v>
      </c>
      <c r="I109" s="138"/>
    </row>
    <row r="110" spans="1:35" ht="18.75" customHeight="1">
      <c r="A110" s="138"/>
      <c r="B110" s="138"/>
      <c r="C110" s="138"/>
      <c r="D110" s="138"/>
      <c r="E110" s="3197"/>
      <c r="F110" s="3164"/>
      <c r="G110" s="2510" t="s">
        <v>2289</v>
      </c>
      <c r="H110" s="371" t="str">
        <f>IF(H109="——","——",ROUND(H109*10000/'数据-汇总表'!E3,0))</f>
        <v>——</v>
      </c>
      <c r="I110" s="138"/>
    </row>
    <row r="111" spans="1:35" ht="18.75" customHeight="1">
      <c r="A111" s="138"/>
      <c r="B111" s="138"/>
      <c r="C111" s="138"/>
      <c r="D111" s="138"/>
      <c r="E111" s="3198" t="str">
        <f>IF(项目基本情况!E9="抵押净值",IF(OR(项目基本情况!E8="已注销",项目基本情况!E8="房地产抵押价值"),"4.抵押净值","5.抵押净值"),"——")</f>
        <v>——</v>
      </c>
      <c r="F111" s="3199"/>
      <c r="G111" s="2510" t="s">
        <v>2287</v>
      </c>
      <c r="H111" s="1042" t="str">
        <f>IF(E111="——","——",N59)</f>
        <v>——</v>
      </c>
      <c r="I111" s="138"/>
    </row>
    <row r="112" spans="1:35" ht="18.75" customHeight="1" thickBot="1">
      <c r="A112" s="138"/>
      <c r="B112" s="138"/>
      <c r="C112" s="138"/>
      <c r="D112" s="138"/>
      <c r="E112" s="3200"/>
      <c r="F112" s="3201"/>
      <c r="G112" s="2515" t="s">
        <v>2289</v>
      </c>
      <c r="H112" s="790" t="str">
        <f>IF(E111="——","——",N61)</f>
        <v>——</v>
      </c>
      <c r="I112" s="138"/>
    </row>
    <row r="113" spans="1:11" ht="18.75" customHeight="1">
      <c r="A113" s="138"/>
      <c r="B113" s="138"/>
      <c r="C113" s="138"/>
      <c r="D113" s="138"/>
      <c r="E113" s="3209" t="s">
        <v>2295</v>
      </c>
      <c r="F113" s="3209"/>
      <c r="G113" s="3209"/>
      <c r="H113" s="3209"/>
      <c r="I113" s="138"/>
    </row>
    <row r="114" spans="1:11" ht="3.75" customHeight="1">
      <c r="A114" s="2409"/>
      <c r="B114" s="2409"/>
      <c r="C114" s="2409"/>
      <c r="D114" s="2409"/>
      <c r="E114" s="2487"/>
      <c r="F114" s="2487"/>
      <c r="G114" s="2487"/>
      <c r="H114" s="2487"/>
      <c r="I114" s="2409"/>
    </row>
    <row r="115" spans="1:11" ht="18.75" customHeight="1">
      <c r="A115" s="3222" t="s">
        <v>2297</v>
      </c>
      <c r="B115" s="3223"/>
      <c r="C115" s="3223"/>
      <c r="D115" s="3223"/>
      <c r="E115" s="3223"/>
      <c r="F115" s="3223"/>
      <c r="G115" s="3223"/>
      <c r="H115" s="3223"/>
      <c r="I115" s="3224"/>
    </row>
    <row r="116" spans="1:11" ht="27" customHeight="1">
      <c r="A116" s="3125" t="s">
        <v>2298</v>
      </c>
      <c r="B116" s="3176" t="s">
        <v>2299</v>
      </c>
      <c r="C116" s="3176" t="s">
        <v>2300</v>
      </c>
      <c r="D116" s="3182" t="s">
        <v>2301</v>
      </c>
      <c r="E116" s="3183"/>
      <c r="F116" s="3218" t="s">
        <v>2302</v>
      </c>
      <c r="G116" s="3218"/>
      <c r="H116" s="3125" t="s">
        <v>2303</v>
      </c>
      <c r="I116" s="3125"/>
    </row>
    <row r="117" spans="1:11" ht="18.75" customHeight="1">
      <c r="A117" s="3125"/>
      <c r="B117" s="3177"/>
      <c r="C117" s="3177"/>
      <c r="D117" s="1792" t="s">
        <v>2304</v>
      </c>
      <c r="E117" s="1792" t="s">
        <v>2305</v>
      </c>
      <c r="F117" s="1792" t="s">
        <v>2304</v>
      </c>
      <c r="G117" s="1792" t="s">
        <v>2306</v>
      </c>
      <c r="H117" s="1792" t="s">
        <v>2304</v>
      </c>
      <c r="I117" s="1792" t="s">
        <v>2306</v>
      </c>
    </row>
    <row r="118" spans="1:11" ht="24.75" customHeight="1">
      <c r="A118" s="2516" t="str">
        <f>项目基本情况!S2</f>
        <v>河南省郑州市金水区红旗路北、经七路东“恒祥百悦城一号院”项目局部住宅、办公（公寓）、商业用房出让国有建设用地使用权及在建建筑物房地产</v>
      </c>
      <c r="B118" s="1792">
        <f>M18</f>
        <v>120164.37999999998</v>
      </c>
      <c r="C118" s="1792">
        <f>M19</f>
        <v>20565.18</v>
      </c>
      <c r="D118" s="1792">
        <f ca="1">ROUND(IF(D32="总价",C34,E118*B118/10000),0)</f>
        <v>128152</v>
      </c>
      <c r="E118" s="1792">
        <f ca="1">ROUND(IF(C33="自定义",IF(D32="楼面单价",C34,D118*10000/B118),I118-G118),0)</f>
        <v>10665</v>
      </c>
      <c r="F118" s="1792">
        <f ca="1">ROUND(IF(D32="总价",C35,G118*B118/10000),0)</f>
        <v>27372</v>
      </c>
      <c r="G118" s="1792">
        <f ca="1">ROUND(IF(D32="楼面单价",C35,F118*10000/B118),0)</f>
        <v>2278</v>
      </c>
      <c r="H118" s="1792">
        <f ca="1">ROUND(IF(D32="总价",C32,I118*B118/10000),0)</f>
        <v>155524</v>
      </c>
      <c r="I118" s="1792">
        <f ca="1">ROUND(IF(D32="楼面单价",C32,H118*10000/B118),0)</f>
        <v>12943</v>
      </c>
    </row>
    <row r="119" spans="1:11" ht="18.75" customHeight="1">
      <c r="A119" s="3125" t="s">
        <v>2307</v>
      </c>
      <c r="B119" s="3125"/>
      <c r="C119" s="3125"/>
      <c r="D119" s="3178" t="str">
        <f ca="1">NUMBERSTRING(INT(D118*10000),2)&amp;"元整"</f>
        <v>壹拾贰亿捌仟壹佰伍拾贰万元整</v>
      </c>
      <c r="E119" s="3179"/>
      <c r="F119" s="3178" t="str">
        <f ca="1">NUMBERSTRING(INT(F118*10000),2)&amp;"元整"</f>
        <v>贰亿柒仟叁佰柒拾贰万元整</v>
      </c>
      <c r="G119" s="3179"/>
      <c r="H119" s="3178" t="str">
        <f ca="1">NUMBERSTRING(INT(H118*10000),2)&amp;"元整"</f>
        <v>壹拾伍亿伍仟伍佰贰拾肆万元整</v>
      </c>
      <c r="I119" s="3179"/>
    </row>
    <row r="120" spans="1:11" ht="18.75" customHeight="1">
      <c r="A120" s="3173" t="str">
        <f>IF(项目基本情况!B9="房地产市场价值","",MID(E103,3,LEN(E103)-2))</f>
        <v>估价师知悉的法定优先受偿款</v>
      </c>
      <c r="B120" s="3174"/>
      <c r="C120" s="3175"/>
      <c r="D120" s="3173">
        <f>H103</f>
        <v>20754</v>
      </c>
      <c r="E120" s="3174"/>
      <c r="F120" s="3174"/>
      <c r="G120" s="3174"/>
      <c r="H120" s="3174"/>
      <c r="I120" s="3175"/>
      <c r="K120" s="2414" t="str">
        <f>IF(D120=0,"故，本次评估不存在"&amp;A120,"故，本次评估"&amp;A120&amp;"为人民币"&amp;D120&amp;"万元整。")</f>
        <v>故，本次评估估价师知悉的法定优先受偿款为人民币20754万元整。</v>
      </c>
    </row>
    <row r="121" spans="1:11" ht="18.75" customHeight="1">
      <c r="A121" s="3219" t="s">
        <v>2307</v>
      </c>
      <c r="B121" s="3220"/>
      <c r="C121" s="3221"/>
      <c r="D121" s="3178" t="str">
        <f>IF(D120=0,"零元整",NUMBERSTRING(INT(D120*10000),2)&amp;"元整")</f>
        <v>贰亿零柒佰伍拾肆万元整</v>
      </c>
      <c r="E121" s="3180"/>
      <c r="F121" s="3180"/>
      <c r="G121" s="3180"/>
      <c r="H121" s="3180"/>
      <c r="I121" s="3179"/>
    </row>
    <row r="122" spans="1:11" ht="18.75" customHeight="1">
      <c r="A122" s="3184" t="str">
        <f>IF(项目基本情况!B9="房地产市场价值","",MID(E107,3,LEN(E107)-2))</f>
        <v>房地产抵押价值</v>
      </c>
      <c r="B122" s="3184"/>
      <c r="C122" s="3184"/>
      <c r="D122" s="3173">
        <f ca="1">H107</f>
        <v>134770</v>
      </c>
      <c r="E122" s="3174"/>
      <c r="F122" s="3174"/>
      <c r="G122" s="3174"/>
      <c r="H122" s="3174"/>
      <c r="I122" s="3175"/>
    </row>
    <row r="123" spans="1:11" ht="18.75" customHeight="1">
      <c r="A123" s="3125" t="s">
        <v>2307</v>
      </c>
      <c r="B123" s="3125"/>
      <c r="C123" s="3125"/>
      <c r="D123" s="3178" t="str">
        <f ca="1">NUMBERSTRING(INT(D122*10000),2)&amp;"元整"</f>
        <v>壹拾叁亿肆仟柒佰柒拾万元整</v>
      </c>
      <c r="E123" s="3180"/>
      <c r="F123" s="3180"/>
      <c r="G123" s="3180"/>
      <c r="H123" s="3180"/>
      <c r="I123" s="3179"/>
    </row>
    <row r="124" spans="1:11" ht="18.75" customHeight="1">
      <c r="A124" s="3184" t="str">
        <f>IF(项目基本情况!B9="房地产市场价值","",MID(E109,3,LEN(E109)-2))</f>
        <v/>
      </c>
      <c r="B124" s="3184"/>
      <c r="C124" s="3184"/>
      <c r="D124" s="3173" t="str">
        <f>H109</f>
        <v>——</v>
      </c>
      <c r="E124" s="3174"/>
      <c r="F124" s="3174"/>
      <c r="G124" s="3174"/>
      <c r="H124" s="3174"/>
      <c r="I124" s="3175"/>
    </row>
    <row r="125" spans="1:11" ht="18.75" customHeight="1">
      <c r="A125" s="3125" t="s">
        <v>2307</v>
      </c>
      <c r="B125" s="3125"/>
      <c r="C125" s="3125"/>
      <c r="D125" s="3178" t="e">
        <f>NUMBERSTRING(INT(D124*10000),2)&amp;"元整"</f>
        <v>#VALUE!</v>
      </c>
      <c r="E125" s="3180"/>
      <c r="F125" s="3180"/>
      <c r="G125" s="3180"/>
      <c r="H125" s="3180"/>
      <c r="I125" s="3179"/>
    </row>
    <row r="126" spans="1:11" ht="18.75" customHeight="1">
      <c r="A126" s="3184" t="str">
        <f>IF(项目基本情况!B9="房地产市场价值","",MID(E111,3,LEN(E111)-2))</f>
        <v/>
      </c>
      <c r="B126" s="3184"/>
      <c r="C126" s="3184"/>
      <c r="D126" s="3173" t="str">
        <f>H111</f>
        <v>——</v>
      </c>
      <c r="E126" s="3174"/>
      <c r="F126" s="3174"/>
      <c r="G126" s="3174"/>
      <c r="H126" s="3174"/>
      <c r="I126" s="3175"/>
    </row>
    <row r="127" spans="1:11" ht="18.75" customHeight="1">
      <c r="A127" s="3125" t="s">
        <v>2307</v>
      </c>
      <c r="B127" s="3125"/>
      <c r="C127" s="3125"/>
      <c r="D127" s="3178" t="e">
        <f>NUMBERSTRING(INT(D126*10000),2)&amp;"元整"</f>
        <v>#VALUE!</v>
      </c>
      <c r="E127" s="3180"/>
      <c r="F127" s="3180"/>
      <c r="G127" s="3180"/>
      <c r="H127" s="3180"/>
      <c r="I127" s="3179"/>
    </row>
    <row r="128" spans="1:11" ht="21.75" customHeight="1">
      <c r="A128" s="3181" t="s">
        <v>2308</v>
      </c>
      <c r="B128" s="3181"/>
      <c r="C128" s="3181"/>
      <c r="D128" s="3181"/>
      <c r="E128" s="3181"/>
      <c r="F128" s="3181"/>
      <c r="G128" s="3181"/>
      <c r="H128" s="3181"/>
      <c r="I128" s="3181"/>
    </row>
    <row r="129" spans="1:35" ht="21.75" customHeight="1">
      <c r="A129" s="2517" t="s">
        <v>2309</v>
      </c>
      <c r="B129" s="2518"/>
      <c r="C129" s="2519" t="s">
        <v>2310</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5"/>
    </row>
    <row r="135" spans="1:35" ht="21.75" customHeight="1">
      <c r="A135" s="795"/>
      <c r="B135" s="795"/>
      <c r="C135" s="795"/>
      <c r="D135" s="795"/>
      <c r="E135" s="795"/>
      <c r="F135" s="2533" t="s">
        <v>2311</v>
      </c>
      <c r="G135" s="2534"/>
      <c r="H135" s="2534"/>
      <c r="I135" s="2535" t="s">
        <v>2312</v>
      </c>
    </row>
    <row r="136" spans="1:35" ht="21.75" customHeight="1">
      <c r="A136" s="795"/>
      <c r="B136" s="2536"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4"/>
      <c r="C138" s="2534"/>
      <c r="D138" s="2534"/>
      <c r="E138" s="2534"/>
      <c r="F138" s="2534"/>
      <c r="G138" s="2534"/>
      <c r="H138" s="2534"/>
      <c r="I138" s="2535" t="s">
        <v>2314</v>
      </c>
    </row>
    <row r="139" spans="1:35" ht="21.75" customHeight="1">
      <c r="A139" s="795"/>
      <c r="B139" s="2536" t="s">
        <v>2315</v>
      </c>
      <c r="C139" s="795"/>
      <c r="D139" s="795"/>
      <c r="E139" s="795"/>
      <c r="F139" s="795"/>
      <c r="G139" s="795"/>
      <c r="H139" s="795"/>
      <c r="I139" s="795"/>
    </row>
    <row r="140" spans="1:35" ht="21.75" customHeight="1">
      <c r="A140" s="795"/>
      <c r="B140" s="2536"/>
      <c r="C140" s="795"/>
      <c r="D140" s="795"/>
      <c r="E140" s="795"/>
      <c r="F140" s="795"/>
      <c r="G140" s="795"/>
      <c r="H140" s="795"/>
      <c r="I140" s="795"/>
    </row>
    <row r="141" spans="1:35" ht="21.75" customHeight="1">
      <c r="A141" s="795"/>
      <c r="B141" s="2534"/>
      <c r="C141" s="2534"/>
      <c r="D141" s="2534"/>
      <c r="E141" s="2534"/>
      <c r="F141" s="2534"/>
      <c r="G141" s="2534"/>
      <c r="H141" s="2534"/>
      <c r="I141" s="2535" t="s">
        <v>2314</v>
      </c>
    </row>
    <row r="142" spans="1:35" ht="21.75" customHeight="1">
      <c r="A142" s="795"/>
      <c r="B142" s="2536"/>
      <c r="C142" s="2537"/>
      <c r="D142" s="2538"/>
      <c r="E142" s="2538"/>
      <c r="F142" s="2332"/>
      <c r="G142" s="795"/>
      <c r="H142" s="795"/>
      <c r="I142" s="795"/>
    </row>
    <row r="143" spans="1:35" s="139" customFormat="1" ht="21.75" customHeight="1">
      <c r="A143" s="795"/>
      <c r="B143" s="2536"/>
      <c r="C143" s="2537"/>
      <c r="D143" s="2538"/>
      <c r="E143" s="2538"/>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7">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J77:M77"/>
    <mergeCell ref="J83:K83"/>
    <mergeCell ref="K90:N90"/>
  </mergeCells>
  <phoneticPr fontId="9"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23" sqref="E23"/>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59" t="str">
        <f>项目基本情况!B1</f>
        <v>河南省郑州市金水区红旗路北、经七路东“恒祥百悦城一号院”项目局部住宅、办公（公寓）、商业用房出让国有建设用地使用权及在建建筑物房地产抵押价值预评估</v>
      </c>
      <c r="C37" s="3059"/>
      <c r="D37" s="3059"/>
      <c r="E37" s="3059"/>
      <c r="F37" s="3059"/>
      <c r="G37" s="3059"/>
      <c r="H37" s="3059"/>
      <c r="I37" s="3059"/>
    </row>
    <row r="38" spans="1:9">
      <c r="A38" s="1013"/>
      <c r="B38" s="1013"/>
    </row>
    <row r="39" spans="1:9">
      <c r="A39" s="1011" t="s">
        <v>818</v>
      </c>
      <c r="B39" s="1011" t="s">
        <v>820</v>
      </c>
    </row>
    <row r="40" spans="1:9">
      <c r="A40" s="1011"/>
      <c r="B40" s="1938" t="str">
        <f>项目基本情况!B5</f>
        <v>河南恒祥实业有限公司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ht="12.75">
      <c r="B46" s="1938" t="str">
        <f ca="1">项目基本情况!K4</f>
        <v>王鹏（注册号：0)、郑燚（注册号：1120070131)</v>
      </c>
    </row>
    <row r="47" spans="1:9">
      <c r="A47" s="1011"/>
      <c r="B47" s="1011" t="str">
        <f>项目基本情况!K5</f>
        <v/>
      </c>
    </row>
    <row r="48" spans="1:9">
      <c r="A48" s="1011" t="s">
        <v>818</v>
      </c>
      <c r="B48" s="1011"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workbookViewId="0">
      <selection activeCell="B2" sqref="B2"/>
    </sheetView>
  </sheetViews>
  <sheetFormatPr defaultColWidth="9" defaultRowHeight="13.5"/>
  <cols>
    <col min="1" max="1" width="25.5" style="2983" bestFit="1" customWidth="1"/>
    <col min="2" max="2" width="13" style="2983" bestFit="1" customWidth="1"/>
    <col min="3" max="3" width="10.5" style="2983" bestFit="1" customWidth="1"/>
    <col min="4" max="4" width="5.5" style="2983" bestFit="1" customWidth="1"/>
    <col min="5" max="5" width="6.5" style="2983" bestFit="1" customWidth="1"/>
    <col min="6" max="6" width="5.5" style="2983" bestFit="1" customWidth="1"/>
    <col min="7" max="7" width="10.5" style="2983" bestFit="1" customWidth="1"/>
    <col min="8" max="8" width="13" style="2983" bestFit="1" customWidth="1"/>
    <col min="9" max="9" width="6.5" style="2983" bestFit="1" customWidth="1"/>
    <col min="10" max="16384" width="9" style="2983"/>
  </cols>
  <sheetData>
    <row r="1" spans="1:5">
      <c r="A1" s="2984" t="s">
        <v>3175</v>
      </c>
      <c r="B1" s="2984" t="s">
        <v>3240</v>
      </c>
      <c r="C1" s="2984"/>
      <c r="D1" s="2984"/>
    </row>
    <row r="2" spans="1:5">
      <c r="A2" s="2984">
        <f>'[2]数据-汇总表'!$F$27</f>
        <v>70205.22</v>
      </c>
      <c r="B2" s="2984">
        <f>'数据-汇总表'!F27</f>
        <v>120164.37999999998</v>
      </c>
      <c r="C2" s="3029"/>
      <c r="D2" s="2984"/>
    </row>
    <row r="3" spans="1:5">
      <c r="A3" s="2984" t="s">
        <v>3176</v>
      </c>
      <c r="B3" s="2985">
        <f>ROUND((134902301.67)/10000,0)</f>
        <v>13490</v>
      </c>
      <c r="C3" s="2985"/>
      <c r="D3" s="2985"/>
    </row>
    <row r="4" spans="1:5">
      <c r="A4" s="2984" t="s">
        <v>3178</v>
      </c>
      <c r="B4" s="2986">
        <f>ROUND(76925134.58/10000,0)</f>
        <v>7693</v>
      </c>
      <c r="C4" s="2985"/>
      <c r="D4" s="2985"/>
    </row>
    <row r="5" spans="1:5">
      <c r="A5" s="2984" t="s">
        <v>3179</v>
      </c>
      <c r="B5" s="2985" t="s">
        <v>3177</v>
      </c>
      <c r="C5" s="2985" t="s">
        <v>3180</v>
      </c>
      <c r="D5" s="2985" t="s">
        <v>3181</v>
      </c>
    </row>
    <row r="6" spans="1:5">
      <c r="A6" s="2985"/>
      <c r="B6" s="2985">
        <v>400</v>
      </c>
      <c r="C6" s="2985">
        <v>182973.67</v>
      </c>
      <c r="D6" s="2985">
        <f>ROUND(B6*C6/10000,0)</f>
        <v>7319</v>
      </c>
    </row>
    <row r="7" spans="1:5">
      <c r="A7" s="2984" t="s">
        <v>3304</v>
      </c>
      <c r="B7" s="2985" t="s">
        <v>3305</v>
      </c>
      <c r="C7" s="2985" t="s">
        <v>3306</v>
      </c>
      <c r="D7" s="2985" t="s">
        <v>3307</v>
      </c>
    </row>
    <row r="8" spans="1:5">
      <c r="A8" s="2984"/>
      <c r="B8" s="2984">
        <v>2500</v>
      </c>
      <c r="C8" s="2984">
        <f>[2]面积!P16</f>
        <v>17507.23</v>
      </c>
      <c r="D8" s="2985">
        <f>ROUND(B8*C8/10000,0)</f>
        <v>4377</v>
      </c>
    </row>
    <row r="9" spans="1:5">
      <c r="A9" s="2988"/>
      <c r="B9" s="2988" t="s">
        <v>3181</v>
      </c>
      <c r="C9" s="2988"/>
      <c r="D9" s="2988"/>
    </row>
    <row r="10" spans="1:5">
      <c r="A10" s="2989" t="s">
        <v>3182</v>
      </c>
      <c r="B10" s="2989">
        <f>ROUND(B3*B2/(A2+B2),0)</f>
        <v>8515</v>
      </c>
      <c r="C10" s="2989"/>
      <c r="D10" s="2989"/>
      <c r="E10" s="2983">
        <f>B10+[2]优先受偿!$B$10</f>
        <v>13490</v>
      </c>
    </row>
    <row r="11" spans="1:5">
      <c r="A11" s="2989" t="s">
        <v>3308</v>
      </c>
      <c r="B11" s="2989">
        <f>ROUND(B4*B2/(A2+B2),0)</f>
        <v>4856</v>
      </c>
      <c r="C11" s="2989"/>
      <c r="D11" s="2989"/>
      <c r="E11" s="2983">
        <f>B11+[2]优先受偿!$B$11</f>
        <v>7693</v>
      </c>
    </row>
    <row r="12" spans="1:5">
      <c r="A12" s="2989" t="s">
        <v>3309</v>
      </c>
      <c r="B12" s="2989">
        <f>ROUND(D6*B2/(A2+B2),0)</f>
        <v>4620</v>
      </c>
      <c r="C12" s="2989"/>
      <c r="D12" s="2989"/>
      <c r="E12" s="2983">
        <f>B12+[2]优先受偿!$B$12</f>
        <v>7319</v>
      </c>
    </row>
    <row r="13" spans="1:5">
      <c r="A13" s="2989" t="s">
        <v>3310</v>
      </c>
      <c r="B13" s="2989">
        <f>ROUND(D8*B2/(A2+B2),0)</f>
        <v>2763</v>
      </c>
      <c r="C13" s="2989"/>
      <c r="D13" s="2989"/>
      <c r="E13" s="2983">
        <f>B13+[2]优先受偿!$B$13</f>
        <v>4377</v>
      </c>
    </row>
    <row r="14" spans="1:5">
      <c r="A14" s="2989"/>
      <c r="B14" s="2989"/>
      <c r="C14" s="2989"/>
      <c r="D14" s="2989"/>
    </row>
    <row r="19" spans="3:3">
      <c r="C19" s="2987"/>
    </row>
  </sheetData>
  <phoneticPr fontId="14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
  <sheetViews>
    <sheetView topLeftCell="A63" workbookViewId="0">
      <selection activeCell="L67" sqref="L67"/>
    </sheetView>
  </sheetViews>
  <sheetFormatPr defaultRowHeight="13.5"/>
  <cols>
    <col min="8" max="8" width="19.25" bestFit="1" customWidth="1"/>
    <col min="9" max="9" width="16.125" bestFit="1" customWidth="1"/>
    <col min="11" max="11" width="11" bestFit="1" customWidth="1"/>
  </cols>
  <sheetData>
    <row r="1" spans="7:12">
      <c r="G1" s="3019" t="s">
        <v>3242</v>
      </c>
      <c r="H1" s="3019" t="s">
        <v>3248</v>
      </c>
      <c r="I1" s="3027">
        <v>1168730000</v>
      </c>
      <c r="K1" s="2970" t="s">
        <v>3245</v>
      </c>
      <c r="L1">
        <f>面积!AA15-面积!AB14</f>
        <v>282811.76</v>
      </c>
    </row>
    <row r="2" spans="7:12">
      <c r="G2" s="3028"/>
      <c r="H2" s="3028" t="s">
        <v>3247</v>
      </c>
      <c r="I2" s="3027">
        <v>798910000</v>
      </c>
      <c r="K2" s="2970" t="s">
        <v>3246</v>
      </c>
      <c r="L2">
        <f>'数据-汇总表'!F27</f>
        <v>120164.37999999998</v>
      </c>
    </row>
    <row r="3" spans="7:12">
      <c r="G3" s="3028"/>
      <c r="H3" s="3019" t="s">
        <v>3255</v>
      </c>
      <c r="I3" s="3027">
        <f>ROUND((I1-I2)/10000,0)</f>
        <v>36982</v>
      </c>
    </row>
    <row r="5" spans="7:12">
      <c r="G5" s="3019" t="s">
        <v>3243</v>
      </c>
      <c r="H5" s="3019" t="s">
        <v>3249</v>
      </c>
      <c r="I5" s="3027">
        <v>430589854.26999998</v>
      </c>
    </row>
    <row r="6" spans="7:12">
      <c r="G6" s="3028"/>
      <c r="H6" s="3019" t="s">
        <v>3249</v>
      </c>
      <c r="I6" s="3027">
        <v>152808818.72</v>
      </c>
    </row>
    <row r="7" spans="7:12">
      <c r="G7" s="3028"/>
      <c r="H7" s="3019" t="s">
        <v>3250</v>
      </c>
      <c r="I7" s="3027">
        <v>165373081.90000001</v>
      </c>
    </row>
    <row r="8" spans="7:12">
      <c r="G8" s="3028"/>
      <c r="H8" s="3019" t="s">
        <v>3251</v>
      </c>
      <c r="I8" s="3027">
        <v>218795749.71000001</v>
      </c>
    </row>
    <row r="9" spans="7:12">
      <c r="G9" s="3028"/>
      <c r="H9" s="3019" t="s">
        <v>3252</v>
      </c>
      <c r="I9" s="3027">
        <v>144790760.06</v>
      </c>
    </row>
    <row r="10" spans="7:12">
      <c r="G10" s="3028"/>
      <c r="H10" s="3019" t="s">
        <v>3253</v>
      </c>
      <c r="I10" s="3027">
        <v>10699023.300000001</v>
      </c>
    </row>
    <row r="11" spans="7:12">
      <c r="G11" s="3028"/>
      <c r="H11" s="3019" t="s">
        <v>3254</v>
      </c>
      <c r="I11" s="3027">
        <v>39425200</v>
      </c>
    </row>
    <row r="12" spans="7:12">
      <c r="G12" s="3028"/>
      <c r="H12" s="3019" t="s">
        <v>3255</v>
      </c>
      <c r="I12" s="3027">
        <f>ROUND(SUM(I5:I11)/10000,0)</f>
        <v>116248</v>
      </c>
    </row>
    <row r="14" spans="7:12">
      <c r="G14" s="3019" t="s">
        <v>3244</v>
      </c>
      <c r="H14" s="3019" t="s">
        <v>3244</v>
      </c>
      <c r="I14" s="3027">
        <v>464067396.22000003</v>
      </c>
    </row>
    <row r="15" spans="7:12">
      <c r="G15" s="3028"/>
      <c r="H15" s="3028"/>
      <c r="I15" s="3027">
        <f>ROUND(I14/10000,0)</f>
        <v>46407</v>
      </c>
    </row>
    <row r="49" spans="1:9" ht="14.25" thickBot="1"/>
    <row r="50" spans="1:9" ht="14.25" thickTop="1">
      <c r="A50" s="3270" t="s">
        <v>3262</v>
      </c>
      <c r="B50" s="3271"/>
      <c r="C50" s="3274" t="s">
        <v>3263</v>
      </c>
      <c r="D50" s="3274" t="s">
        <v>3264</v>
      </c>
      <c r="E50" s="3274"/>
      <c r="F50" s="3268" t="s">
        <v>3258</v>
      </c>
    </row>
    <row r="51" spans="1:9" ht="14.25" thickBot="1">
      <c r="A51" s="3272" t="s">
        <v>3257</v>
      </c>
      <c r="B51" s="3273"/>
      <c r="C51" s="3275"/>
      <c r="D51" s="3275"/>
      <c r="E51" s="3275"/>
      <c r="F51" s="3269"/>
    </row>
    <row r="52" spans="1:9" ht="15" thickTop="1" thickBot="1">
      <c r="A52" s="3262" t="s">
        <v>3265</v>
      </c>
      <c r="B52" s="3032" t="s">
        <v>3259</v>
      </c>
      <c r="C52" s="3043">
        <f ca="1">结果表!H101</f>
        <v>155524</v>
      </c>
      <c r="D52" s="3044">
        <f>[2]结果表!$H$101</f>
        <v>90071</v>
      </c>
      <c r="E52" s="3044"/>
      <c r="F52" s="3034">
        <f ca="1">C52+D52</f>
        <v>245595</v>
      </c>
    </row>
    <row r="53" spans="1:9" ht="15" thickTop="1" thickBot="1">
      <c r="A53" s="3263"/>
      <c r="B53" s="3032" t="s">
        <v>3260</v>
      </c>
      <c r="C53" s="3043">
        <f ca="1">结果表!H102</f>
        <v>12943</v>
      </c>
      <c r="D53" s="3033">
        <f>[2]结果表!$H$102</f>
        <v>12830</v>
      </c>
      <c r="E53" s="3033"/>
      <c r="F53" s="3034">
        <f t="shared" ref="F53:F60" ca="1" si="0">C53+D53</f>
        <v>25773</v>
      </c>
    </row>
    <row r="54" spans="1:9" ht="65.25" thickTop="1" thickBot="1">
      <c r="A54" s="3035" t="s">
        <v>3266</v>
      </c>
      <c r="B54" s="3032" t="s">
        <v>3261</v>
      </c>
      <c r="C54" s="3043">
        <f>结果表!H103</f>
        <v>20754</v>
      </c>
      <c r="D54" s="3033">
        <f>[2]结果表!$H$103</f>
        <v>12125</v>
      </c>
      <c r="E54" s="3033"/>
      <c r="F54" s="3034">
        <f t="shared" si="0"/>
        <v>32879</v>
      </c>
    </row>
    <row r="55" spans="1:9" ht="39.75" thickTop="1" thickBot="1">
      <c r="A55" s="3036" t="s">
        <v>3267</v>
      </c>
      <c r="B55" s="3032" t="s">
        <v>3261</v>
      </c>
      <c r="C55" s="3043">
        <f>结果表!H104</f>
        <v>0</v>
      </c>
      <c r="D55" s="3033">
        <v>0</v>
      </c>
      <c r="E55" s="3033"/>
      <c r="F55" s="3034">
        <f t="shared" si="0"/>
        <v>0</v>
      </c>
    </row>
    <row r="56" spans="1:9" ht="39.75" thickTop="1" thickBot="1">
      <c r="A56" s="3036" t="s">
        <v>3268</v>
      </c>
      <c r="B56" s="3032" t="s">
        <v>3261</v>
      </c>
      <c r="C56" s="3043">
        <f>结果表!H105</f>
        <v>8515</v>
      </c>
      <c r="D56" s="3033">
        <f>[2]结果表!$H$105</f>
        <v>4975</v>
      </c>
      <c r="E56" s="3033"/>
      <c r="F56" s="3034">
        <f t="shared" si="0"/>
        <v>13490</v>
      </c>
    </row>
    <row r="57" spans="1:9" ht="39.75" thickTop="1" thickBot="1">
      <c r="A57" s="3036" t="s">
        <v>3269</v>
      </c>
      <c r="B57" s="3032" t="s">
        <v>3261</v>
      </c>
      <c r="C57" s="3043">
        <f>结果表!H106</f>
        <v>12239</v>
      </c>
      <c r="D57" s="3033">
        <f>[2]结果表!$H$106</f>
        <v>7150</v>
      </c>
      <c r="E57" s="3033"/>
      <c r="F57" s="3034">
        <f t="shared" si="0"/>
        <v>19389</v>
      </c>
    </row>
    <row r="58" spans="1:9" ht="15" thickTop="1" thickBot="1">
      <c r="A58" s="3262" t="s">
        <v>3270</v>
      </c>
      <c r="B58" s="3032" t="s">
        <v>3259</v>
      </c>
      <c r="C58" s="3043">
        <f ca="1">结果表!H107</f>
        <v>134770</v>
      </c>
      <c r="D58" s="3033">
        <f>[2]结果表!$H$107</f>
        <v>77946</v>
      </c>
      <c r="E58" s="3033"/>
      <c r="F58" s="3034">
        <f t="shared" ca="1" si="0"/>
        <v>212716</v>
      </c>
    </row>
    <row r="59" spans="1:9" ht="14.25" thickTop="1">
      <c r="A59" s="3263"/>
      <c r="B59" s="3032" t="s">
        <v>3260</v>
      </c>
      <c r="C59" s="3043">
        <f ca="1">结果表!H108</f>
        <v>11215</v>
      </c>
      <c r="D59" s="3033">
        <f>[2]结果表!$H$108</f>
        <v>11103</v>
      </c>
      <c r="E59" s="3033"/>
      <c r="F59" s="3034">
        <f t="shared" ca="1" si="0"/>
        <v>22318</v>
      </c>
    </row>
    <row r="60" spans="1:9" ht="39" thickBot="1">
      <c r="A60" s="3037" t="s">
        <v>3271</v>
      </c>
      <c r="B60" s="3038" t="s">
        <v>3259</v>
      </c>
      <c r="C60" s="3042">
        <f ca="1">结果表!G25</f>
        <v>123931</v>
      </c>
      <c r="D60" s="3039">
        <f>[2]结果表!$G$25</f>
        <v>71838</v>
      </c>
      <c r="E60" s="3039"/>
      <c r="F60" s="3034">
        <f t="shared" ca="1" si="0"/>
        <v>195769</v>
      </c>
    </row>
    <row r="61" spans="1:9" ht="14.25" thickTop="1"/>
    <row r="63" spans="1:9" ht="14.25" thickBot="1"/>
    <row r="64" spans="1:9" ht="25.5" customHeight="1" thickTop="1">
      <c r="A64" s="3266" t="s">
        <v>3272</v>
      </c>
      <c r="B64" s="3266" t="s">
        <v>3273</v>
      </c>
      <c r="C64" s="3266" t="s">
        <v>3274</v>
      </c>
      <c r="D64" s="3264" t="s">
        <v>3275</v>
      </c>
      <c r="E64" s="3265"/>
      <c r="F64" s="3264" t="s">
        <v>3276</v>
      </c>
      <c r="G64" s="3265"/>
      <c r="H64" s="3264" t="s">
        <v>3277</v>
      </c>
      <c r="I64" s="3265"/>
    </row>
    <row r="65" spans="1:9">
      <c r="A65" s="3267"/>
      <c r="B65" s="3267"/>
      <c r="C65" s="3267"/>
      <c r="D65" s="3040" t="s">
        <v>3259</v>
      </c>
      <c r="E65" s="3040" t="s">
        <v>3278</v>
      </c>
      <c r="F65" s="3040" t="s">
        <v>3279</v>
      </c>
      <c r="G65" s="3040" t="s">
        <v>3278</v>
      </c>
      <c r="H65" s="3040" t="s">
        <v>3279</v>
      </c>
      <c r="I65" s="3040" t="s">
        <v>3278</v>
      </c>
    </row>
    <row r="66" spans="1:9" ht="178.5">
      <c r="A66" s="3053" t="s">
        <v>3280</v>
      </c>
      <c r="B66" s="3041">
        <v>120164.37999999998</v>
      </c>
      <c r="C66" s="3041">
        <v>20565.18</v>
      </c>
      <c r="D66" s="3041">
        <v>128152</v>
      </c>
      <c r="E66" s="3041">
        <v>10665</v>
      </c>
      <c r="F66" s="3041">
        <v>27372</v>
      </c>
      <c r="G66" s="3041">
        <v>2278</v>
      </c>
      <c r="H66" s="3041">
        <v>155524</v>
      </c>
      <c r="I66" s="3041">
        <v>12943</v>
      </c>
    </row>
    <row r="67" spans="1:9" ht="153">
      <c r="A67" s="3053" t="s">
        <v>3281</v>
      </c>
      <c r="B67" s="3041">
        <v>70205.22</v>
      </c>
      <c r="C67" s="3041">
        <v>12102.99</v>
      </c>
      <c r="D67" s="3041">
        <v>65662</v>
      </c>
      <c r="E67" s="3041">
        <v>9353</v>
      </c>
      <c r="F67" s="3041">
        <v>24409</v>
      </c>
      <c r="G67" s="3041">
        <v>3477</v>
      </c>
      <c r="H67" s="3041">
        <v>90071</v>
      </c>
      <c r="I67" s="3041">
        <v>12830</v>
      </c>
    </row>
    <row r="68" spans="1:9">
      <c r="A68" s="3053" t="s">
        <v>37</v>
      </c>
      <c r="B68" s="3041">
        <f>B66+B67</f>
        <v>190369.59999999998</v>
      </c>
      <c r="C68" s="3041">
        <f t="shared" ref="C68:H68" si="1">C66+C67</f>
        <v>32668.17</v>
      </c>
      <c r="D68" s="3041">
        <f t="shared" si="1"/>
        <v>193814</v>
      </c>
      <c r="E68" s="3041" t="s">
        <v>3318</v>
      </c>
      <c r="F68" s="3041">
        <f t="shared" si="1"/>
        <v>51781</v>
      </c>
      <c r="G68" s="3041" t="s">
        <v>3318</v>
      </c>
      <c r="H68" s="3041">
        <f t="shared" si="1"/>
        <v>245595</v>
      </c>
      <c r="I68" s="3041" t="s">
        <v>3318</v>
      </c>
    </row>
    <row r="69" spans="1:9" ht="25.5" customHeight="1">
      <c r="A69" s="3253" t="s">
        <v>3282</v>
      </c>
      <c r="B69" s="3254"/>
      <c r="C69" s="3255"/>
      <c r="D69" s="3253" t="s">
        <v>3311</v>
      </c>
      <c r="E69" s="3255"/>
      <c r="F69" s="3253" t="s">
        <v>3312</v>
      </c>
      <c r="G69" s="3255"/>
      <c r="H69" s="3253" t="s">
        <v>3313</v>
      </c>
      <c r="I69" s="3255"/>
    </row>
    <row r="70" spans="1:9">
      <c r="A70" s="3256" t="s">
        <v>3283</v>
      </c>
      <c r="B70" s="3257"/>
      <c r="C70" s="3258"/>
      <c r="D70" s="3259">
        <v>27663</v>
      </c>
      <c r="E70" s="3260"/>
      <c r="F70" s="3260"/>
      <c r="G70" s="3260"/>
      <c r="H70" s="3260"/>
      <c r="I70" s="3261"/>
    </row>
    <row r="71" spans="1:9">
      <c r="A71" s="3253" t="s">
        <v>3282</v>
      </c>
      <c r="B71" s="3254"/>
      <c r="C71" s="3255"/>
      <c r="D71" s="3253" t="s">
        <v>3314</v>
      </c>
      <c r="E71" s="3254"/>
      <c r="F71" s="3254"/>
      <c r="G71" s="3254"/>
      <c r="H71" s="3254"/>
      <c r="I71" s="3255"/>
    </row>
    <row r="72" spans="1:9">
      <c r="A72" s="3256" t="s">
        <v>3046</v>
      </c>
      <c r="B72" s="3257"/>
      <c r="C72" s="3258"/>
      <c r="D72" s="3259">
        <v>254832</v>
      </c>
      <c r="E72" s="3260"/>
      <c r="F72" s="3260"/>
      <c r="G72" s="3260"/>
      <c r="H72" s="3260"/>
      <c r="I72" s="3261"/>
    </row>
    <row r="73" spans="1:9">
      <c r="A73" s="3253" t="s">
        <v>3282</v>
      </c>
      <c r="B73" s="3254"/>
      <c r="C73" s="3255"/>
      <c r="D73" s="3253" t="s">
        <v>3315</v>
      </c>
      <c r="E73" s="3254"/>
      <c r="F73" s="3254"/>
      <c r="G73" s="3254"/>
      <c r="H73" s="3254"/>
      <c r="I73" s="3255"/>
    </row>
    <row r="74" spans="1:9">
      <c r="A74" s="3256" t="s">
        <v>3316</v>
      </c>
      <c r="B74" s="3257"/>
      <c r="C74" s="3258"/>
      <c r="D74" s="3259">
        <v>240490</v>
      </c>
      <c r="E74" s="3260"/>
      <c r="F74" s="3260"/>
      <c r="G74" s="3260"/>
      <c r="H74" s="3260"/>
      <c r="I74" s="3261"/>
    </row>
    <row r="75" spans="1:9">
      <c r="A75" s="3253" t="s">
        <v>3282</v>
      </c>
      <c r="B75" s="3254"/>
      <c r="C75" s="3255"/>
      <c r="D75" s="3253" t="s">
        <v>3317</v>
      </c>
      <c r="E75" s="3254"/>
      <c r="F75" s="3254"/>
      <c r="G75" s="3254"/>
      <c r="H75" s="3254"/>
      <c r="I75" s="3255"/>
    </row>
  </sheetData>
  <mergeCells count="30">
    <mergeCell ref="F50:F51"/>
    <mergeCell ref="A50:B50"/>
    <mergeCell ref="A51:B51"/>
    <mergeCell ref="C50:C51"/>
    <mergeCell ref="D50:D51"/>
    <mergeCell ref="E50:E51"/>
    <mergeCell ref="A52:A53"/>
    <mergeCell ref="A58:A59"/>
    <mergeCell ref="H64:I64"/>
    <mergeCell ref="A69:C69"/>
    <mergeCell ref="D69:E69"/>
    <mergeCell ref="F69:G69"/>
    <mergeCell ref="H69:I69"/>
    <mergeCell ref="A64:A65"/>
    <mergeCell ref="B64:B65"/>
    <mergeCell ref="C64:C65"/>
    <mergeCell ref="D64:E64"/>
    <mergeCell ref="F64:G64"/>
    <mergeCell ref="A70:C70"/>
    <mergeCell ref="D70:I70"/>
    <mergeCell ref="A71:C71"/>
    <mergeCell ref="D71:I71"/>
    <mergeCell ref="A72:C72"/>
    <mergeCell ref="D72:I72"/>
    <mergeCell ref="A73:C73"/>
    <mergeCell ref="D73:I73"/>
    <mergeCell ref="A74:C74"/>
    <mergeCell ref="D74:I74"/>
    <mergeCell ref="A75:C75"/>
    <mergeCell ref="D75:I75"/>
  </mergeCells>
  <phoneticPr fontId="144" type="noConversion"/>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4" sqref="H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33"/>
      <c r="C1" s="242"/>
      <c r="D1" s="242"/>
      <c r="E1" s="242"/>
      <c r="F1" s="242"/>
      <c r="G1" s="1376">
        <f>MATCH(B1,'数据-取费表'!A6:A16,0)+5</f>
        <v>9</v>
      </c>
    </row>
    <row r="2" spans="1:9" s="244" customFormat="1" ht="18" customHeight="1">
      <c r="A2" s="245" t="s">
        <v>2317</v>
      </c>
      <c r="B2" s="246">
        <f ca="1">IF(D2="——",C52,C52-E2)</f>
        <v>169390</v>
      </c>
      <c r="C2" s="243" t="s">
        <v>2318</v>
      </c>
      <c r="D2" s="2539" t="s">
        <v>70</v>
      </c>
      <c r="E2" s="1437" t="e">
        <f ca="1">SUMIF(INDIRECT("'"&amp;G2&amp;"'"&amp;"!A:A"),"承租人权益价值",INDIRECT("'"&amp;G2&amp;"'"&amp;"!c:c"))</f>
        <v>#REF!</v>
      </c>
      <c r="F2" s="2540" t="s">
        <v>2318</v>
      </c>
      <c r="G2" s="2541"/>
    </row>
    <row r="3" spans="1:9" s="244" customFormat="1" ht="18" customHeight="1" thickBot="1">
      <c r="A3" s="247" t="s">
        <v>2319</v>
      </c>
      <c r="B3" s="248">
        <f ca="1">ROUND(B2*10000/(IF(B1="",'数据-汇总表'!E3,INDIRECT("'数据-取费表'!k"&amp;$G$1))),0)</f>
        <v>14097</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C6+C7+C8</f>
        <v>104939</v>
      </c>
      <c r="D5" s="255" t="s">
        <v>2324</v>
      </c>
      <c r="E5" s="256" t="s">
        <v>2325</v>
      </c>
      <c r="F5" s="256" t="s">
        <v>2326</v>
      </c>
      <c r="G5" s="257"/>
    </row>
    <row r="6" spans="1:9" s="258" customFormat="1" ht="13.5" customHeight="1">
      <c r="A6" s="946" t="s">
        <v>2327</v>
      </c>
      <c r="B6" s="259" t="s">
        <v>2328</v>
      </c>
      <c r="C6" s="260">
        <f>'土地比较法-住宅、综合'!B2</f>
        <v>100854</v>
      </c>
      <c r="D6" s="261"/>
      <c r="E6" s="262"/>
      <c r="F6" s="262"/>
      <c r="G6" s="263"/>
    </row>
    <row r="7" spans="1:9" s="258" customFormat="1" ht="13.5" customHeight="1">
      <c r="A7" s="946" t="s">
        <v>2329</v>
      </c>
      <c r="B7" s="259" t="s">
        <v>2330</v>
      </c>
      <c r="C7" s="264">
        <f>ROUND(C6*F7,0)</f>
        <v>4085</v>
      </c>
      <c r="D7" s="264"/>
      <c r="E7" s="262"/>
      <c r="F7" s="265">
        <f>IF(项目基本情况!B8="出让",0,'数据-取费表'!B48+'数据-取费表'!B49)</f>
        <v>4.0500000000000001E-2</v>
      </c>
      <c r="G7" s="263"/>
    </row>
    <row r="8" spans="1:9" s="267" customFormat="1">
      <c r="A8" s="946" t="s">
        <v>2331</v>
      </c>
      <c r="B8" s="259" t="s">
        <v>2332</v>
      </c>
      <c r="C8" s="264">
        <f>IF(G8="已包含在土地购买价格中","0",IF(B1="",'数据-取费表'!B29,IF(G9="全部缴纳",C9+C10,H9)))</f>
        <v>0</v>
      </c>
      <c r="D8" s="266"/>
      <c r="E8" s="264"/>
      <c r="F8" s="265"/>
      <c r="G8" s="2542" t="s">
        <v>3084</v>
      </c>
    </row>
    <row r="9" spans="1:9" s="258" customFormat="1" ht="13.5" customHeight="1">
      <c r="A9" s="947" t="s">
        <v>800</v>
      </c>
      <c r="B9" s="268" t="s">
        <v>2333</v>
      </c>
      <c r="C9" s="269">
        <f ca="1">ROUND(D9*E9/10000,0)</f>
        <v>435</v>
      </c>
      <c r="D9" s="1029">
        <f ca="1">IF(B1="",'数据-汇总表'!E5,IF(INDIRECT("'数据-取费表'!c"&amp;$G$1)="住宅",INDIRECT("'数据-取费表'!k"&amp;$G$1),0))</f>
        <v>25608.019999999997</v>
      </c>
      <c r="E9" s="269">
        <f>'数据-取费表'!B27</f>
        <v>170</v>
      </c>
      <c r="F9" s="265"/>
      <c r="G9" s="2543" t="s">
        <v>3086</v>
      </c>
      <c r="H9" s="1387"/>
      <c r="I9" s="2544" t="s">
        <v>2334</v>
      </c>
    </row>
    <row r="10" spans="1:9" s="258" customFormat="1" ht="13.5" customHeight="1">
      <c r="A10" s="947" t="s">
        <v>801</v>
      </c>
      <c r="B10" s="268" t="s">
        <v>2335</v>
      </c>
      <c r="C10" s="269">
        <f ca="1">ROUND(D10*E10/10000,0)</f>
        <v>1607</v>
      </c>
      <c r="D10" s="1029">
        <f ca="1">IF(B1="",'数据-汇总表'!E6,IF(INDIRECT("'数据-取费表'!c"&amp;$G$1)="住宅",INDIRECT("'数据-取费表'!s"&amp;$G$1),INDIRECT("'数据-取费表'!k"&amp;$G$1)+INDIRECT("'数据-取费表'!s"&amp;$G$1)))</f>
        <v>94556.359999999986</v>
      </c>
      <c r="E10" s="269">
        <f>'数据-取费表'!B28</f>
        <v>170</v>
      </c>
      <c r="F10" s="265"/>
      <c r="G10" s="270"/>
    </row>
    <row r="11" spans="1:9" s="258" customFormat="1" ht="13.5" hidden="1" customHeight="1">
      <c r="A11" s="271" t="s">
        <v>7</v>
      </c>
      <c r="B11" s="259" t="s">
        <v>2336</v>
      </c>
      <c r="C11" s="255"/>
      <c r="D11" s="1031"/>
      <c r="E11" s="262"/>
      <c r="F11" s="262"/>
      <c r="G11" s="263"/>
    </row>
    <row r="12" spans="1:9" s="258" customFormat="1" ht="13.5" hidden="1" customHeight="1">
      <c r="A12" s="271" t="s">
        <v>8</v>
      </c>
      <c r="B12" s="259" t="s">
        <v>2337</v>
      </c>
      <c r="C12" s="255">
        <v>0</v>
      </c>
      <c r="D12" s="1031"/>
      <c r="E12" s="272"/>
      <c r="F12" s="265">
        <v>3.0499999999999999E-2</v>
      </c>
      <c r="G12" s="263"/>
    </row>
    <row r="13" spans="1:9" s="258" customFormat="1" ht="13.5" hidden="1" customHeight="1">
      <c r="A13" s="271" t="s">
        <v>9</v>
      </c>
      <c r="B13" s="259" t="s">
        <v>2338</v>
      </c>
      <c r="C13" s="255"/>
      <c r="D13" s="1031"/>
      <c r="E13" s="262"/>
      <c r="F13" s="262"/>
      <c r="G13" s="263"/>
    </row>
    <row r="14" spans="1:9" s="258" customFormat="1" ht="13.5" hidden="1" customHeight="1">
      <c r="A14" s="271" t="s">
        <v>10</v>
      </c>
      <c r="B14" s="259" t="s">
        <v>2339</v>
      </c>
      <c r="C14" s="255"/>
      <c r="D14" s="1031"/>
      <c r="E14" s="262"/>
      <c r="F14" s="262"/>
      <c r="G14" s="263" t="s">
        <v>2340</v>
      </c>
    </row>
    <row r="15" spans="1:9" s="258" customFormat="1" ht="13.5" hidden="1" customHeight="1">
      <c r="A15" s="271" t="s">
        <v>11</v>
      </c>
      <c r="B15" s="259" t="s">
        <v>2341</v>
      </c>
      <c r="C15" s="264"/>
      <c r="D15" s="1031"/>
      <c r="E15" s="262"/>
      <c r="F15" s="262"/>
      <c r="G15" s="263" t="s">
        <v>2342</v>
      </c>
    </row>
    <row r="16" spans="1:9" s="258" customFormat="1" ht="13.5" hidden="1" customHeight="1">
      <c r="A16" s="271" t="s">
        <v>12</v>
      </c>
      <c r="B16" s="259" t="s">
        <v>2339</v>
      </c>
      <c r="C16" s="264"/>
      <c r="D16" s="1031"/>
      <c r="E16" s="262"/>
      <c r="F16" s="262"/>
      <c r="G16" s="263"/>
    </row>
    <row r="17" spans="1:7" s="258" customFormat="1" ht="13.5" hidden="1" customHeight="1">
      <c r="A17" s="271" t="s">
        <v>13</v>
      </c>
      <c r="B17" s="259" t="s">
        <v>2343</v>
      </c>
      <c r="C17" s="273"/>
      <c r="D17" s="1032"/>
      <c r="E17" s="273"/>
      <c r="F17" s="273"/>
      <c r="G17" s="263" t="s">
        <v>2342</v>
      </c>
    </row>
    <row r="18" spans="1:7" s="258" customFormat="1" ht="13.5" hidden="1" customHeight="1">
      <c r="A18" s="271" t="s">
        <v>14</v>
      </c>
      <c r="B18" s="259" t="s">
        <v>2344</v>
      </c>
      <c r="C18" s="264">
        <v>0</v>
      </c>
      <c r="D18" s="1031"/>
      <c r="E18" s="262"/>
      <c r="F18" s="265">
        <v>3.0499999999999999E-2</v>
      </c>
      <c r="G18" s="263" t="s">
        <v>2345</v>
      </c>
    </row>
    <row r="19" spans="1:7" s="267" customFormat="1" ht="13.5" customHeight="1">
      <c r="A19" s="299" t="s">
        <v>2346</v>
      </c>
      <c r="B19" s="254" t="s">
        <v>2347</v>
      </c>
      <c r="C19" s="255" t="str">
        <f>IF(G19="已包含在土地取得成本中","0",ROUND(D19*E19/10000,0))</f>
        <v>0</v>
      </c>
      <c r="D19" s="1033">
        <f ca="1">D9+D10</f>
        <v>120164.37999999998</v>
      </c>
      <c r="E19" s="255">
        <f>'数据-取费表'!B31</f>
        <v>200</v>
      </c>
      <c r="F19" s="275"/>
      <c r="G19" s="2542" t="s">
        <v>3085</v>
      </c>
    </row>
    <row r="20" spans="1:7" s="258" customFormat="1" ht="13.5" customHeight="1">
      <c r="A20" s="299" t="s">
        <v>2348</v>
      </c>
      <c r="B20" s="254" t="s">
        <v>2349</v>
      </c>
      <c r="C20" s="276">
        <f>ROUND((C5+C19)*F20,0)</f>
        <v>2099</v>
      </c>
      <c r="D20" s="276"/>
      <c r="E20" s="276"/>
      <c r="F20" s="277">
        <f>'数据-取费表'!B37</f>
        <v>0.02</v>
      </c>
      <c r="G20" s="278" t="s">
        <v>2350</v>
      </c>
    </row>
    <row r="21" spans="1:7" s="258" customFormat="1" ht="13.5" customHeight="1">
      <c r="A21" s="299" t="s">
        <v>2351</v>
      </c>
      <c r="B21" s="254" t="s">
        <v>2352</v>
      </c>
      <c r="C21" s="279">
        <f>F21</f>
        <v>0.03</v>
      </c>
      <c r="D21" s="280" t="s">
        <v>2353</v>
      </c>
      <c r="E21" s="276"/>
      <c r="F21" s="277">
        <f>'数据-取费表'!B38</f>
        <v>0.03</v>
      </c>
      <c r="G21" s="278" t="s">
        <v>2354</v>
      </c>
    </row>
    <row r="22" spans="1:7" s="258" customFormat="1" ht="13.5" customHeight="1">
      <c r="A22" s="299" t="s">
        <v>2355</v>
      </c>
      <c r="B22" s="254" t="s">
        <v>2356</v>
      </c>
      <c r="C22" s="1351">
        <f ca="1">ROUND(SUM(C23:C25),0)</f>
        <v>10306</v>
      </c>
      <c r="D22" s="279">
        <f ca="1">C26</f>
        <v>1.4E-3</v>
      </c>
      <c r="E22" s="280" t="s">
        <v>2353</v>
      </c>
      <c r="F22" s="281">
        <f ca="1">'数据-取费表'!B40</f>
        <v>4.7500000000000001E-2</v>
      </c>
      <c r="G22" s="278" t="str">
        <f>IF('数据-取费表'!B22&lt;=1,"单利计息","复利计息")</f>
        <v>复利计息</v>
      </c>
    </row>
    <row r="23" spans="1:7" s="258" customFormat="1" ht="13.5" customHeight="1">
      <c r="A23" s="948" t="s">
        <v>2357</v>
      </c>
      <c r="B23" s="259" t="s">
        <v>2358</v>
      </c>
      <c r="C23" s="1352">
        <f ca="1">ROUND(IF('数据-取费表'!B22&lt;=1,C5*F22*'数据-取费表'!B23,C5*(POWER((1+F22),'数据-取费表'!B23)-1)),0)</f>
        <v>10206</v>
      </c>
      <c r="D23" s="282"/>
      <c r="E23" s="282"/>
      <c r="F23" s="283"/>
      <c r="G23" s="284" t="s">
        <v>2359</v>
      </c>
    </row>
    <row r="24" spans="1:7" s="258" customFormat="1" ht="13.5" customHeight="1">
      <c r="A24" s="948" t="s">
        <v>2360</v>
      </c>
      <c r="B24" s="259" t="s">
        <v>2361</v>
      </c>
      <c r="C24" s="1352">
        <f ca="1">ROUND(IF('数据-取费表'!B22&lt;=1,C19*F22*('数据-取费表'!B19/2+'数据-取费表'!B21),C19*(POWER((1+F22),('数据-取费表'!B19/2+'数据-取费表'!B21))-1)),0)</f>
        <v>0</v>
      </c>
      <c r="D24" s="282"/>
      <c r="E24" s="282"/>
      <c r="F24" s="283"/>
      <c r="G24" s="284" t="s">
        <v>2362</v>
      </c>
    </row>
    <row r="25" spans="1:7" s="258" customFormat="1" ht="24">
      <c r="A25" s="948" t="s">
        <v>2363</v>
      </c>
      <c r="B25" s="259" t="s">
        <v>2364</v>
      </c>
      <c r="C25" s="1352">
        <f ca="1">ROUND(IF('数据-取费表'!B22&lt;=1,C20*F22*'数据-取费表'!B23/2,C20*(POWER((1+F22),'数据-取费表'!B23/2)-1)),0)</f>
        <v>100</v>
      </c>
      <c r="D25" s="282"/>
      <c r="E25" s="285"/>
      <c r="F25" s="283"/>
      <c r="G25" s="286" t="s">
        <v>2365</v>
      </c>
    </row>
    <row r="26" spans="1:7" s="258" customFormat="1">
      <c r="A26" s="948" t="s">
        <v>795</v>
      </c>
      <c r="B26" s="259" t="s">
        <v>2366</v>
      </c>
      <c r="C26" s="282">
        <f ca="1">ROUND(IF('数据-取费表'!B22&lt;=1,F21*F22*'数据-取费表'!B23/2,F21*(POWER((1+F22),'数据-取费表'!B23/2)-1)),4)</f>
        <v>1.4E-3</v>
      </c>
      <c r="D26" s="282"/>
      <c r="E26" s="285"/>
      <c r="F26" s="283"/>
      <c r="G26" s="287"/>
    </row>
    <row r="27" spans="1:7" s="258" customFormat="1" ht="24.75">
      <c r="A27" s="299" t="s">
        <v>2367</v>
      </c>
      <c r="B27" s="288" t="s">
        <v>2368</v>
      </c>
      <c r="C27" s="289">
        <f ca="1">C28</f>
        <v>9990</v>
      </c>
      <c r="D27" s="279">
        <f ca="1">C29</f>
        <v>2.8E-3</v>
      </c>
      <c r="E27" s="280" t="s">
        <v>2369</v>
      </c>
      <c r="F27" s="290">
        <f ca="1">IF(B1="",'数据-取费表'!Q16,INDIRECT("'数据-取费表'!q"&amp;$G$1))</f>
        <v>0.14000000000000001</v>
      </c>
      <c r="G27" s="291" t="s">
        <v>2370</v>
      </c>
    </row>
    <row r="28" spans="1:7" s="258" customFormat="1" ht="13.5" customHeight="1">
      <c r="A28" s="948" t="s">
        <v>791</v>
      </c>
      <c r="B28" s="292" t="s">
        <v>2371</v>
      </c>
      <c r="C28" s="293">
        <f ca="1">ROUND((C5+C19+C20)*F27*'数据-取费表'!B21/'数据-取费表'!B20,0)</f>
        <v>9990</v>
      </c>
      <c r="D28" s="279"/>
      <c r="E28" s="280"/>
      <c r="F28" s="290"/>
      <c r="G28" s="291"/>
    </row>
    <row r="29" spans="1:7" s="258" customFormat="1" ht="13.5" customHeight="1">
      <c r="A29" s="948" t="s">
        <v>792</v>
      </c>
      <c r="B29" s="292" t="s">
        <v>2372</v>
      </c>
      <c r="C29" s="282">
        <f ca="1">ROUND(C21*F27*'数据-取费表'!B21/'数据-取费表'!B20,4)</f>
        <v>2.8E-3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139544</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22451</v>
      </c>
      <c r="D33" s="276"/>
      <c r="E33" s="256"/>
      <c r="F33" s="285"/>
      <c r="G33" s="278"/>
    </row>
    <row r="34" spans="1:7" s="302" customFormat="1" ht="13.5" customHeight="1">
      <c r="A34" s="948" t="s">
        <v>791</v>
      </c>
      <c r="B34" s="259" t="s">
        <v>2380</v>
      </c>
      <c r="C34" s="264">
        <f ca="1">IF(B1="",IF(F34=100%,'数据-取费表'!M16,'数据-取费表'!O16),IF(F34=100%,INDIRECT("'数据-取费表'!m"&amp;$G$1)+INDIRECT("'数据-取费表'!t"&amp;$G$1),INDIRECT("'数据-取费表'!o"&amp;$G$1)+INDIRECT("'数据-取费表'!aq"&amp;$G$1)))</f>
        <v>19727</v>
      </c>
      <c r="D34" s="261"/>
      <c r="E34" s="264"/>
      <c r="F34" s="301">
        <f ca="1">IF('数据-取费表'!B24=0,1,IF(B1="",'数据-取费表'!N16,INDIRECT("'数据-取费表'!n"&amp;$G$1)))</f>
        <v>0.6</v>
      </c>
      <c r="G34" s="263" t="s">
        <v>2381</v>
      </c>
    </row>
    <row r="35" spans="1:7" ht="13.5" customHeight="1">
      <c r="A35" s="948" t="s">
        <v>796</v>
      </c>
      <c r="B35" s="259" t="s">
        <v>2382</v>
      </c>
      <c r="C35" s="264">
        <f ca="1">ROUND(C34*F35,0)</f>
        <v>986</v>
      </c>
      <c r="D35" s="264"/>
      <c r="E35" s="264"/>
      <c r="F35" s="303">
        <f>'数据-取费表'!B33</f>
        <v>0.05</v>
      </c>
      <c r="G35" s="263" t="s">
        <v>2383</v>
      </c>
    </row>
    <row r="36" spans="1:7" ht="24">
      <c r="A36" s="948"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48" t="s">
        <v>798</v>
      </c>
      <c r="B37" s="259" t="s">
        <v>2386</v>
      </c>
      <c r="C37" s="293">
        <f ca="1">ROUND(E37*D37*F34/10000,0)</f>
        <v>1442</v>
      </c>
      <c r="D37" s="261">
        <f ca="1">D19</f>
        <v>120164.37999999998</v>
      </c>
      <c r="E37" s="293">
        <f>'数据-取费表'!B35</f>
        <v>200</v>
      </c>
      <c r="F37" s="303"/>
      <c r="G37" s="305" t="s">
        <v>2387</v>
      </c>
    </row>
    <row r="38" spans="1:7" ht="13.5" customHeight="1">
      <c r="A38" s="948" t="s">
        <v>799</v>
      </c>
      <c r="B38" s="259" t="s">
        <v>2388</v>
      </c>
      <c r="C38" s="264">
        <f ca="1">ROUND(C34*F38,0)</f>
        <v>296</v>
      </c>
      <c r="D38" s="264"/>
      <c r="E38" s="264"/>
      <c r="F38" s="303">
        <f>'数据-取费表'!B36</f>
        <v>1.4999999999999999E-2</v>
      </c>
      <c r="G38" s="263" t="s">
        <v>2383</v>
      </c>
    </row>
    <row r="39" spans="1:7" s="258" customFormat="1" ht="13.5" customHeight="1">
      <c r="A39" s="299" t="s">
        <v>2389</v>
      </c>
      <c r="B39" s="254" t="s">
        <v>2390</v>
      </c>
      <c r="C39" s="276">
        <f ca="1">ROUND(C33*F20,0)</f>
        <v>449</v>
      </c>
      <c r="D39" s="276"/>
      <c r="E39" s="276"/>
      <c r="F39" s="277"/>
      <c r="G39" s="278" t="s">
        <v>2391</v>
      </c>
    </row>
    <row r="40" spans="1:7" s="258" customFormat="1" ht="13.5" customHeight="1">
      <c r="A40" s="299" t="s">
        <v>2392</v>
      </c>
      <c r="B40" s="254" t="s">
        <v>2393</v>
      </c>
      <c r="C40" s="1725">
        <f>F21</f>
        <v>0.03</v>
      </c>
      <c r="D40" s="280" t="s">
        <v>2394</v>
      </c>
      <c r="E40" s="276"/>
      <c r="F40" s="277"/>
      <c r="G40" s="278" t="s">
        <v>2395</v>
      </c>
    </row>
    <row r="41" spans="1:7" s="258" customFormat="1" ht="13.5" customHeight="1">
      <c r="A41" s="299" t="s">
        <v>2396</v>
      </c>
      <c r="B41" s="254" t="s">
        <v>2397</v>
      </c>
      <c r="C41" s="276">
        <f ca="1">ROUND(SUM(C42:C43),0)</f>
        <v>1087</v>
      </c>
      <c r="D41" s="279">
        <f ca="1">C44</f>
        <v>1.4E-3</v>
      </c>
      <c r="E41" s="280" t="s">
        <v>2394</v>
      </c>
      <c r="F41" s="281"/>
      <c r="G41" s="278" t="str">
        <f>IF('数据-取费表'!B22&lt;=1,"单利计息","复利计息")</f>
        <v>复利计息</v>
      </c>
    </row>
    <row r="42" spans="1:7" ht="13.5" customHeight="1">
      <c r="A42" s="948" t="s">
        <v>791</v>
      </c>
      <c r="B42" s="259" t="s">
        <v>2398</v>
      </c>
      <c r="C42" s="282">
        <f ca="1">ROUND(IF('数据-取费表'!B22&lt;=1,C33*F22*'数据-取费表'!B21/2,C33*(POWER((1+F22),'数据-取费表'!B21/2)-1)),0)</f>
        <v>1066</v>
      </c>
      <c r="D42" s="282"/>
      <c r="E42" s="282"/>
      <c r="F42" s="283"/>
      <c r="G42" s="3276" t="s">
        <v>2399</v>
      </c>
    </row>
    <row r="43" spans="1:7" ht="13.5" customHeight="1">
      <c r="A43" s="948" t="s">
        <v>792</v>
      </c>
      <c r="B43" s="259" t="s">
        <v>2400</v>
      </c>
      <c r="C43" s="282">
        <f ca="1">ROUND(IF('数据-取费表'!B22&lt;=1,C39*F22*'数据-取费表'!B21/2,C39*(POWER((1+F22),'数据-取费表'!B21/2)-1)),0)</f>
        <v>21</v>
      </c>
      <c r="D43" s="282"/>
      <c r="E43" s="282"/>
      <c r="F43" s="283"/>
      <c r="G43" s="3277"/>
    </row>
    <row r="44" spans="1:7" ht="13.5" customHeight="1">
      <c r="A44" s="948" t="s">
        <v>793</v>
      </c>
      <c r="B44" s="259" t="s">
        <v>2401</v>
      </c>
      <c r="C44" s="282">
        <f ca="1">ROUND(IF('数据-取费表'!B22&lt;=1,C40*F22*'数据-取费表'!B21/2,C40*(POWER((1+F22),'数据-取费表'!B21/2)-1)),4)</f>
        <v>1.4E-3</v>
      </c>
      <c r="D44" s="282"/>
      <c r="E44" s="282"/>
      <c r="F44" s="283"/>
      <c r="G44" s="3278"/>
    </row>
    <row r="45" spans="1:7" s="258" customFormat="1" ht="13.5" customHeight="1">
      <c r="A45" s="299" t="s">
        <v>2402</v>
      </c>
      <c r="B45" s="288" t="s">
        <v>2368</v>
      </c>
      <c r="C45" s="289">
        <f ca="1">C46</f>
        <v>3206</v>
      </c>
      <c r="D45" s="279">
        <f ca="1">C47</f>
        <v>4.1999999999999997E-3</v>
      </c>
      <c r="E45" s="280" t="s">
        <v>2394</v>
      </c>
      <c r="F45" s="290"/>
      <c r="G45" s="291" t="s">
        <v>2403</v>
      </c>
    </row>
    <row r="46" spans="1:7" s="258" customFormat="1" ht="13.5" customHeight="1">
      <c r="A46" s="948" t="s">
        <v>791</v>
      </c>
      <c r="B46" s="292" t="s">
        <v>2404</v>
      </c>
      <c r="C46" s="293">
        <f ca="1">ROUND((C33+C39)*F27,0)</f>
        <v>3206</v>
      </c>
      <c r="D46" s="307"/>
      <c r="E46" s="280"/>
      <c r="F46" s="290"/>
      <c r="G46" s="291"/>
    </row>
    <row r="47" spans="1:7" s="258" customFormat="1" ht="13.5" customHeight="1">
      <c r="A47" s="948" t="s">
        <v>792</v>
      </c>
      <c r="B47" s="292" t="s">
        <v>2405</v>
      </c>
      <c r="C47" s="282">
        <f ca="1">ROUND(C40*F27,4)</f>
        <v>4.1999999999999997E-3</v>
      </c>
      <c r="D47" s="307"/>
      <c r="E47" s="280"/>
      <c r="F47" s="290"/>
      <c r="G47" s="291"/>
    </row>
    <row r="48" spans="1:7" s="258" customFormat="1" ht="13.5" customHeight="1">
      <c r="A48" s="299" t="s">
        <v>2367</v>
      </c>
      <c r="B48" s="254" t="s">
        <v>2406</v>
      </c>
      <c r="C48" s="1725">
        <f>ROUND(F30/(1+'数据-取费表'!C42),4)</f>
        <v>5.33E-2</v>
      </c>
      <c r="D48" s="280" t="s">
        <v>2394</v>
      </c>
      <c r="E48" s="276"/>
      <c r="F48" s="281"/>
      <c r="G48" s="278" t="s">
        <v>2407</v>
      </c>
    </row>
    <row r="49" spans="1:7" ht="16.5" customHeight="1">
      <c r="A49" s="299" t="s">
        <v>2373</v>
      </c>
      <c r="B49" s="254" t="s">
        <v>2408</v>
      </c>
      <c r="C49" s="276">
        <f ca="1">ROUND((C33+C39+C41+C45)/(1-C40-D41-D45-C48),0)</f>
        <v>29846</v>
      </c>
      <c r="D49" s="276"/>
      <c r="E49" s="276"/>
      <c r="F49" s="308"/>
      <c r="G49" s="278" t="s">
        <v>2409</v>
      </c>
    </row>
    <row r="50" spans="1:7" s="302" customFormat="1" ht="24">
      <c r="A50" s="299" t="s">
        <v>2410</v>
      </c>
      <c r="B50" s="254" t="s">
        <v>2411</v>
      </c>
      <c r="C50" s="276"/>
      <c r="D50" s="276"/>
      <c r="E50" s="276"/>
      <c r="F50" s="308">
        <f>IF('数据-取费表'!B24=0,'数据-取费表'!N16,1)</f>
        <v>1</v>
      </c>
      <c r="G50" s="291" t="s">
        <v>2412</v>
      </c>
    </row>
    <row r="51" spans="1:7" ht="16.5" customHeight="1">
      <c r="A51" s="299" t="s">
        <v>2413</v>
      </c>
      <c r="B51" s="254" t="s">
        <v>2414</v>
      </c>
      <c r="C51" s="276">
        <f ca="1">ROUND(C49*F50,0)</f>
        <v>29846</v>
      </c>
      <c r="D51" s="276"/>
      <c r="E51" s="276"/>
      <c r="F51" s="308"/>
      <c r="G51" s="278" t="s">
        <v>2415</v>
      </c>
    </row>
    <row r="52" spans="1:7" s="252" customFormat="1" ht="16.5" thickBot="1">
      <c r="A52" s="309" t="s">
        <v>2416</v>
      </c>
      <c r="B52" s="310"/>
      <c r="C52" s="311">
        <f ca="1">C31+C51</f>
        <v>169390</v>
      </c>
      <c r="D52" s="310"/>
      <c r="E52" s="310"/>
      <c r="F52" s="310"/>
      <c r="G52" s="312"/>
    </row>
    <row r="55" spans="1:7" ht="15">
      <c r="B55" s="314" t="s">
        <v>2417</v>
      </c>
      <c r="C55" s="315"/>
    </row>
    <row r="56" spans="1:7">
      <c r="B56" s="317" t="s">
        <v>1507</v>
      </c>
      <c r="C56" s="319">
        <f ca="1">1-C57</f>
        <v>0.82400000000000007</v>
      </c>
    </row>
    <row r="57" spans="1:7">
      <c r="B57" s="317" t="s">
        <v>1508</v>
      </c>
      <c r="C57" s="318">
        <f ca="1">ROUND(C51/C52,3)</f>
        <v>0.17599999999999999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33"/>
      <c r="C1" s="2545" t="s">
        <v>2418</v>
      </c>
      <c r="D1" s="242"/>
      <c r="E1" s="242"/>
      <c r="F1" s="242"/>
      <c r="G1" s="1376">
        <f>MATCH(B1,'数据-取费表'!A6:A16,0)+5</f>
        <v>9</v>
      </c>
      <c r="H1" s="1279" t="str">
        <f>IF(ISERROR(FIND("住宅",B1)),"非住宅","住宅")</f>
        <v>非住宅</v>
      </c>
    </row>
    <row r="2" spans="1:8" s="244" customFormat="1" ht="18" customHeight="1">
      <c r="A2" s="245" t="s">
        <v>2317</v>
      </c>
      <c r="B2" s="246">
        <f ca="1">ROUND(IF(D2="——",C52/10000,C52/10000-E2),0)</f>
        <v>57236</v>
      </c>
      <c r="C2" s="243" t="s">
        <v>2318</v>
      </c>
      <c r="D2" s="2539" t="s">
        <v>70</v>
      </c>
      <c r="E2" s="1437" t="e">
        <f ca="1">SUMIF(INDIRECT("'"&amp;G2&amp;"'"&amp;"!A:A"),"承租人权益价值",INDIRECT("'"&amp;G2&amp;"'"&amp;"!c:c"))</f>
        <v>#REF!</v>
      </c>
      <c r="F2" s="2540" t="s">
        <v>2318</v>
      </c>
      <c r="G2" s="2541"/>
    </row>
    <row r="3" spans="1:8" s="244" customFormat="1" ht="18" customHeight="1" thickBot="1">
      <c r="A3" s="247" t="s">
        <v>2319</v>
      </c>
      <c r="B3" s="248">
        <f ca="1">ROUND(B2*10000/(IF(B1="",'数据-汇总表'!E3,INDIRECT("'数据-取费表'!k"&amp;$G$1))),0)</f>
        <v>4763</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20427944</v>
      </c>
      <c r="D5" s="255" t="s">
        <v>2324</v>
      </c>
      <c r="E5" s="256" t="s">
        <v>2325</v>
      </c>
      <c r="F5" s="256" t="s">
        <v>2326</v>
      </c>
      <c r="G5" s="257"/>
    </row>
    <row r="6" spans="1:8" s="258" customFormat="1" ht="13.5" customHeight="1">
      <c r="A6" s="946" t="s">
        <v>2327</v>
      </c>
      <c r="B6" s="259" t="s">
        <v>2328</v>
      </c>
      <c r="C6" s="260"/>
      <c r="D6" s="261"/>
      <c r="E6" s="262"/>
      <c r="F6" s="262"/>
      <c r="G6" s="263"/>
    </row>
    <row r="7" spans="1:8" s="258" customFormat="1" ht="13.5" customHeight="1">
      <c r="A7" s="946" t="s">
        <v>2329</v>
      </c>
      <c r="B7" s="259" t="s">
        <v>2330</v>
      </c>
      <c r="C7" s="264">
        <f>ROUND(C6*F7,0)</f>
        <v>0</v>
      </c>
      <c r="D7" s="264"/>
      <c r="E7" s="262"/>
      <c r="F7" s="265">
        <f>IF(项目基本情况!B8="出让",0,'数据-取费表'!B48+'数据-取费表'!B49)</f>
        <v>4.0500000000000001E-2</v>
      </c>
      <c r="G7" s="263"/>
    </row>
    <row r="8" spans="1:8" s="267" customFormat="1">
      <c r="A8" s="946" t="s">
        <v>2331</v>
      </c>
      <c r="B8" s="259" t="s">
        <v>2332</v>
      </c>
      <c r="C8" s="264">
        <f ca="1">IF(G8="已包含在土地购买价格中",0,C9+C10)</f>
        <v>20427944</v>
      </c>
      <c r="D8" s="266"/>
      <c r="E8" s="264"/>
      <c r="F8" s="265"/>
      <c r="G8" s="2542"/>
    </row>
    <row r="9" spans="1:8" s="258" customFormat="1" ht="13.5" customHeight="1">
      <c r="A9" s="947" t="s">
        <v>800</v>
      </c>
      <c r="B9" s="268" t="s">
        <v>2333</v>
      </c>
      <c r="C9" s="269">
        <f ca="1">ROUND(D9*E9,0)</f>
        <v>4353363</v>
      </c>
      <c r="D9" s="1029">
        <f ca="1">IF(B1="",'数据-汇总表'!E5,IF(INDIRECT("'数据-取费表'!c"&amp;$G$1)="住宅",INDIRECT("'数据-取费表'!k"&amp;$G$1),0))</f>
        <v>25608.019999999997</v>
      </c>
      <c r="E9" s="269">
        <f>'数据-取费表'!B27</f>
        <v>170</v>
      </c>
      <c r="F9" s="265"/>
      <c r="G9" s="270"/>
    </row>
    <row r="10" spans="1:8" s="258" customFormat="1" ht="13.5" customHeight="1">
      <c r="A10" s="947" t="s">
        <v>801</v>
      </c>
      <c r="B10" s="268" t="s">
        <v>2335</v>
      </c>
      <c r="C10" s="269">
        <f ca="1">ROUND(D10*E10,0)</f>
        <v>16074581</v>
      </c>
      <c r="D10" s="1029">
        <f ca="1">IF(B1="",'数据-汇总表'!E6,IF(INDIRECT("'数据-取费表'!c"&amp;$G$1)="住宅",INDIRECT("'数据-取费表'!s"&amp;$G$1),INDIRECT("'数据-取费表'!k"&amp;$G$1)+INDIRECT("'数据-取费表'!s"&amp;$G$1)))</f>
        <v>94556.359999999986</v>
      </c>
      <c r="E10" s="269">
        <f>'数据-取费表'!B28</f>
        <v>170</v>
      </c>
      <c r="F10" s="265"/>
      <c r="G10" s="270"/>
    </row>
    <row r="11" spans="1:8" s="258" customFormat="1" ht="13.5" hidden="1" customHeight="1">
      <c r="A11" s="271" t="s">
        <v>7</v>
      </c>
      <c r="B11" s="259" t="s">
        <v>2336</v>
      </c>
      <c r="C11" s="255"/>
      <c r="D11" s="1031"/>
      <c r="E11" s="262"/>
      <c r="F11" s="262"/>
      <c r="G11" s="263"/>
    </row>
    <row r="12" spans="1:8" s="258" customFormat="1" ht="13.5" hidden="1" customHeight="1">
      <c r="A12" s="271" t="s">
        <v>8</v>
      </c>
      <c r="B12" s="259" t="s">
        <v>2419</v>
      </c>
      <c r="C12" s="255">
        <v>0</v>
      </c>
      <c r="D12" s="1031"/>
      <c r="E12" s="272"/>
      <c r="F12" s="265">
        <v>3.0499999999999999E-2</v>
      </c>
      <c r="G12" s="263"/>
    </row>
    <row r="13" spans="1:8" s="258" customFormat="1" ht="13.5" hidden="1" customHeight="1">
      <c r="A13" s="271" t="s">
        <v>9</v>
      </c>
      <c r="B13" s="259" t="s">
        <v>2420</v>
      </c>
      <c r="C13" s="255"/>
      <c r="D13" s="1031"/>
      <c r="E13" s="262"/>
      <c r="F13" s="262"/>
      <c r="G13" s="263"/>
    </row>
    <row r="14" spans="1:8" s="258" customFormat="1" ht="13.5" hidden="1" customHeight="1">
      <c r="A14" s="271" t="s">
        <v>10</v>
      </c>
      <c r="B14" s="259" t="s">
        <v>2332</v>
      </c>
      <c r="C14" s="255"/>
      <c r="D14" s="1031"/>
      <c r="E14" s="262"/>
      <c r="F14" s="262"/>
      <c r="G14" s="263" t="s">
        <v>2421</v>
      </c>
    </row>
    <row r="15" spans="1:8" s="258" customFormat="1" ht="13.5" hidden="1" customHeight="1">
      <c r="A15" s="271" t="s">
        <v>11</v>
      </c>
      <c r="B15" s="259" t="s">
        <v>2422</v>
      </c>
      <c r="C15" s="264"/>
      <c r="D15" s="1031"/>
      <c r="E15" s="262"/>
      <c r="F15" s="262"/>
      <c r="G15" s="263" t="s">
        <v>2423</v>
      </c>
    </row>
    <row r="16" spans="1:8" s="258" customFormat="1" ht="13.5" hidden="1" customHeight="1">
      <c r="A16" s="271" t="s">
        <v>12</v>
      </c>
      <c r="B16" s="259" t="s">
        <v>2332</v>
      </c>
      <c r="C16" s="264"/>
      <c r="D16" s="1031"/>
      <c r="E16" s="262"/>
      <c r="F16" s="262"/>
      <c r="G16" s="263"/>
    </row>
    <row r="17" spans="1:7" s="258" customFormat="1" ht="13.5" hidden="1" customHeight="1">
      <c r="A17" s="271" t="s">
        <v>13</v>
      </c>
      <c r="B17" s="259" t="s">
        <v>2424</v>
      </c>
      <c r="C17" s="273"/>
      <c r="D17" s="1032"/>
      <c r="E17" s="273"/>
      <c r="F17" s="273"/>
      <c r="G17" s="263" t="s">
        <v>2423</v>
      </c>
    </row>
    <row r="18" spans="1:7" s="258" customFormat="1" ht="13.5" hidden="1" customHeight="1">
      <c r="A18" s="271" t="s">
        <v>14</v>
      </c>
      <c r="B18" s="259" t="s">
        <v>2425</v>
      </c>
      <c r="C18" s="264">
        <v>0</v>
      </c>
      <c r="D18" s="1031"/>
      <c r="E18" s="262"/>
      <c r="F18" s="265">
        <v>3.0499999999999999E-2</v>
      </c>
      <c r="G18" s="263" t="s">
        <v>2426</v>
      </c>
    </row>
    <row r="19" spans="1:7" s="267" customFormat="1" ht="13.5" customHeight="1">
      <c r="A19" s="299" t="s">
        <v>2427</v>
      </c>
      <c r="B19" s="254" t="s">
        <v>2428</v>
      </c>
      <c r="C19" s="255">
        <f ca="1">IF(G19="已包含在土地取得成本中","0",ROUND(D19*E19,0))</f>
        <v>24032876</v>
      </c>
      <c r="D19" s="1033">
        <f ca="1">D9+D10</f>
        <v>120164.37999999998</v>
      </c>
      <c r="E19" s="255">
        <f>'数据-取费表'!B31</f>
        <v>200</v>
      </c>
      <c r="F19" s="275"/>
      <c r="G19" s="2542"/>
    </row>
    <row r="20" spans="1:7" s="258" customFormat="1" ht="13.5" customHeight="1">
      <c r="A20" s="299" t="s">
        <v>2429</v>
      </c>
      <c r="B20" s="254" t="s">
        <v>2430</v>
      </c>
      <c r="C20" s="276">
        <f ca="1">ROUND((C5+C19)*F20,0)</f>
        <v>889216</v>
      </c>
      <c r="D20" s="276"/>
      <c r="E20" s="276"/>
      <c r="F20" s="277">
        <f>'数据-取费表'!B37</f>
        <v>0.02</v>
      </c>
      <c r="G20" s="278" t="s">
        <v>2431</v>
      </c>
    </row>
    <row r="21" spans="1:7" s="258" customFormat="1" ht="13.5" customHeight="1">
      <c r="A21" s="299" t="s">
        <v>2432</v>
      </c>
      <c r="B21" s="254" t="s">
        <v>2433</v>
      </c>
      <c r="C21" s="279">
        <f>F21</f>
        <v>0.03</v>
      </c>
      <c r="D21" s="280" t="s">
        <v>2434</v>
      </c>
      <c r="E21" s="276"/>
      <c r="F21" s="277">
        <f>'数据-取费表'!B38</f>
        <v>0.03</v>
      </c>
      <c r="G21" s="278" t="s">
        <v>2435</v>
      </c>
    </row>
    <row r="22" spans="1:7" s="258" customFormat="1" ht="13.5" customHeight="1">
      <c r="A22" s="299" t="s">
        <v>2436</v>
      </c>
      <c r="B22" s="254" t="s">
        <v>2437</v>
      </c>
      <c r="C22" s="1377">
        <f ca="1">ROUND(SUM(C23:C25),0)</f>
        <v>6705479</v>
      </c>
      <c r="D22" s="279">
        <f ca="1">C26</f>
        <v>2.2000000000000001E-3</v>
      </c>
      <c r="E22" s="280" t="s">
        <v>2434</v>
      </c>
      <c r="F22" s="281">
        <f ca="1">'数据-取费表'!B40</f>
        <v>4.7500000000000001E-2</v>
      </c>
      <c r="G22" s="278" t="str">
        <f>IF('数据-取费表'!B22&lt;=1,"单利计息","复利计息")</f>
        <v>复利计息</v>
      </c>
    </row>
    <row r="23" spans="1:7" s="258" customFormat="1" ht="13.5" customHeight="1">
      <c r="A23" s="948" t="s">
        <v>2327</v>
      </c>
      <c r="B23" s="259" t="s">
        <v>2438</v>
      </c>
      <c r="C23" s="1378">
        <f ca="1">ROUND(IF('数据-取费表'!B22&lt;=1,C5*F22*'数据-取费表'!B22,C5*(POWER((1+F22),'数据-取费表'!B22)-1)),0)</f>
        <v>3051443</v>
      </c>
      <c r="D23" s="282"/>
      <c r="E23" s="282"/>
      <c r="F23" s="283"/>
      <c r="G23" s="284" t="s">
        <v>2439</v>
      </c>
    </row>
    <row r="24" spans="1:7" s="258" customFormat="1" ht="13.5" customHeight="1">
      <c r="A24" s="948" t="s">
        <v>2329</v>
      </c>
      <c r="B24" s="259" t="s">
        <v>2440</v>
      </c>
      <c r="C24" s="1378">
        <f ca="1">ROUND(IF('数据-取费表'!B22&lt;=1,C19*F22*('数据-取费表'!B19/2+'数据-取费表'!B20),C19*(POWER((1+F22),('数据-取费表'!B19/2+'数据-取费表'!B20))-1)),0)</f>
        <v>3589933</v>
      </c>
      <c r="D24" s="282"/>
      <c r="E24" s="282"/>
      <c r="F24" s="283"/>
      <c r="G24" s="284" t="s">
        <v>2441</v>
      </c>
    </row>
    <row r="25" spans="1:7" s="258" customFormat="1" ht="24">
      <c r="A25" s="948" t="s">
        <v>2331</v>
      </c>
      <c r="B25" s="259" t="s">
        <v>2442</v>
      </c>
      <c r="C25" s="1378">
        <f ca="1">ROUND(IF('数据-取费表'!B22&lt;=1,C20*F22*'数据-取费表'!B22/2,C20*(POWER((1+F22),'数据-取费表'!B22/2)-1)),0)</f>
        <v>64103</v>
      </c>
      <c r="D25" s="282"/>
      <c r="E25" s="285"/>
      <c r="F25" s="283"/>
      <c r="G25" s="286" t="s">
        <v>2443</v>
      </c>
    </row>
    <row r="26" spans="1:7" s="258" customFormat="1">
      <c r="A26" s="948" t="s">
        <v>795</v>
      </c>
      <c r="B26" s="259" t="s">
        <v>2366</v>
      </c>
      <c r="C26" s="282">
        <f ca="1">ROUND(IF('数据-取费表'!B22&lt;=1,F21*F22*'数据-取费表'!B22/2,F21*(POWER((1+F22),'数据-取费表'!B22/2)-1)),4)</f>
        <v>2.2000000000000001E-3</v>
      </c>
      <c r="D26" s="282"/>
      <c r="E26" s="285"/>
      <c r="F26" s="283"/>
      <c r="G26" s="287"/>
    </row>
    <row r="27" spans="1:7" s="258" customFormat="1" ht="24.75">
      <c r="A27" s="299" t="s">
        <v>2367</v>
      </c>
      <c r="B27" s="288" t="s">
        <v>2368</v>
      </c>
      <c r="C27" s="289">
        <f ca="1">C28</f>
        <v>6349005</v>
      </c>
      <c r="D27" s="279">
        <f ca="1">C29</f>
        <v>4.1999999999999997E-3</v>
      </c>
      <c r="E27" s="280" t="s">
        <v>2369</v>
      </c>
      <c r="F27" s="290">
        <f ca="1">IF(B1="",'数据-取费表'!Q16,INDIRECT("'数据-取费表'!q"&amp;$G$1))</f>
        <v>0.14000000000000001</v>
      </c>
      <c r="G27" s="291" t="s">
        <v>2370</v>
      </c>
    </row>
    <row r="28" spans="1:7" s="258" customFormat="1" ht="13.5" customHeight="1">
      <c r="A28" s="948" t="s">
        <v>791</v>
      </c>
      <c r="B28" s="292" t="s">
        <v>2371</v>
      </c>
      <c r="C28" s="293">
        <f ca="1">ROUND((C5+C19+C20)*F27,0)</f>
        <v>6349005</v>
      </c>
      <c r="D28" s="279"/>
      <c r="E28" s="280"/>
      <c r="F28" s="290"/>
      <c r="G28" s="291"/>
    </row>
    <row r="29" spans="1:7" s="258" customFormat="1" ht="13.5" customHeight="1">
      <c r="A29" s="948" t="s">
        <v>792</v>
      </c>
      <c r="B29" s="292" t="s">
        <v>2372</v>
      </c>
      <c r="C29" s="282">
        <f ca="1">ROUND(C21*F27,4)</f>
        <v>4.1999999999999997E-3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64159640</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374181295</v>
      </c>
      <c r="D33" s="276"/>
      <c r="E33" s="256"/>
      <c r="F33" s="285"/>
      <c r="G33" s="278"/>
    </row>
    <row r="34" spans="1:7" s="302" customFormat="1" ht="13.5" customHeight="1">
      <c r="A34" s="948" t="s">
        <v>791</v>
      </c>
      <c r="B34" s="259" t="s">
        <v>2380</v>
      </c>
      <c r="C34" s="264">
        <f ca="1">ROUND(IF(B1="",SUMPRODUCT('数据-取费表'!K6:K14,'数据-取费表'!L6:L14),INDIRECT("'数据-取费表'!l"&amp;$G$1)*INDIRECT("'数据-取费表'!k"&amp;$G$1)+'数据-取费表'!L14*INDIRECT("'数据-取费表'!S"&amp;$G$1)),0)</f>
        <v>328777858</v>
      </c>
      <c r="D34" s="261"/>
      <c r="E34" s="264"/>
      <c r="F34" s="301"/>
      <c r="G34" s="263"/>
    </row>
    <row r="35" spans="1:7" ht="13.5" customHeight="1">
      <c r="A35" s="948" t="s">
        <v>796</v>
      </c>
      <c r="B35" s="259" t="s">
        <v>2382</v>
      </c>
      <c r="C35" s="264">
        <f ca="1">ROUND(C34*F35,0)</f>
        <v>16438893</v>
      </c>
      <c r="D35" s="264"/>
      <c r="E35" s="264"/>
      <c r="F35" s="303">
        <f>'数据-取费表'!B33</f>
        <v>0.05</v>
      </c>
      <c r="G35" s="263" t="s">
        <v>2383</v>
      </c>
    </row>
    <row r="36" spans="1:7" ht="24">
      <c r="A36" s="948"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48" t="s">
        <v>798</v>
      </c>
      <c r="B37" s="259" t="s">
        <v>2386</v>
      </c>
      <c r="C37" s="293">
        <f ca="1">ROUND(E37*D37,0)</f>
        <v>24032876</v>
      </c>
      <c r="D37" s="261">
        <f ca="1">D19</f>
        <v>120164.37999999998</v>
      </c>
      <c r="E37" s="293">
        <f>'数据-取费表'!B35</f>
        <v>200</v>
      </c>
      <c r="F37" s="303"/>
      <c r="G37" s="305"/>
    </row>
    <row r="38" spans="1:7" ht="13.5" customHeight="1">
      <c r="A38" s="948" t="s">
        <v>799</v>
      </c>
      <c r="B38" s="259" t="s">
        <v>2388</v>
      </c>
      <c r="C38" s="264">
        <f ca="1">ROUND(C34*F38,0)</f>
        <v>4931668</v>
      </c>
      <c r="D38" s="264"/>
      <c r="E38" s="264"/>
      <c r="F38" s="303">
        <f>'数据-取费表'!B36</f>
        <v>1.4999999999999999E-2</v>
      </c>
      <c r="G38" s="263" t="s">
        <v>2383</v>
      </c>
    </row>
    <row r="39" spans="1:7" s="258" customFormat="1" ht="13.5" customHeight="1">
      <c r="A39" s="299" t="s">
        <v>2389</v>
      </c>
      <c r="B39" s="254" t="s">
        <v>2390</v>
      </c>
      <c r="C39" s="276">
        <f ca="1">ROUND(C33*F20,0)</f>
        <v>7483626</v>
      </c>
      <c r="D39" s="276"/>
      <c r="E39" s="276"/>
      <c r="F39" s="277"/>
      <c r="G39" s="278" t="s">
        <v>2391</v>
      </c>
    </row>
    <row r="40" spans="1:7" s="258" customFormat="1" ht="13.5" customHeight="1">
      <c r="A40" s="299" t="s">
        <v>2392</v>
      </c>
      <c r="B40" s="254" t="s">
        <v>2393</v>
      </c>
      <c r="C40" s="1725">
        <f>F21</f>
        <v>0.03</v>
      </c>
      <c r="D40" s="280" t="s">
        <v>2394</v>
      </c>
      <c r="E40" s="276"/>
      <c r="F40" s="277"/>
      <c r="G40" s="278" t="s">
        <v>2395</v>
      </c>
    </row>
    <row r="41" spans="1:7" s="258" customFormat="1" ht="13.5" customHeight="1">
      <c r="A41" s="299" t="s">
        <v>2396</v>
      </c>
      <c r="B41" s="254" t="s">
        <v>2397</v>
      </c>
      <c r="C41" s="276">
        <f ca="1">ROUND(SUM(C42:C43),0)</f>
        <v>27514038</v>
      </c>
      <c r="D41" s="279">
        <f ca="1">C44</f>
        <v>2.2000000000000001E-3</v>
      </c>
      <c r="E41" s="280" t="s">
        <v>2394</v>
      </c>
      <c r="F41" s="281"/>
      <c r="G41" s="278" t="str">
        <f>IF('数据-取费表'!B22&lt;=1,"单利计息","复利计息")</f>
        <v>复利计息</v>
      </c>
    </row>
    <row r="42" spans="1:7" ht="13.5" customHeight="1">
      <c r="A42" s="948" t="s">
        <v>791</v>
      </c>
      <c r="B42" s="259" t="s">
        <v>2398</v>
      </c>
      <c r="C42" s="282">
        <f ca="1">ROUND(IF('数据-取费表'!B22&lt;=1,C33*F22*'数据-取费表'!B20/2,C33*(POWER((1+F22),'数据-取费表'!B20/2)-1)),0)</f>
        <v>26974547</v>
      </c>
      <c r="D42" s="282"/>
      <c r="E42" s="282"/>
      <c r="F42" s="283"/>
      <c r="G42" s="3276" t="s">
        <v>2446</v>
      </c>
    </row>
    <row r="43" spans="1:7" ht="13.5" customHeight="1">
      <c r="A43" s="948" t="s">
        <v>792</v>
      </c>
      <c r="B43" s="259" t="s">
        <v>2400</v>
      </c>
      <c r="C43" s="282">
        <f ca="1">ROUND(IF('数据-取费表'!B22&lt;=1,C39*F22*'数据-取费表'!B20/2,C39*(POWER((1+F22),'数据-取费表'!B20/2)-1)),0)</f>
        <v>539491</v>
      </c>
      <c r="D43" s="282"/>
      <c r="E43" s="282"/>
      <c r="F43" s="283"/>
      <c r="G43" s="3277"/>
    </row>
    <row r="44" spans="1:7" ht="13.5" customHeight="1">
      <c r="A44" s="948" t="s">
        <v>793</v>
      </c>
      <c r="B44" s="259" t="s">
        <v>2401</v>
      </c>
      <c r="C44" s="282">
        <f ca="1">ROUND(IF('数据-取费表'!B22&lt;=1,C40*F22*'数据-取费表'!B20/2,C40*(POWER((1+F22),'数据-取费表'!B20/2)-1)),4)</f>
        <v>2.2000000000000001E-3</v>
      </c>
      <c r="D44" s="282"/>
      <c r="E44" s="282"/>
      <c r="F44" s="283"/>
      <c r="G44" s="3278"/>
    </row>
    <row r="45" spans="1:7" s="258" customFormat="1" ht="13.5" customHeight="1">
      <c r="A45" s="299" t="s">
        <v>2402</v>
      </c>
      <c r="B45" s="288" t="s">
        <v>2368</v>
      </c>
      <c r="C45" s="289">
        <f ca="1">C46</f>
        <v>53433089</v>
      </c>
      <c r="D45" s="279">
        <f ca="1">C47</f>
        <v>4.1999999999999997E-3</v>
      </c>
      <c r="E45" s="280" t="s">
        <v>2394</v>
      </c>
      <c r="F45" s="290"/>
      <c r="G45" s="291" t="s">
        <v>2403</v>
      </c>
    </row>
    <row r="46" spans="1:7" s="258" customFormat="1" ht="13.5" customHeight="1">
      <c r="A46" s="948" t="s">
        <v>791</v>
      </c>
      <c r="B46" s="292" t="s">
        <v>2404</v>
      </c>
      <c r="C46" s="293">
        <f ca="1">ROUND((C33+C39)*F27,0)</f>
        <v>53433089</v>
      </c>
      <c r="D46" s="307"/>
      <c r="E46" s="280"/>
      <c r="F46" s="290"/>
      <c r="G46" s="291"/>
    </row>
    <row r="47" spans="1:7" s="258" customFormat="1" ht="13.5" customHeight="1">
      <c r="A47" s="948" t="s">
        <v>792</v>
      </c>
      <c r="B47" s="292" t="s">
        <v>2405</v>
      </c>
      <c r="C47" s="282">
        <f ca="1">ROUND(C40*F27,4)</f>
        <v>4.1999999999999997E-3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508197350</v>
      </c>
      <c r="D49" s="276"/>
      <c r="E49" s="276"/>
      <c r="F49" s="308"/>
      <c r="G49" s="278" t="s">
        <v>2409</v>
      </c>
    </row>
    <row r="50" spans="1:7" s="302" customFormat="1">
      <c r="A50" s="299" t="s">
        <v>2410</v>
      </c>
      <c r="B50" s="254" t="s">
        <v>2411</v>
      </c>
      <c r="C50" s="276"/>
      <c r="D50" s="276"/>
      <c r="E50" s="276"/>
      <c r="F50" s="308">
        <f>IF('数据-取费表'!B24=0,'数据-取费表'!N16,1)</f>
        <v>1</v>
      </c>
      <c r="G50" s="291"/>
    </row>
    <row r="51" spans="1:7" ht="16.5" customHeight="1">
      <c r="A51" s="299" t="s">
        <v>2413</v>
      </c>
      <c r="B51" s="254" t="s">
        <v>2448</v>
      </c>
      <c r="C51" s="276">
        <f ca="1">ROUND(C49*F50,0)</f>
        <v>508197350</v>
      </c>
      <c r="D51" s="276"/>
      <c r="E51" s="276"/>
      <c r="F51" s="308"/>
      <c r="G51" s="278" t="s">
        <v>2415</v>
      </c>
    </row>
    <row r="52" spans="1:7" s="252" customFormat="1" ht="16.5" thickBot="1">
      <c r="A52" s="309" t="s">
        <v>2416</v>
      </c>
      <c r="B52" s="310"/>
      <c r="C52" s="311">
        <f ca="1">C31+C51</f>
        <v>572356990</v>
      </c>
      <c r="D52" s="310"/>
      <c r="E52" s="310"/>
      <c r="F52" s="310"/>
      <c r="G52" s="312"/>
    </row>
    <row r="55" spans="1:7" ht="15">
      <c r="B55" s="314" t="s">
        <v>2417</v>
      </c>
      <c r="C55" s="315"/>
    </row>
    <row r="56" spans="1:7">
      <c r="B56" s="317" t="s">
        <v>1507</v>
      </c>
      <c r="C56" s="319">
        <f ca="1">1-C57</f>
        <v>0.11199999999999999</v>
      </c>
    </row>
    <row r="57" spans="1:7">
      <c r="B57" s="317" t="s">
        <v>1508</v>
      </c>
      <c r="C57" s="318">
        <f ca="1">ROUND(C51/C52,3)</f>
        <v>0.88800000000000001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80" zoomScaleNormal="80" workbookViewId="0">
      <selection activeCell="E6" sqref="E6:F6"/>
    </sheetView>
  </sheetViews>
  <sheetFormatPr defaultColWidth="9" defaultRowHeight="14.25"/>
  <cols>
    <col min="1" max="1" width="14.375" style="403" customWidth="1"/>
    <col min="2" max="2" width="15.75" style="403" customWidth="1"/>
    <col min="3" max="3" width="14.875" style="403" customWidth="1"/>
    <col min="4" max="4" width="14.125" style="403" customWidth="1"/>
    <col min="5" max="5" width="15.5" style="403" customWidth="1"/>
    <col min="6" max="6" width="12.25" style="403" customWidth="1"/>
    <col min="7" max="7" width="15.5" style="403" customWidth="1"/>
    <col min="8" max="8" width="12.25" style="403" customWidth="1"/>
    <col min="9" max="9" width="1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2731</v>
      </c>
      <c r="B1" s="395"/>
      <c r="C1" s="396" t="s">
        <v>2732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f>F66</f>
        <v>100854</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2319</v>
      </c>
      <c r="B3" s="609">
        <f>ROUND(IF(D3="",B2*10000/'数据-汇总表'!E3,B2*10000/D3),0)</f>
        <v>8393</v>
      </c>
      <c r="C3" s="247" t="s">
        <v>2733</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2632</v>
      </c>
      <c r="B4" s="402"/>
      <c r="C4" s="3294" t="s">
        <v>2633</v>
      </c>
      <c r="D4" s="3295"/>
      <c r="E4" s="3296" t="s">
        <v>2634</v>
      </c>
      <c r="F4" s="3297"/>
      <c r="G4" s="3294" t="s">
        <v>2635</v>
      </c>
      <c r="H4" s="3295"/>
      <c r="I4" s="3294" t="s">
        <v>2636</v>
      </c>
      <c r="J4" s="3295"/>
      <c r="K4" s="610" t="s">
        <v>2637</v>
      </c>
      <c r="L4" s="1127"/>
      <c r="M4" s="1128"/>
      <c r="N4" s="1128"/>
      <c r="O4" s="1128"/>
      <c r="P4" s="3298" t="s">
        <v>2638</v>
      </c>
      <c r="Q4" s="3299"/>
      <c r="R4" s="3284" t="s">
        <v>2634</v>
      </c>
      <c r="S4" s="3285"/>
      <c r="T4" s="3284" t="s">
        <v>2635</v>
      </c>
      <c r="U4" s="3285"/>
      <c r="V4" s="3306" t="s">
        <v>2636</v>
      </c>
      <c r="W4" s="3306"/>
      <c r="X4" s="1810"/>
      <c r="Y4" s="3284" t="s">
        <v>2638</v>
      </c>
      <c r="Z4" s="3285"/>
      <c r="AA4" s="3279" t="s">
        <v>2634</v>
      </c>
      <c r="AB4" s="3280" t="s">
        <v>2635</v>
      </c>
      <c r="AC4" s="3279" t="s">
        <v>2636</v>
      </c>
    </row>
    <row r="5" spans="1:30" ht="30.6" customHeight="1">
      <c r="A5" s="404"/>
      <c r="B5" s="405"/>
      <c r="C5" s="3288" t="s">
        <v>3104</v>
      </c>
      <c r="D5" s="3289"/>
      <c r="E5" s="3288" t="s">
        <v>3221</v>
      </c>
      <c r="F5" s="3289"/>
      <c r="G5" s="3288" t="s">
        <v>3223</v>
      </c>
      <c r="H5" s="3289"/>
      <c r="I5" s="3288" t="s">
        <v>3105</v>
      </c>
      <c r="J5" s="3289"/>
      <c r="K5" s="610"/>
      <c r="L5" s="1127"/>
      <c r="M5" s="1128"/>
      <c r="N5" s="1128"/>
      <c r="O5" s="1128"/>
      <c r="P5" s="3300"/>
      <c r="Q5" s="3301"/>
      <c r="R5" s="3286"/>
      <c r="S5" s="3287"/>
      <c r="T5" s="3286"/>
      <c r="U5" s="3287"/>
      <c r="V5" s="3306"/>
      <c r="W5" s="3306"/>
      <c r="X5" s="1810"/>
      <c r="Y5" s="3286"/>
      <c r="Z5" s="3287"/>
      <c r="AA5" s="3280"/>
      <c r="AB5" s="3280"/>
      <c r="AC5" s="3280"/>
    </row>
    <row r="6" spans="1:30" ht="35.450000000000003" customHeight="1" thickBot="1">
      <c r="A6" s="406"/>
      <c r="B6" s="407"/>
      <c r="C6" s="3290" t="s">
        <v>3106</v>
      </c>
      <c r="D6" s="3291"/>
      <c r="E6" s="3292" t="s">
        <v>3219</v>
      </c>
      <c r="F6" s="3291"/>
      <c r="G6" s="3292" t="s">
        <v>3222</v>
      </c>
      <c r="H6" s="3291"/>
      <c r="I6" s="3292" t="s">
        <v>3107</v>
      </c>
      <c r="J6" s="3291"/>
      <c r="K6" s="610" t="s">
        <v>2534</v>
      </c>
      <c r="L6" s="1127"/>
      <c r="M6" s="1128"/>
      <c r="N6" s="1128"/>
      <c r="O6" s="1128"/>
      <c r="P6" s="3302"/>
      <c r="Q6" s="3303"/>
      <c r="R6" s="3286"/>
      <c r="S6" s="3287"/>
      <c r="T6" s="3304"/>
      <c r="U6" s="3305"/>
      <c r="V6" s="3306"/>
      <c r="W6" s="3306"/>
      <c r="X6" s="1810"/>
      <c r="Y6" s="3304"/>
      <c r="Z6" s="3305"/>
      <c r="AA6" s="3281"/>
      <c r="AB6" s="3281"/>
      <c r="AC6" s="3281"/>
    </row>
    <row r="7" spans="1:30" s="117" customFormat="1" ht="15.75" thickBot="1">
      <c r="A7" s="408" t="s">
        <v>2535</v>
      </c>
      <c r="B7" s="409"/>
      <c r="C7" s="410">
        <f>'数据-取费表'!B2</f>
        <v>43951</v>
      </c>
      <c r="D7" s="411">
        <v>100</v>
      </c>
      <c r="E7" s="412">
        <v>43838</v>
      </c>
      <c r="F7" s="413">
        <f>SUMIF(70:70,YEAR(E7)&amp;"-"&amp;INT((MONTH(E7)+2)/3),71:71)</f>
        <v>99.5</v>
      </c>
      <c r="G7" s="2688">
        <v>43838</v>
      </c>
      <c r="H7" s="411">
        <f>SUMIF(70:70,YEAR(G7)&amp;"-"&amp;INT((MONTH(G7)+2)/3),71:71)</f>
        <v>99.5</v>
      </c>
      <c r="I7" s="2688">
        <v>42552</v>
      </c>
      <c r="J7" s="411">
        <f>SUMIF(70:70,YEAR(I7)&amp;"-"&amp;INT((MONTH(I7)+2)/3),71:71)</f>
        <v>93</v>
      </c>
      <c r="K7" s="611"/>
      <c r="L7" s="1129"/>
      <c r="M7" s="1130"/>
      <c r="N7" s="1130"/>
      <c r="O7" s="1130"/>
      <c r="P7" s="3282" t="s">
        <v>2536</v>
      </c>
      <c r="Q7" s="3307"/>
      <c r="R7" s="770" t="s">
        <v>17</v>
      </c>
      <c r="S7" s="771">
        <f t="shared" ref="S7:S15" si="0">F7</f>
        <v>99.5</v>
      </c>
      <c r="T7" s="770" t="s">
        <v>17</v>
      </c>
      <c r="U7" s="771">
        <f t="shared" ref="U7:U15" si="1">H7</f>
        <v>99.5</v>
      </c>
      <c r="V7" s="770" t="s">
        <v>17</v>
      </c>
      <c r="W7" s="771">
        <f t="shared" ref="W7:W15" si="2">J7</f>
        <v>93</v>
      </c>
      <c r="X7" s="772"/>
      <c r="Y7" s="3282" t="s">
        <v>2536</v>
      </c>
      <c r="Z7" s="3283"/>
      <c r="AA7" s="773">
        <f>D7/F7</f>
        <v>1.0050251256281406</v>
      </c>
      <c r="AB7" s="773">
        <f>D7/H7</f>
        <v>1.0050251256281406</v>
      </c>
      <c r="AC7" s="773">
        <f>D7/J7</f>
        <v>1.075268817204301</v>
      </c>
    </row>
    <row r="8" spans="1:30" s="117" customFormat="1" ht="15.75" thickBot="1">
      <c r="A8" s="408" t="s">
        <v>2537</v>
      </c>
      <c r="B8" s="409"/>
      <c r="C8" s="414" t="s">
        <v>2538</v>
      </c>
      <c r="D8" s="411">
        <v>100</v>
      </c>
      <c r="E8" s="414" t="s">
        <v>3091</v>
      </c>
      <c r="F8" s="413">
        <f>SUMIF(73:73,E8,74:74)-SUMIF(73:73,C8,74:74)+100</f>
        <v>100</v>
      </c>
      <c r="G8" s="414" t="s">
        <v>3091</v>
      </c>
      <c r="H8" s="411">
        <f>SUMIF(73:73,G8,74:74)-SUMIF(73:73,C8,74:74)+100</f>
        <v>100</v>
      </c>
      <c r="I8" s="414" t="s">
        <v>3091</v>
      </c>
      <c r="J8" s="411">
        <f>SUMIF(73:73,I8,74:74)-SUMIF(73:73,C8,74:74)+100</f>
        <v>100</v>
      </c>
      <c r="K8" s="611"/>
      <c r="L8" s="1129"/>
      <c r="M8" s="1130"/>
      <c r="N8" s="1130"/>
      <c r="O8" s="1130"/>
      <c r="P8" s="3282" t="s">
        <v>2539</v>
      </c>
      <c r="Q8" s="3283"/>
      <c r="R8" s="770" t="s">
        <v>17</v>
      </c>
      <c r="S8" s="771">
        <f t="shared" si="0"/>
        <v>100</v>
      </c>
      <c r="T8" s="770" t="s">
        <v>17</v>
      </c>
      <c r="U8" s="771">
        <f t="shared" si="1"/>
        <v>100</v>
      </c>
      <c r="V8" s="770" t="s">
        <v>17</v>
      </c>
      <c r="W8" s="771">
        <f t="shared" si="2"/>
        <v>100</v>
      </c>
      <c r="X8" s="772"/>
      <c r="Y8" s="3282" t="s">
        <v>2539</v>
      </c>
      <c r="Z8" s="3283"/>
      <c r="AA8" s="773">
        <f t="shared" ref="AA8:AA45" si="3">D8/F8</f>
        <v>1</v>
      </c>
      <c r="AB8" s="773">
        <f t="shared" ref="AB8:AB45" si="4">D8/H8</f>
        <v>1</v>
      </c>
      <c r="AC8" s="773">
        <f t="shared" ref="AC8:AC45" si="5">D8/J8</f>
        <v>1</v>
      </c>
    </row>
    <row r="9" spans="1:30" s="117" customFormat="1">
      <c r="A9" s="415" t="s">
        <v>2540</v>
      </c>
      <c r="B9" s="71" t="s">
        <v>2541</v>
      </c>
      <c r="C9" s="2968" t="s">
        <v>3068</v>
      </c>
      <c r="D9" s="135">
        <v>100</v>
      </c>
      <c r="E9" s="2691" t="s">
        <v>3068</v>
      </c>
      <c r="F9" s="135">
        <f>SUMIF(75:75,E9,76:76)-SUMIF(75:75,C9,76:76)+100</f>
        <v>100</v>
      </c>
      <c r="G9" s="2691" t="s">
        <v>3068</v>
      </c>
      <c r="H9" s="135">
        <f>SUMIF(75:75,G9,76:76)-SUMIF(75:75,C9,76:76)+100</f>
        <v>100</v>
      </c>
      <c r="I9" s="2691" t="s">
        <v>3068</v>
      </c>
      <c r="J9" s="135">
        <f>SUMIF(75:75,I9,76:76)-SUMIF(75:75,C9,76:76)+100</f>
        <v>100</v>
      </c>
      <c r="K9" s="611"/>
      <c r="L9" s="1129"/>
      <c r="M9" s="1130"/>
      <c r="N9" s="1130"/>
      <c r="O9" s="1131"/>
      <c r="P9" s="3293" t="s">
        <v>2542</v>
      </c>
      <c r="Q9" s="1792" t="str">
        <f t="shared" ref="Q9:Q15" si="6">B9</f>
        <v>用途</v>
      </c>
      <c r="R9" s="770" t="s">
        <v>17</v>
      </c>
      <c r="S9" s="771">
        <f t="shared" si="0"/>
        <v>100</v>
      </c>
      <c r="T9" s="770" t="s">
        <v>17</v>
      </c>
      <c r="U9" s="771">
        <f t="shared" si="1"/>
        <v>100</v>
      </c>
      <c r="V9" s="770" t="s">
        <v>17</v>
      </c>
      <c r="W9" s="771">
        <f t="shared" si="2"/>
        <v>100</v>
      </c>
      <c r="X9" s="772"/>
      <c r="Y9" s="3125" t="s">
        <v>2543</v>
      </c>
      <c r="Z9" s="55" t="str">
        <f t="shared" ref="Z9:Z15" si="7">Q9</f>
        <v>用途</v>
      </c>
      <c r="AA9" s="773">
        <f t="shared" si="3"/>
        <v>1</v>
      </c>
      <c r="AB9" s="773">
        <f t="shared" si="4"/>
        <v>1</v>
      </c>
      <c r="AC9" s="773">
        <f t="shared" si="5"/>
        <v>1</v>
      </c>
    </row>
    <row r="10" spans="1:30" s="427" customFormat="1" ht="27">
      <c r="A10" s="421"/>
      <c r="B10" s="422" t="s">
        <v>2544</v>
      </c>
      <c r="C10" s="432"/>
      <c r="D10" s="136">
        <v>100</v>
      </c>
      <c r="E10" s="465" t="s">
        <v>3144</v>
      </c>
      <c r="F10" s="136">
        <f>ROUND(100/'数据-取费表'!G16,0)</f>
        <v>103</v>
      </c>
      <c r="G10" s="463" t="s">
        <v>3144</v>
      </c>
      <c r="H10" s="136">
        <f>ROUND(100/'数据-取费表'!G16,0)</f>
        <v>103</v>
      </c>
      <c r="I10" s="463" t="s">
        <v>3144</v>
      </c>
      <c r="J10" s="136">
        <f>ROUND(100/'数据-取费表'!G16,0)</f>
        <v>103</v>
      </c>
      <c r="K10" s="672"/>
      <c r="L10" s="1132"/>
      <c r="M10" s="1133"/>
      <c r="N10" s="1133"/>
      <c r="O10" s="1134"/>
      <c r="P10" s="3293"/>
      <c r="Q10" s="1792" t="str">
        <f t="shared" si="6"/>
        <v>土地使用年限（年）</v>
      </c>
      <c r="R10" s="770" t="s">
        <v>17</v>
      </c>
      <c r="S10" s="771">
        <f t="shared" si="0"/>
        <v>103</v>
      </c>
      <c r="T10" s="770" t="s">
        <v>17</v>
      </c>
      <c r="U10" s="771">
        <f t="shared" si="1"/>
        <v>103</v>
      </c>
      <c r="V10" s="770" t="s">
        <v>17</v>
      </c>
      <c r="W10" s="771">
        <f t="shared" si="2"/>
        <v>103</v>
      </c>
      <c r="X10" s="772"/>
      <c r="Y10" s="3125"/>
      <c r="Z10" s="55" t="str">
        <f t="shared" si="7"/>
        <v>土地使用年限（年）</v>
      </c>
      <c r="AA10" s="773">
        <f t="shared" si="3"/>
        <v>0.970873786407767</v>
      </c>
      <c r="AB10" s="773">
        <f t="shared" si="4"/>
        <v>0.970873786407767</v>
      </c>
      <c r="AC10" s="773">
        <f t="shared" si="5"/>
        <v>0.970873786407767</v>
      </c>
    </row>
    <row r="11" spans="1:30" ht="15">
      <c r="A11" s="428"/>
      <c r="B11" s="422" t="s">
        <v>2545</v>
      </c>
      <c r="C11" s="429">
        <v>5.84</v>
      </c>
      <c r="D11" s="136">
        <v>100</v>
      </c>
      <c r="E11" s="429">
        <v>3</v>
      </c>
      <c r="F11" s="136">
        <f>LOOKUP(E11,80:80,81:81)-LOOKUP(C11,80:80,81:81)+100</f>
        <v>106</v>
      </c>
      <c r="G11" s="430">
        <v>3</v>
      </c>
      <c r="H11" s="136">
        <f>LOOKUP(G11,80:80,81:81)-LOOKUP(C11,80:80,81:81)+100</f>
        <v>106</v>
      </c>
      <c r="I11" s="429">
        <v>2.5</v>
      </c>
      <c r="J11" s="136">
        <f>LOOKUP(I11,80:80,81:81)-LOOKUP(C11,80:80,81:81)+100</f>
        <v>109</v>
      </c>
      <c r="K11" s="673">
        <v>3</v>
      </c>
      <c r="L11" s="1135"/>
      <c r="M11" s="1128"/>
      <c r="N11" s="1128"/>
      <c r="O11" s="1136"/>
      <c r="P11" s="3293"/>
      <c r="Q11" s="1792" t="str">
        <f t="shared" si="6"/>
        <v>容积率</v>
      </c>
      <c r="R11" s="770" t="s">
        <v>17</v>
      </c>
      <c r="S11" s="771">
        <f t="shared" si="0"/>
        <v>106</v>
      </c>
      <c r="T11" s="770" t="s">
        <v>17</v>
      </c>
      <c r="U11" s="771">
        <f t="shared" si="1"/>
        <v>106</v>
      </c>
      <c r="V11" s="770" t="s">
        <v>17</v>
      </c>
      <c r="W11" s="771">
        <f t="shared" si="2"/>
        <v>109</v>
      </c>
      <c r="X11" s="772"/>
      <c r="Y11" s="3125"/>
      <c r="Z11" s="55" t="str">
        <f t="shared" si="7"/>
        <v>容积率</v>
      </c>
      <c r="AA11" s="773">
        <f t="shared" si="3"/>
        <v>0.94339622641509435</v>
      </c>
      <c r="AB11" s="773">
        <f t="shared" si="4"/>
        <v>0.94339622641509435</v>
      </c>
      <c r="AC11" s="773">
        <f t="shared" si="5"/>
        <v>0.91743119266055051</v>
      </c>
    </row>
    <row r="12" spans="1:30" s="117" customFormat="1" ht="15.75" thickBot="1">
      <c r="A12" s="431"/>
      <c r="B12" s="2592"/>
      <c r="C12" s="2967"/>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293"/>
      <c r="Q12" s="1792">
        <f t="shared" si="6"/>
        <v>0</v>
      </c>
      <c r="R12" s="770" t="s">
        <v>17</v>
      </c>
      <c r="S12" s="771">
        <f t="shared" si="0"/>
        <v>100</v>
      </c>
      <c r="T12" s="770" t="s">
        <v>17</v>
      </c>
      <c r="U12" s="771">
        <f t="shared" si="1"/>
        <v>100</v>
      </c>
      <c r="V12" s="770" t="s">
        <v>17</v>
      </c>
      <c r="W12" s="771">
        <f t="shared" si="2"/>
        <v>100</v>
      </c>
      <c r="X12" s="772"/>
      <c r="Y12" s="3125"/>
      <c r="Z12" s="55">
        <f t="shared" si="7"/>
        <v>0</v>
      </c>
      <c r="AA12" s="773">
        <f>D12/F12</f>
        <v>1</v>
      </c>
      <c r="AB12" s="773">
        <f>D12/H12</f>
        <v>1</v>
      </c>
      <c r="AC12" s="773">
        <f>D12/J12</f>
        <v>1</v>
      </c>
    </row>
    <row r="13" spans="1:30" ht="15" hidden="1">
      <c r="A13" s="428"/>
      <c r="B13" s="2592"/>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93"/>
      <c r="Q13" s="1792">
        <f t="shared" si="6"/>
        <v>0</v>
      </c>
      <c r="R13" s="770" t="s">
        <v>17</v>
      </c>
      <c r="S13" s="771">
        <f t="shared" si="0"/>
        <v>100</v>
      </c>
      <c r="T13" s="770" t="s">
        <v>17</v>
      </c>
      <c r="U13" s="771">
        <f t="shared" si="1"/>
        <v>100</v>
      </c>
      <c r="V13" s="770" t="s">
        <v>17</v>
      </c>
      <c r="W13" s="771">
        <f t="shared" si="2"/>
        <v>100</v>
      </c>
      <c r="X13" s="772"/>
      <c r="Y13" s="3125"/>
      <c r="Z13" s="55">
        <f t="shared" si="7"/>
        <v>0</v>
      </c>
      <c r="AA13" s="773">
        <f>D13/F13</f>
        <v>1</v>
      </c>
      <c r="AB13" s="773">
        <f>D13/H13</f>
        <v>1</v>
      </c>
      <c r="AC13" s="773">
        <f>D13/J13</f>
        <v>1</v>
      </c>
    </row>
    <row r="14" spans="1:30" ht="15.75" hidden="1" thickBot="1">
      <c r="A14" s="436"/>
      <c r="B14" s="2594"/>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93"/>
      <c r="Q14" s="1792">
        <f t="shared" si="6"/>
        <v>0</v>
      </c>
      <c r="R14" s="770" t="s">
        <v>17</v>
      </c>
      <c r="S14" s="771">
        <f t="shared" si="0"/>
        <v>100</v>
      </c>
      <c r="T14" s="770" t="s">
        <v>17</v>
      </c>
      <c r="U14" s="771">
        <f t="shared" si="1"/>
        <v>100</v>
      </c>
      <c r="V14" s="770" t="s">
        <v>17</v>
      </c>
      <c r="W14" s="771">
        <f t="shared" si="2"/>
        <v>100</v>
      </c>
      <c r="X14" s="772"/>
      <c r="Y14" s="3125"/>
      <c r="Z14" s="55">
        <f t="shared" si="7"/>
        <v>0</v>
      </c>
      <c r="AA14" s="773">
        <f>D14/F14</f>
        <v>1</v>
      </c>
      <c r="AB14" s="773">
        <f>D14/H14</f>
        <v>1</v>
      </c>
      <c r="AC14" s="773">
        <f>D14/J14</f>
        <v>1</v>
      </c>
    </row>
    <row r="15" spans="1:30" ht="15">
      <c r="A15" s="440" t="s">
        <v>2546</v>
      </c>
      <c r="B15" s="69" t="s">
        <v>2084</v>
      </c>
      <c r="C15" s="2595">
        <f>估价对象房地状况!C15</f>
        <v>0</v>
      </c>
      <c r="D15" s="441">
        <v>100</v>
      </c>
      <c r="E15" s="442"/>
      <c r="F15" s="441">
        <f>SUMIF(88:88,E16,89:89)-SUMIF(88:88,C16,89:89)+100</f>
        <v>96</v>
      </c>
      <c r="G15" s="442"/>
      <c r="H15" s="441">
        <f>SUMIF(88:88,G16,89:89)-SUMIF(88:88,C16,89:89)+100</f>
        <v>96</v>
      </c>
      <c r="I15" s="444"/>
      <c r="J15" s="441">
        <f>SUMIF(88:88,I16,89:89)-SUMIF(88:88,C16,89:89)+100</f>
        <v>96</v>
      </c>
      <c r="K15" s="673">
        <v>4</v>
      </c>
      <c r="L15" s="1137"/>
      <c r="M15" s="1128"/>
      <c r="N15" s="1128"/>
      <c r="O15" s="1136"/>
      <c r="P15" s="3308" t="s">
        <v>2547</v>
      </c>
      <c r="Q15" s="1807" t="str">
        <f t="shared" si="6"/>
        <v>居住社区成熟度</v>
      </c>
      <c r="R15" s="774" t="s">
        <v>17</v>
      </c>
      <c r="S15" s="775">
        <f t="shared" si="0"/>
        <v>96</v>
      </c>
      <c r="T15" s="774" t="s">
        <v>17</v>
      </c>
      <c r="U15" s="775">
        <f t="shared" si="1"/>
        <v>96</v>
      </c>
      <c r="V15" s="774" t="s">
        <v>17</v>
      </c>
      <c r="W15" s="775">
        <f t="shared" si="2"/>
        <v>96</v>
      </c>
      <c r="X15" s="1810"/>
      <c r="Y15" s="3308" t="s">
        <v>2547</v>
      </c>
      <c r="Z15" s="1811" t="str">
        <f t="shared" si="7"/>
        <v>居住社区成熟度</v>
      </c>
      <c r="AA15" s="1808">
        <f t="shared" si="3"/>
        <v>1.0416666666666667</v>
      </c>
      <c r="AB15" s="1808">
        <f t="shared" si="4"/>
        <v>1.0416666666666667</v>
      </c>
      <c r="AC15" s="1808">
        <f t="shared" si="5"/>
        <v>1.0416666666666667</v>
      </c>
    </row>
    <row r="16" spans="1:30" ht="15">
      <c r="A16" s="428"/>
      <c r="B16" s="446"/>
      <c r="C16" s="447" t="s">
        <v>3094</v>
      </c>
      <c r="D16" s="448"/>
      <c r="E16" s="2597" t="s">
        <v>3093</v>
      </c>
      <c r="F16" s="448"/>
      <c r="G16" s="2597" t="s">
        <v>3093</v>
      </c>
      <c r="H16" s="450"/>
      <c r="I16" s="2596" t="s">
        <v>3093</v>
      </c>
      <c r="J16" s="448"/>
      <c r="K16" s="672"/>
      <c r="L16" s="1137"/>
      <c r="M16" s="1128"/>
      <c r="N16" s="1128"/>
      <c r="O16" s="1136"/>
      <c r="P16" s="3309"/>
      <c r="Q16" s="1807"/>
      <c r="R16" s="774"/>
      <c r="S16" s="775"/>
      <c r="T16" s="774"/>
      <c r="U16" s="775"/>
      <c r="V16" s="774"/>
      <c r="W16" s="775"/>
      <c r="X16" s="1810"/>
      <c r="Y16" s="3309"/>
      <c r="Z16" s="1811"/>
      <c r="AA16" s="1808">
        <v>1</v>
      </c>
      <c r="AB16" s="1808">
        <v>1</v>
      </c>
      <c r="AC16" s="1808">
        <v>1</v>
      </c>
    </row>
    <row r="17" spans="1:29" ht="15">
      <c r="A17" s="428"/>
      <c r="B17" s="451" t="s">
        <v>2640</v>
      </c>
      <c r="C17" s="2656">
        <f>估价对象房地状况!C16</f>
        <v>0</v>
      </c>
      <c r="D17" s="450">
        <v>100</v>
      </c>
      <c r="E17" s="452"/>
      <c r="F17" s="450">
        <f>SUMIF(90:90,E18,91:91)-SUMIF(90:90,C18,91:91)+100</f>
        <v>96</v>
      </c>
      <c r="G17" s="452"/>
      <c r="H17" s="455">
        <f>SUMIF(90:90,G18,91:91)-SUMIF(90:90,C18,91:91)+100</f>
        <v>96</v>
      </c>
      <c r="I17" s="454"/>
      <c r="J17" s="455">
        <f>SUMIF(90:90,I18,91:91)-SUMIF(90:90,C18,91:91)+100</f>
        <v>96</v>
      </c>
      <c r="K17" s="673">
        <v>4</v>
      </c>
      <c r="L17" s="1137"/>
      <c r="M17" s="1128"/>
      <c r="N17" s="1128"/>
      <c r="O17" s="1136"/>
      <c r="P17" s="3309"/>
      <c r="Q17" s="1807" t="str">
        <f>B17</f>
        <v>商业繁华度</v>
      </c>
      <c r="R17" s="774" t="s">
        <v>17</v>
      </c>
      <c r="S17" s="775">
        <f>F17</f>
        <v>96</v>
      </c>
      <c r="T17" s="774" t="s">
        <v>17</v>
      </c>
      <c r="U17" s="775">
        <f>H17</f>
        <v>96</v>
      </c>
      <c r="V17" s="774" t="s">
        <v>17</v>
      </c>
      <c r="W17" s="775">
        <f>J17</f>
        <v>96</v>
      </c>
      <c r="X17" s="1810"/>
      <c r="Y17" s="3309"/>
      <c r="Z17" s="1811" t="str">
        <f>Q17</f>
        <v>商业繁华度</v>
      </c>
      <c r="AA17" s="1808">
        <f t="shared" si="3"/>
        <v>1.0416666666666667</v>
      </c>
      <c r="AB17" s="1808">
        <f t="shared" si="4"/>
        <v>1.0416666666666667</v>
      </c>
      <c r="AC17" s="1808">
        <f t="shared" si="5"/>
        <v>1.0416666666666667</v>
      </c>
    </row>
    <row r="18" spans="1:29" ht="15">
      <c r="A18" s="428"/>
      <c r="B18" s="456"/>
      <c r="C18" s="2600" t="s">
        <v>3094</v>
      </c>
      <c r="D18" s="450"/>
      <c r="E18" s="2602" t="s">
        <v>3093</v>
      </c>
      <c r="F18" s="450"/>
      <c r="G18" s="2602" t="s">
        <v>3093</v>
      </c>
      <c r="H18" s="448"/>
      <c r="I18" s="2601" t="s">
        <v>3093</v>
      </c>
      <c r="J18" s="448"/>
      <c r="K18" s="672"/>
      <c r="L18" s="1137"/>
      <c r="M18" s="1128"/>
      <c r="N18" s="1128"/>
      <c r="O18" s="1136"/>
      <c r="P18" s="3309"/>
      <c r="Q18" s="1807"/>
      <c r="R18" s="774"/>
      <c r="S18" s="775"/>
      <c r="T18" s="774"/>
      <c r="U18" s="775"/>
      <c r="V18" s="774"/>
      <c r="W18" s="775"/>
      <c r="X18" s="1810"/>
      <c r="Y18" s="3309"/>
      <c r="Z18" s="1811"/>
      <c r="AA18" s="1808">
        <v>1</v>
      </c>
      <c r="AB18" s="1808">
        <v>1</v>
      </c>
      <c r="AC18" s="1808">
        <v>1</v>
      </c>
    </row>
    <row r="19" spans="1:29" ht="15" hidden="1">
      <c r="A19" s="428"/>
      <c r="B19" s="451" t="s">
        <v>2674</v>
      </c>
      <c r="C19" s="265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309"/>
      <c r="Q19" s="1807" t="str">
        <f>B19</f>
        <v>办公集聚程度</v>
      </c>
      <c r="R19" s="774" t="s">
        <v>17</v>
      </c>
      <c r="S19" s="775">
        <f>F19</f>
        <v>100</v>
      </c>
      <c r="T19" s="774" t="s">
        <v>17</v>
      </c>
      <c r="U19" s="775">
        <f>H19</f>
        <v>100</v>
      </c>
      <c r="V19" s="774" t="s">
        <v>17</v>
      </c>
      <c r="W19" s="775">
        <f>J19</f>
        <v>100</v>
      </c>
      <c r="X19" s="1810"/>
      <c r="Y19" s="3309"/>
      <c r="Z19" s="1811" t="str">
        <f>Q19</f>
        <v>办公集聚程度</v>
      </c>
      <c r="AA19" s="1808">
        <f t="shared" si="3"/>
        <v>1</v>
      </c>
      <c r="AB19" s="1808">
        <f t="shared" si="4"/>
        <v>1</v>
      </c>
      <c r="AC19" s="1808">
        <f t="shared" si="5"/>
        <v>1</v>
      </c>
    </row>
    <row r="20" spans="1:29" ht="15" hidden="1">
      <c r="A20" s="428"/>
      <c r="B20" s="456"/>
      <c r="C20" s="447"/>
      <c r="D20" s="448"/>
      <c r="E20" s="2597"/>
      <c r="F20" s="448"/>
      <c r="G20" s="2597"/>
      <c r="H20" s="448"/>
      <c r="I20" s="2596"/>
      <c r="J20" s="448"/>
      <c r="K20" s="672"/>
      <c r="L20" s="1137"/>
      <c r="M20" s="1128"/>
      <c r="N20" s="1128"/>
      <c r="O20" s="1136"/>
      <c r="P20" s="3309"/>
      <c r="Q20" s="1807"/>
      <c r="R20" s="774"/>
      <c r="S20" s="775"/>
      <c r="T20" s="774"/>
      <c r="U20" s="775"/>
      <c r="V20" s="774"/>
      <c r="W20" s="775"/>
      <c r="X20" s="1810"/>
      <c r="Y20" s="3309"/>
      <c r="Z20" s="1811"/>
      <c r="AA20" s="1808">
        <v>1</v>
      </c>
      <c r="AB20" s="1808">
        <v>1</v>
      </c>
      <c r="AC20" s="1808">
        <v>1</v>
      </c>
    </row>
    <row r="21" spans="1:29" ht="15">
      <c r="A21" s="428"/>
      <c r="B21" s="451" t="s">
        <v>2696</v>
      </c>
      <c r="C21" s="2599">
        <f>估价对象房地状况!C18</f>
        <v>0</v>
      </c>
      <c r="D21" s="450">
        <v>100</v>
      </c>
      <c r="E21" s="452"/>
      <c r="F21" s="455">
        <f>SUMIF(94:94,E22,95:95)-SUMIF(94:94,C22,95:95)+100</f>
        <v>100</v>
      </c>
      <c r="G21" s="452"/>
      <c r="H21" s="450">
        <f>SUMIF(94:94,G22,95:95)-SUMIF(94:94,C22,95:95)+100</f>
        <v>100</v>
      </c>
      <c r="I21" s="454"/>
      <c r="J21" s="450">
        <f>SUMIF(94:94,I22,95:95)-SUMIF(94:94,C22,95:95)+100</f>
        <v>97</v>
      </c>
      <c r="K21" s="673">
        <v>3</v>
      </c>
      <c r="L21" s="1137"/>
      <c r="M21" s="1128"/>
      <c r="N21" s="1128"/>
      <c r="O21" s="1136"/>
      <c r="P21" s="3309"/>
      <c r="Q21" s="1807" t="str">
        <f>B21</f>
        <v>交通便捷度</v>
      </c>
      <c r="R21" s="774" t="s">
        <v>17</v>
      </c>
      <c r="S21" s="775">
        <f>F21</f>
        <v>100</v>
      </c>
      <c r="T21" s="774" t="s">
        <v>17</v>
      </c>
      <c r="U21" s="775">
        <f>H21</f>
        <v>100</v>
      </c>
      <c r="V21" s="774" t="s">
        <v>17</v>
      </c>
      <c r="W21" s="775">
        <f>J21</f>
        <v>97</v>
      </c>
      <c r="X21" s="1810"/>
      <c r="Y21" s="3309"/>
      <c r="Z21" s="1811" t="str">
        <f>Q21</f>
        <v>交通便捷度</v>
      </c>
      <c r="AA21" s="1808">
        <f t="shared" si="3"/>
        <v>1</v>
      </c>
      <c r="AB21" s="1808">
        <f t="shared" si="4"/>
        <v>1</v>
      </c>
      <c r="AC21" s="1808">
        <f t="shared" si="5"/>
        <v>1.0309278350515463</v>
      </c>
    </row>
    <row r="22" spans="1:29" ht="15">
      <c r="A22" s="428"/>
      <c r="B22" s="1381"/>
      <c r="C22" s="447" t="s">
        <v>3094</v>
      </c>
      <c r="D22" s="450"/>
      <c r="E22" s="2597" t="s">
        <v>3094</v>
      </c>
      <c r="F22" s="448"/>
      <c r="G22" s="2597" t="s">
        <v>3094</v>
      </c>
      <c r="H22" s="448"/>
      <c r="I22" s="2596" t="s">
        <v>3093</v>
      </c>
      <c r="J22" s="448"/>
      <c r="K22" s="672"/>
      <c r="L22" s="1137"/>
      <c r="M22" s="1128"/>
      <c r="N22" s="1128"/>
      <c r="O22" s="1136"/>
      <c r="P22" s="3309"/>
      <c r="Q22" s="1807"/>
      <c r="R22" s="774"/>
      <c r="S22" s="775"/>
      <c r="T22" s="774"/>
      <c r="U22" s="775"/>
      <c r="V22" s="774"/>
      <c r="W22" s="775"/>
      <c r="X22" s="1810"/>
      <c r="Y22" s="3309"/>
      <c r="Z22" s="1811"/>
      <c r="AA22" s="1808">
        <v>1</v>
      </c>
      <c r="AB22" s="1808">
        <v>1</v>
      </c>
      <c r="AC22" s="1808">
        <v>1</v>
      </c>
    </row>
    <row r="23" spans="1:29" ht="15">
      <c r="A23" s="404"/>
      <c r="B23" s="451" t="s">
        <v>2734</v>
      </c>
      <c r="C23" s="1386">
        <f>估价对象房地状况!C19</f>
        <v>0</v>
      </c>
      <c r="D23" s="455">
        <v>100</v>
      </c>
      <c r="E23" s="452"/>
      <c r="F23" s="455">
        <f>SUMIF(96:96,E24,97:97)-SUMIF(96:96,C24,97:97)+100</f>
        <v>100</v>
      </c>
      <c r="G23" s="452"/>
      <c r="H23" s="455">
        <f>SUMIF(96:96,G24,97:97)-SUMIF(96:96,C24,97:97)+100</f>
        <v>100</v>
      </c>
      <c r="I23" s="454"/>
      <c r="J23" s="455">
        <f>SUMIF(96:96,I24,97:97)-SUMIF(96:96,C24,97:97)+100</f>
        <v>100</v>
      </c>
      <c r="K23" s="673">
        <v>3</v>
      </c>
      <c r="L23" s="1137"/>
      <c r="M23" s="1128"/>
      <c r="N23" s="1128"/>
      <c r="O23" s="1136"/>
      <c r="P23" s="3309"/>
      <c r="Q23" s="1807" t="str">
        <f t="shared" ref="Q23:Q37" si="8">B23</f>
        <v>区域土地利用方向</v>
      </c>
      <c r="R23" s="774" t="s">
        <v>17</v>
      </c>
      <c r="S23" s="775">
        <f>F23</f>
        <v>100</v>
      </c>
      <c r="T23" s="774" t="s">
        <v>17</v>
      </c>
      <c r="U23" s="775">
        <f>H23</f>
        <v>100</v>
      </c>
      <c r="V23" s="774" t="s">
        <v>17</v>
      </c>
      <c r="W23" s="775">
        <f>J23</f>
        <v>100</v>
      </c>
      <c r="X23" s="1810"/>
      <c r="Y23" s="3309"/>
      <c r="Z23" s="1811" t="str">
        <f>Q23</f>
        <v>区域土地利用方向</v>
      </c>
      <c r="AA23" s="1808">
        <f t="shared" si="3"/>
        <v>1</v>
      </c>
      <c r="AB23" s="1808">
        <f t="shared" si="4"/>
        <v>1</v>
      </c>
      <c r="AC23" s="1808">
        <f t="shared" si="5"/>
        <v>1</v>
      </c>
    </row>
    <row r="24" spans="1:29" ht="15">
      <c r="A24" s="404"/>
      <c r="B24" s="456"/>
      <c r="C24" s="616" t="s">
        <v>3094</v>
      </c>
      <c r="D24" s="448"/>
      <c r="E24" s="2597" t="s">
        <v>3094</v>
      </c>
      <c r="F24" s="448"/>
      <c r="G24" s="2597" t="s">
        <v>3094</v>
      </c>
      <c r="H24" s="448"/>
      <c r="I24" s="2596" t="s">
        <v>3094</v>
      </c>
      <c r="J24" s="448"/>
      <c r="K24" s="809"/>
      <c r="L24" s="1137"/>
      <c r="M24" s="1128"/>
      <c r="N24" s="1128"/>
      <c r="O24" s="1136"/>
      <c r="P24" s="3309"/>
      <c r="Q24" s="1807"/>
      <c r="R24" s="774"/>
      <c r="S24" s="775"/>
      <c r="T24" s="774"/>
      <c r="U24" s="775"/>
      <c r="V24" s="774"/>
      <c r="W24" s="775"/>
      <c r="X24" s="1810"/>
      <c r="Y24" s="3309"/>
      <c r="Z24" s="1811"/>
      <c r="AA24" s="1808"/>
      <c r="AB24" s="1808"/>
      <c r="AC24" s="1808"/>
    </row>
    <row r="25" spans="1:29" ht="27">
      <c r="A25" s="404"/>
      <c r="B25" s="1381" t="s">
        <v>2735</v>
      </c>
      <c r="C25" s="2656">
        <f>估价对象房地状况!C20</f>
        <v>0</v>
      </c>
      <c r="D25" s="450">
        <v>100</v>
      </c>
      <c r="E25" s="452"/>
      <c r="F25" s="450">
        <f>SUMIF(98:98,E26,99:99)-SUMIF(98:98,C26,99:99)+100</f>
        <v>100</v>
      </c>
      <c r="G25" s="452"/>
      <c r="H25" s="450">
        <f>SUMIF(98:98,G26,99:99)-SUMIF(98:98,C26,99:99)+100</f>
        <v>100</v>
      </c>
      <c r="I25" s="454"/>
      <c r="J25" s="450">
        <f>SUMIF(98:98,I26,99:99)-SUMIF(98:98,C26,99:99)+100</f>
        <v>96</v>
      </c>
      <c r="K25" s="673">
        <v>4</v>
      </c>
      <c r="L25" s="1137"/>
      <c r="M25" s="1128"/>
      <c r="N25" s="1128"/>
      <c r="O25" s="1136"/>
      <c r="P25" s="3309"/>
      <c r="Q25" s="1807" t="str">
        <f t="shared" si="8"/>
        <v>自然及人文环境状况</v>
      </c>
      <c r="R25" s="774" t="s">
        <v>17</v>
      </c>
      <c r="S25" s="775">
        <f>F25</f>
        <v>100</v>
      </c>
      <c r="T25" s="774" t="s">
        <v>17</v>
      </c>
      <c r="U25" s="775">
        <f>H25</f>
        <v>100</v>
      </c>
      <c r="V25" s="774" t="s">
        <v>17</v>
      </c>
      <c r="W25" s="775">
        <f>J25</f>
        <v>96</v>
      </c>
      <c r="X25" s="1810"/>
      <c r="Y25" s="3309"/>
      <c r="Z25" s="1811" t="str">
        <f>Q25</f>
        <v>自然及人文环境状况</v>
      </c>
      <c r="AA25" s="1808">
        <f t="shared" si="3"/>
        <v>1</v>
      </c>
      <c r="AB25" s="1808">
        <f t="shared" si="4"/>
        <v>1</v>
      </c>
      <c r="AC25" s="1808">
        <f t="shared" si="5"/>
        <v>1.0416666666666667</v>
      </c>
    </row>
    <row r="26" spans="1:29" ht="15">
      <c r="A26" s="404"/>
      <c r="B26" s="456"/>
      <c r="C26" s="447" t="s">
        <v>3094</v>
      </c>
      <c r="D26" s="448"/>
      <c r="E26" s="2603" t="s">
        <v>3094</v>
      </c>
      <c r="F26" s="448"/>
      <c r="G26" s="2603" t="s">
        <v>3094</v>
      </c>
      <c r="H26" s="448"/>
      <c r="I26" s="447" t="s">
        <v>3093</v>
      </c>
      <c r="J26" s="448"/>
      <c r="K26" s="672"/>
      <c r="L26" s="1137"/>
      <c r="M26" s="1128"/>
      <c r="N26" s="1128"/>
      <c r="O26" s="1136"/>
      <c r="P26" s="3309"/>
      <c r="Q26" s="1807"/>
      <c r="R26" s="774"/>
      <c r="S26" s="775"/>
      <c r="T26" s="774"/>
      <c r="U26" s="775"/>
      <c r="V26" s="774"/>
      <c r="W26" s="775"/>
      <c r="X26" s="1810"/>
      <c r="Y26" s="3309"/>
      <c r="Z26" s="1811"/>
      <c r="AA26" s="1808">
        <v>1</v>
      </c>
      <c r="AB26" s="1808">
        <v>1</v>
      </c>
      <c r="AC26" s="1808">
        <v>1</v>
      </c>
    </row>
    <row r="27" spans="1:29" s="117" customFormat="1" ht="15">
      <c r="A27" s="649"/>
      <c r="B27" s="1381" t="s">
        <v>2641</v>
      </c>
      <c r="C27" s="2599">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v>4</v>
      </c>
      <c r="L27" s="1129"/>
      <c r="M27" s="1130"/>
      <c r="N27" s="1130"/>
      <c r="O27" s="1131"/>
      <c r="P27" s="3309"/>
      <c r="Q27" s="1792" t="str">
        <f t="shared" si="8"/>
        <v>公共配套设施</v>
      </c>
      <c r="R27" s="770" t="s">
        <v>17</v>
      </c>
      <c r="S27" s="771">
        <f>F27</f>
        <v>100</v>
      </c>
      <c r="T27" s="770" t="s">
        <v>17</v>
      </c>
      <c r="U27" s="771">
        <f>H27</f>
        <v>100</v>
      </c>
      <c r="V27" s="770" t="s">
        <v>17</v>
      </c>
      <c r="W27" s="771">
        <f>J27</f>
        <v>100</v>
      </c>
      <c r="X27" s="772"/>
      <c r="Y27" s="3309"/>
      <c r="Z27" s="55" t="str">
        <f>Q27</f>
        <v>公共配套设施</v>
      </c>
      <c r="AA27" s="1808">
        <f>D27/F27</f>
        <v>1</v>
      </c>
      <c r="AB27" s="1808">
        <f>D27/H27</f>
        <v>1</v>
      </c>
      <c r="AC27" s="1808">
        <f>D27/J27</f>
        <v>1</v>
      </c>
    </row>
    <row r="28" spans="1:29" s="117" customFormat="1" ht="15">
      <c r="A28" s="649"/>
      <c r="B28" s="456"/>
      <c r="C28" s="2692" t="s">
        <v>3094</v>
      </c>
      <c r="D28" s="448"/>
      <c r="E28" s="2603" t="s">
        <v>3094</v>
      </c>
      <c r="F28" s="448"/>
      <c r="G28" s="2603" t="s">
        <v>3094</v>
      </c>
      <c r="H28" s="448"/>
      <c r="I28" s="447" t="s">
        <v>3094</v>
      </c>
      <c r="J28" s="448"/>
      <c r="K28" s="672"/>
      <c r="L28" s="1129"/>
      <c r="M28" s="1130"/>
      <c r="N28" s="1130"/>
      <c r="O28" s="1131"/>
      <c r="P28" s="3309"/>
      <c r="Q28" s="1792"/>
      <c r="R28" s="770"/>
      <c r="S28" s="771"/>
      <c r="T28" s="770"/>
      <c r="U28" s="771"/>
      <c r="V28" s="770"/>
      <c r="W28" s="771"/>
      <c r="X28" s="772"/>
      <c r="Y28" s="3309"/>
      <c r="Z28" s="55"/>
      <c r="AA28" s="1808">
        <v>1</v>
      </c>
      <c r="AB28" s="1808">
        <v>1</v>
      </c>
      <c r="AC28" s="1808">
        <v>1</v>
      </c>
    </row>
    <row r="29" spans="1:29" s="117" customFormat="1" ht="15">
      <c r="A29" s="649"/>
      <c r="B29" s="1381" t="s">
        <v>2642</v>
      </c>
      <c r="C29" s="2599">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29"/>
      <c r="M29" s="1130"/>
      <c r="N29" s="1130"/>
      <c r="O29" s="1131"/>
      <c r="P29" s="3309"/>
      <c r="Q29" s="1792" t="str">
        <f t="shared" ref="Q29" si="9">B29</f>
        <v>基础设施水平</v>
      </c>
      <c r="R29" s="770" t="s">
        <v>17</v>
      </c>
      <c r="S29" s="771">
        <f>F29</f>
        <v>100</v>
      </c>
      <c r="T29" s="770" t="s">
        <v>17</v>
      </c>
      <c r="U29" s="771">
        <f>H29</f>
        <v>100</v>
      </c>
      <c r="V29" s="770" t="s">
        <v>17</v>
      </c>
      <c r="W29" s="771">
        <f>J29</f>
        <v>100</v>
      </c>
      <c r="X29" s="772"/>
      <c r="Y29" s="3309"/>
      <c r="Z29" s="55" t="str">
        <f>Q29</f>
        <v>基础设施水平</v>
      </c>
      <c r="AA29" s="1808">
        <f>D29/F29</f>
        <v>1</v>
      </c>
      <c r="AB29" s="1808">
        <f>D29/H29</f>
        <v>1</v>
      </c>
      <c r="AC29" s="1808">
        <f>D29/J29</f>
        <v>1</v>
      </c>
    </row>
    <row r="30" spans="1:29" s="117" customFormat="1" ht="15">
      <c r="A30" s="649"/>
      <c r="B30" s="456"/>
      <c r="C30" s="2692" t="s">
        <v>3095</v>
      </c>
      <c r="D30" s="448"/>
      <c r="E30" s="2693" t="s">
        <v>3095</v>
      </c>
      <c r="F30" s="448"/>
      <c r="G30" s="2693" t="s">
        <v>3095</v>
      </c>
      <c r="H30" s="448"/>
      <c r="I30" s="2693" t="s">
        <v>3095</v>
      </c>
      <c r="J30" s="448"/>
      <c r="K30" s="672"/>
      <c r="L30" s="1129"/>
      <c r="M30" s="1130"/>
      <c r="N30" s="1130"/>
      <c r="O30" s="1131"/>
      <c r="P30" s="3309"/>
      <c r="Q30" s="1792"/>
      <c r="R30" s="770"/>
      <c r="S30" s="771"/>
      <c r="T30" s="770"/>
      <c r="U30" s="771"/>
      <c r="V30" s="770"/>
      <c r="W30" s="771"/>
      <c r="X30" s="772"/>
      <c r="Y30" s="3309"/>
      <c r="Z30" s="55"/>
      <c r="AA30" s="1808">
        <v>1</v>
      </c>
      <c r="AB30" s="1808">
        <v>1</v>
      </c>
      <c r="AC30" s="1808">
        <v>1</v>
      </c>
    </row>
    <row r="31" spans="1:29" ht="15.75" thickBot="1">
      <c r="A31" s="428"/>
      <c r="B31" s="456" t="s">
        <v>2643</v>
      </c>
      <c r="C31" s="616" t="s">
        <v>3096</v>
      </c>
      <c r="D31" s="435">
        <v>100</v>
      </c>
      <c r="E31" s="634" t="s">
        <v>3220</v>
      </c>
      <c r="F31" s="435">
        <f>SUMIF(104:104,E31,105:105)-SUMIF(104:104,C31,105:105)+100</f>
        <v>101</v>
      </c>
      <c r="G31" s="634" t="s">
        <v>3220</v>
      </c>
      <c r="H31" s="435">
        <f>SUMIF(104:104,G31,105:105)-SUMIF(104:104,C31,105:105)+100</f>
        <v>101</v>
      </c>
      <c r="I31" s="634" t="s">
        <v>3096</v>
      </c>
      <c r="J31" s="435">
        <f>SUMIF(104:104,I31,105:105)-SUMIF(104:104,C31,105:105)+100</f>
        <v>100</v>
      </c>
      <c r="K31" s="673">
        <v>1</v>
      </c>
      <c r="L31" s="1137"/>
      <c r="M31" s="1128"/>
      <c r="N31" s="1128"/>
      <c r="O31" s="1136"/>
      <c r="P31" s="3309"/>
      <c r="Q31" s="1807" t="str">
        <f t="shared" si="8"/>
        <v>临街状况</v>
      </c>
      <c r="R31" s="774" t="s">
        <v>17</v>
      </c>
      <c r="S31" s="775">
        <f t="shared" ref="S31:S45" si="10">F31</f>
        <v>101</v>
      </c>
      <c r="T31" s="774" t="s">
        <v>17</v>
      </c>
      <c r="U31" s="775">
        <f t="shared" ref="U31:U45" si="11">H31</f>
        <v>101</v>
      </c>
      <c r="V31" s="774" t="s">
        <v>17</v>
      </c>
      <c r="W31" s="775">
        <f t="shared" ref="W31:W45" si="12">J31</f>
        <v>100</v>
      </c>
      <c r="X31" s="1810"/>
      <c r="Y31" s="3309"/>
      <c r="Z31" s="1811" t="str">
        <f t="shared" ref="Z31:Z45" si="13">Q31</f>
        <v>临街状况</v>
      </c>
      <c r="AA31" s="1808">
        <f t="shared" si="3"/>
        <v>0.99009900990099009</v>
      </c>
      <c r="AB31" s="1808">
        <f t="shared" si="4"/>
        <v>0.99009900990099009</v>
      </c>
      <c r="AC31" s="1808">
        <f t="shared" si="5"/>
        <v>1</v>
      </c>
    </row>
    <row r="32" spans="1:29" ht="27" hidden="1">
      <c r="A32" s="428"/>
      <c r="B32" s="1381" t="s">
        <v>2678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1</v>
      </c>
      <c r="L32" s="1137"/>
      <c r="M32" s="1128"/>
      <c r="N32" s="1128"/>
      <c r="O32" s="1136"/>
      <c r="P32" s="3309"/>
      <c r="Q32" s="1807" t="str">
        <f t="shared" si="8"/>
        <v>毗邻道路的类型与等级</v>
      </c>
      <c r="R32" s="774" t="s">
        <v>17</v>
      </c>
      <c r="S32" s="775">
        <f t="shared" si="10"/>
        <v>100</v>
      </c>
      <c r="T32" s="774" t="s">
        <v>17</v>
      </c>
      <c r="U32" s="775">
        <f t="shared" si="11"/>
        <v>100</v>
      </c>
      <c r="V32" s="774" t="s">
        <v>17</v>
      </c>
      <c r="W32" s="775">
        <f t="shared" si="12"/>
        <v>100</v>
      </c>
      <c r="X32" s="1810"/>
      <c r="Y32" s="3309"/>
      <c r="Z32" s="1811" t="str">
        <f t="shared" si="13"/>
        <v>毗邻道路的类型与等级</v>
      </c>
      <c r="AA32" s="1808">
        <f t="shared" si="3"/>
        <v>1</v>
      </c>
      <c r="AB32" s="1808">
        <f t="shared" si="4"/>
        <v>1</v>
      </c>
      <c r="AC32" s="1808">
        <f t="shared" si="5"/>
        <v>1</v>
      </c>
    </row>
    <row r="33" spans="1:29" ht="15" hidden="1">
      <c r="A33" s="428"/>
      <c r="B33" s="456"/>
      <c r="C33" s="447"/>
      <c r="D33" s="448"/>
      <c r="E33" s="2603"/>
      <c r="F33" s="448"/>
      <c r="G33" s="2603"/>
      <c r="H33" s="448"/>
      <c r="I33" s="447"/>
      <c r="J33" s="448"/>
      <c r="K33" s="613"/>
      <c r="L33" s="1137"/>
      <c r="M33" s="1128"/>
      <c r="N33" s="1128"/>
      <c r="O33" s="1136"/>
      <c r="P33" s="3309"/>
      <c r="Q33" s="1807"/>
      <c r="R33" s="774"/>
      <c r="S33" s="775"/>
      <c r="T33" s="774"/>
      <c r="U33" s="775"/>
      <c r="V33" s="774"/>
      <c r="W33" s="775"/>
      <c r="X33" s="1810"/>
      <c r="Y33" s="3309"/>
      <c r="Z33" s="1811"/>
      <c r="AA33" s="1808">
        <v>1</v>
      </c>
      <c r="AB33" s="1808">
        <v>1</v>
      </c>
      <c r="AC33" s="1808">
        <v>1</v>
      </c>
    </row>
    <row r="34" spans="1:29" ht="15" hidden="1">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309"/>
      <c r="Q34" s="1807" t="str">
        <f t="shared" si="8"/>
        <v>土地级别</v>
      </c>
      <c r="R34" s="774" t="s">
        <v>17</v>
      </c>
      <c r="S34" s="775">
        <f t="shared" si="10"/>
        <v>100</v>
      </c>
      <c r="T34" s="774" t="s">
        <v>17</v>
      </c>
      <c r="U34" s="775">
        <f t="shared" si="11"/>
        <v>100</v>
      </c>
      <c r="V34" s="774" t="s">
        <v>17</v>
      </c>
      <c r="W34" s="775">
        <f t="shared" si="12"/>
        <v>100</v>
      </c>
      <c r="X34" s="1810"/>
      <c r="Y34" s="3309"/>
      <c r="Z34" s="1811" t="str">
        <f t="shared" si="13"/>
        <v>土地级别</v>
      </c>
      <c r="AA34" s="1808">
        <f t="shared" si="3"/>
        <v>1</v>
      </c>
      <c r="AB34" s="1808">
        <f t="shared" si="4"/>
        <v>1</v>
      </c>
      <c r="AC34" s="1808">
        <f t="shared" si="5"/>
        <v>1</v>
      </c>
    </row>
    <row r="35" spans="1:29" ht="15" hidden="1">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309"/>
      <c r="Q35" s="1807">
        <f t="shared" si="8"/>
        <v>111</v>
      </c>
      <c r="R35" s="774" t="s">
        <v>17</v>
      </c>
      <c r="S35" s="775">
        <f t="shared" si="10"/>
        <v>100</v>
      </c>
      <c r="T35" s="774" t="s">
        <v>17</v>
      </c>
      <c r="U35" s="775">
        <f t="shared" si="11"/>
        <v>100</v>
      </c>
      <c r="V35" s="774" t="s">
        <v>17</v>
      </c>
      <c r="W35" s="775">
        <f t="shared" si="12"/>
        <v>100</v>
      </c>
      <c r="X35" s="1810"/>
      <c r="Y35" s="3309"/>
      <c r="Z35" s="1811">
        <f t="shared" si="13"/>
        <v>111</v>
      </c>
      <c r="AA35" s="1808">
        <f t="shared" si="3"/>
        <v>1</v>
      </c>
      <c r="AB35" s="1808">
        <f t="shared" si="4"/>
        <v>1</v>
      </c>
      <c r="AC35" s="1808">
        <f t="shared" si="5"/>
        <v>1</v>
      </c>
    </row>
    <row r="36" spans="1:29" ht="15" hidden="1">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310" t="s">
        <v>2552</v>
      </c>
      <c r="Q36" s="1807">
        <f t="shared" si="8"/>
        <v>111</v>
      </c>
      <c r="R36" s="774" t="s">
        <v>17</v>
      </c>
      <c r="S36" s="775">
        <f t="shared" si="10"/>
        <v>100</v>
      </c>
      <c r="T36" s="774" t="s">
        <v>17</v>
      </c>
      <c r="U36" s="775">
        <f t="shared" si="11"/>
        <v>100</v>
      </c>
      <c r="V36" s="774" t="s">
        <v>17</v>
      </c>
      <c r="W36" s="775">
        <f t="shared" si="12"/>
        <v>100</v>
      </c>
      <c r="X36" s="1810"/>
      <c r="Y36" s="3311" t="s">
        <v>2552</v>
      </c>
      <c r="Z36" s="1811">
        <f t="shared" si="13"/>
        <v>111</v>
      </c>
      <c r="AA36" s="1808">
        <f t="shared" si="3"/>
        <v>1</v>
      </c>
      <c r="AB36" s="1808">
        <f t="shared" si="4"/>
        <v>1</v>
      </c>
      <c r="AC36" s="1808">
        <f t="shared" si="5"/>
        <v>1</v>
      </c>
    </row>
    <row r="37" spans="1:29" s="471" customFormat="1" ht="15.75" hidden="1"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311"/>
      <c r="Q37" s="1807">
        <f t="shared" si="8"/>
        <v>111</v>
      </c>
      <c r="R37" s="777" t="s">
        <v>17</v>
      </c>
      <c r="S37" s="778">
        <f t="shared" si="10"/>
        <v>100</v>
      </c>
      <c r="T37" s="777" t="s">
        <v>17</v>
      </c>
      <c r="U37" s="778">
        <f t="shared" si="11"/>
        <v>100</v>
      </c>
      <c r="V37" s="777" t="s">
        <v>17</v>
      </c>
      <c r="W37" s="778">
        <f t="shared" si="12"/>
        <v>100</v>
      </c>
      <c r="X37" s="779"/>
      <c r="Y37" s="3311"/>
      <c r="Z37" s="780">
        <f t="shared" si="13"/>
        <v>111</v>
      </c>
      <c r="AA37" s="1808">
        <f t="shared" si="3"/>
        <v>1</v>
      </c>
      <c r="AB37" s="1808">
        <f t="shared" si="4"/>
        <v>1</v>
      </c>
      <c r="AC37" s="1808">
        <f t="shared" si="5"/>
        <v>1</v>
      </c>
    </row>
    <row r="38" spans="1:29" ht="15">
      <c r="A38" s="472" t="s">
        <v>2550</v>
      </c>
      <c r="B38" s="456" t="s">
        <v>2737</v>
      </c>
      <c r="C38" s="679">
        <v>87028.31</v>
      </c>
      <c r="D38" s="467">
        <v>100</v>
      </c>
      <c r="E38" s="679">
        <v>56105.82</v>
      </c>
      <c r="F38" s="467">
        <f>LOOKUP(E38,117:117,118:118)-LOOKUP(C38,117:117,118:118)+100</f>
        <v>98</v>
      </c>
      <c r="G38" s="679">
        <v>30518.35</v>
      </c>
      <c r="H38" s="467">
        <f>LOOKUP(G38,117:117,118:118)-LOOKUP(C38,117:117,118:118)+100</f>
        <v>97</v>
      </c>
      <c r="I38" s="530">
        <v>252403</v>
      </c>
      <c r="J38" s="467">
        <f>LOOKUP(I38,117:117,118:118)-LOOKUP(C38,117:117,118:118)+100</f>
        <v>101</v>
      </c>
      <c r="K38" s="613"/>
      <c r="L38" s="1137"/>
      <c r="M38" s="1128"/>
      <c r="N38" s="1128"/>
      <c r="O38" s="1136"/>
      <c r="P38" s="3311"/>
      <c r="Q38" s="1807" t="str">
        <f>B38</f>
        <v>宗地面积</v>
      </c>
      <c r="R38" s="774" t="s">
        <v>17</v>
      </c>
      <c r="S38" s="775">
        <f t="shared" si="10"/>
        <v>98</v>
      </c>
      <c r="T38" s="774" t="s">
        <v>17</v>
      </c>
      <c r="U38" s="775">
        <f t="shared" si="11"/>
        <v>97</v>
      </c>
      <c r="V38" s="774" t="s">
        <v>17</v>
      </c>
      <c r="W38" s="775">
        <f t="shared" si="12"/>
        <v>101</v>
      </c>
      <c r="X38" s="1810"/>
      <c r="Y38" s="3311"/>
      <c r="Z38" s="1811" t="str">
        <f t="shared" si="13"/>
        <v>宗地面积</v>
      </c>
      <c r="AA38" s="1808">
        <f t="shared" si="3"/>
        <v>1.0204081632653061</v>
      </c>
      <c r="AB38" s="1808">
        <f t="shared" si="4"/>
        <v>1.0309278350515463</v>
      </c>
      <c r="AC38" s="1808">
        <f t="shared" si="5"/>
        <v>0.99009900990099009</v>
      </c>
    </row>
    <row r="39" spans="1:29" ht="15">
      <c r="A39" s="472"/>
      <c r="B39" s="422" t="s">
        <v>2738</v>
      </c>
      <c r="C39" s="2605" t="s">
        <v>3098</v>
      </c>
      <c r="D39" s="435">
        <v>100</v>
      </c>
      <c r="E39" s="2605" t="s">
        <v>3098</v>
      </c>
      <c r="F39" s="435">
        <f>SUMIF(119:119,E39,120:120)-SUMIF(119:119,C39,120:120)+100</f>
        <v>100</v>
      </c>
      <c r="G39" s="2605" t="s">
        <v>3098</v>
      </c>
      <c r="H39" s="435">
        <f>SUMIF(119:119,G39,120:120)-SUMIF(119:119,C39,120:120)+100</f>
        <v>100</v>
      </c>
      <c r="I39" s="2605" t="s">
        <v>3098</v>
      </c>
      <c r="J39" s="435">
        <f>SUMIF(119:119,I39,120:120)-SUMIF(119:119,C39,120:120)+100</f>
        <v>100</v>
      </c>
      <c r="K39" s="612">
        <v>1</v>
      </c>
      <c r="L39" s="1137"/>
      <c r="M39" s="1128"/>
      <c r="N39" s="1128"/>
      <c r="O39" s="1136"/>
      <c r="P39" s="3311"/>
      <c r="Q39" s="1807" t="str">
        <f t="shared" ref="Q39:Q45" si="14">B39</f>
        <v>宗地形状</v>
      </c>
      <c r="R39" s="774" t="s">
        <v>17</v>
      </c>
      <c r="S39" s="775">
        <f t="shared" si="10"/>
        <v>100</v>
      </c>
      <c r="T39" s="774" t="s">
        <v>17</v>
      </c>
      <c r="U39" s="775">
        <f t="shared" si="11"/>
        <v>100</v>
      </c>
      <c r="V39" s="774" t="s">
        <v>17</v>
      </c>
      <c r="W39" s="775">
        <f t="shared" si="12"/>
        <v>100</v>
      </c>
      <c r="X39" s="1810"/>
      <c r="Y39" s="3311"/>
      <c r="Z39" s="1811" t="str">
        <f t="shared" si="13"/>
        <v>宗地形状</v>
      </c>
      <c r="AA39" s="1808">
        <f t="shared" si="3"/>
        <v>1</v>
      </c>
      <c r="AB39" s="1808">
        <f t="shared" si="4"/>
        <v>1</v>
      </c>
      <c r="AC39" s="1808">
        <f t="shared" si="5"/>
        <v>1</v>
      </c>
    </row>
    <row r="40" spans="1:29" ht="15">
      <c r="A40" s="472"/>
      <c r="B40" s="422" t="s">
        <v>2739</v>
      </c>
      <c r="C40" s="2605" t="s">
        <v>3099</v>
      </c>
      <c r="D40" s="435">
        <v>100</v>
      </c>
      <c r="E40" s="2605" t="s">
        <v>3099</v>
      </c>
      <c r="F40" s="435">
        <f>SUMIF(121:121,E40,122:122)-SUMIF(121:121,C40,122:122)+100</f>
        <v>100</v>
      </c>
      <c r="G40" s="2605" t="s">
        <v>3099</v>
      </c>
      <c r="H40" s="435">
        <f>SUMIF(121:121,G40,122:122)-SUMIF(121:121,C40,122:122)+100</f>
        <v>100</v>
      </c>
      <c r="I40" s="2605" t="s">
        <v>3099</v>
      </c>
      <c r="J40" s="435">
        <f>SUMIF(121:121,I40,122:122)-SUMIF(121:121,C40,122:122)+100</f>
        <v>100</v>
      </c>
      <c r="K40" s="612">
        <v>1</v>
      </c>
      <c r="L40" s="1137"/>
      <c r="M40" s="1128"/>
      <c r="N40" s="1128"/>
      <c r="O40" s="1136"/>
      <c r="P40" s="3311"/>
      <c r="Q40" s="1807" t="str">
        <f t="shared" si="14"/>
        <v>临街宽度及深度</v>
      </c>
      <c r="R40" s="774" t="s">
        <v>17</v>
      </c>
      <c r="S40" s="775">
        <f t="shared" si="10"/>
        <v>100</v>
      </c>
      <c r="T40" s="774" t="s">
        <v>17</v>
      </c>
      <c r="U40" s="775">
        <f t="shared" si="11"/>
        <v>100</v>
      </c>
      <c r="V40" s="774" t="s">
        <v>17</v>
      </c>
      <c r="W40" s="775">
        <f t="shared" si="12"/>
        <v>100</v>
      </c>
      <c r="X40" s="1810"/>
      <c r="Y40" s="3311"/>
      <c r="Z40" s="1811" t="str">
        <f t="shared" si="13"/>
        <v>临街宽度及深度</v>
      </c>
      <c r="AA40" s="1808">
        <f t="shared" si="3"/>
        <v>1</v>
      </c>
      <c r="AB40" s="1808">
        <f t="shared" si="4"/>
        <v>1</v>
      </c>
      <c r="AC40" s="1808">
        <f t="shared" si="5"/>
        <v>1</v>
      </c>
    </row>
    <row r="41" spans="1:29" s="117" customFormat="1" ht="15">
      <c r="A41" s="473"/>
      <c r="B41" s="422" t="s">
        <v>2740</v>
      </c>
      <c r="C41" s="2694" t="s">
        <v>3119</v>
      </c>
      <c r="D41" s="136">
        <v>100</v>
      </c>
      <c r="E41" s="2694" t="s">
        <v>3102</v>
      </c>
      <c r="F41" s="435">
        <f>SUMIF(123:123,E41,124:124)-SUMIF(123:123,C41,124:124)+100</f>
        <v>99</v>
      </c>
      <c r="G41" s="2694" t="s">
        <v>3103</v>
      </c>
      <c r="H41" s="435">
        <f>SUMIF(123:123,G41,124:124)-SUMIF(123:123,C41,124:124)+100</f>
        <v>98</v>
      </c>
      <c r="I41" s="2694" t="s">
        <v>3102</v>
      </c>
      <c r="J41" s="435">
        <f>SUMIF(123:123,I41,124:124)-SUMIF(123:123,C41,124:124)+100</f>
        <v>99</v>
      </c>
      <c r="K41" s="612">
        <v>0.5</v>
      </c>
      <c r="L41" s="1129"/>
      <c r="M41" s="1130"/>
      <c r="N41" s="1130"/>
      <c r="O41" s="1131"/>
      <c r="P41" s="3311"/>
      <c r="Q41" s="1807" t="str">
        <f t="shared" si="14"/>
        <v>宗地开发程度</v>
      </c>
      <c r="R41" s="770" t="s">
        <v>17</v>
      </c>
      <c r="S41" s="771">
        <f t="shared" si="10"/>
        <v>99</v>
      </c>
      <c r="T41" s="770" t="s">
        <v>17</v>
      </c>
      <c r="U41" s="771">
        <f t="shared" si="11"/>
        <v>98</v>
      </c>
      <c r="V41" s="770" t="s">
        <v>17</v>
      </c>
      <c r="W41" s="771">
        <f t="shared" si="12"/>
        <v>99</v>
      </c>
      <c r="X41" s="772"/>
      <c r="Y41" s="3311"/>
      <c r="Z41" s="55" t="str">
        <f t="shared" si="13"/>
        <v>宗地开发程度</v>
      </c>
      <c r="AA41" s="773">
        <f t="shared" si="3"/>
        <v>1.0101010101010102</v>
      </c>
      <c r="AB41" s="773">
        <f t="shared" si="4"/>
        <v>1.0204081632653061</v>
      </c>
      <c r="AC41" s="773">
        <f t="shared" si="5"/>
        <v>1.0101010101010102</v>
      </c>
    </row>
    <row r="42" spans="1:29" ht="15">
      <c r="A42" s="472"/>
      <c r="B42" s="422" t="s">
        <v>2741</v>
      </c>
      <c r="C42" s="2605" t="s">
        <v>3094</v>
      </c>
      <c r="D42" s="435">
        <v>100</v>
      </c>
      <c r="E42" s="2605" t="s">
        <v>3094</v>
      </c>
      <c r="F42" s="435">
        <f>SUMIF(125:125,E42,126:126)-SUMIF(125:125,C42,126:126)+100</f>
        <v>100</v>
      </c>
      <c r="G42" s="2605" t="s">
        <v>3094</v>
      </c>
      <c r="H42" s="435">
        <f>SUMIF(125:125,G42,126:126)-SUMIF(125:125,C42,126:126)+100</f>
        <v>100</v>
      </c>
      <c r="I42" s="2605" t="s">
        <v>3094</v>
      </c>
      <c r="J42" s="435">
        <f>SUMIF(125:125,I42,126:126)-SUMIF(125:125,C42,126:126)+100</f>
        <v>100</v>
      </c>
      <c r="K42" s="612">
        <v>1</v>
      </c>
      <c r="L42" s="1137"/>
      <c r="M42" s="1128"/>
      <c r="N42" s="1128"/>
      <c r="O42" s="1136"/>
      <c r="P42" s="3311" t="s">
        <v>2552</v>
      </c>
      <c r="Q42" s="1807" t="str">
        <f t="shared" si="14"/>
        <v>工程地质条件</v>
      </c>
      <c r="R42" s="774" t="s">
        <v>17</v>
      </c>
      <c r="S42" s="775">
        <f t="shared" si="10"/>
        <v>100</v>
      </c>
      <c r="T42" s="774" t="s">
        <v>17</v>
      </c>
      <c r="U42" s="775">
        <f t="shared" si="11"/>
        <v>100</v>
      </c>
      <c r="V42" s="774" t="s">
        <v>17</v>
      </c>
      <c r="W42" s="775">
        <f t="shared" si="12"/>
        <v>100</v>
      </c>
      <c r="X42" s="1810"/>
      <c r="Y42" s="3311" t="s">
        <v>2552</v>
      </c>
      <c r="Z42" s="1811" t="str">
        <f t="shared" si="13"/>
        <v>工程地质条件</v>
      </c>
      <c r="AA42" s="1808">
        <f t="shared" si="3"/>
        <v>1</v>
      </c>
      <c r="AB42" s="1808">
        <f t="shared" si="4"/>
        <v>1</v>
      </c>
      <c r="AC42" s="1808">
        <f t="shared" si="5"/>
        <v>1</v>
      </c>
    </row>
    <row r="43" spans="1:29" ht="15.75" thickBot="1">
      <c r="A43" s="472"/>
      <c r="B43" s="2971" t="s">
        <v>3150</v>
      </c>
      <c r="C43" s="674" t="s">
        <v>3149</v>
      </c>
      <c r="D43" s="435">
        <v>100</v>
      </c>
      <c r="E43" s="674" t="s">
        <v>3145</v>
      </c>
      <c r="F43" s="435">
        <f>SUMIF(127:127,E43,128:128)-SUMIF(127:127,C43,128:128)+100</f>
        <v>120</v>
      </c>
      <c r="G43" s="674" t="s">
        <v>3145</v>
      </c>
      <c r="H43" s="435">
        <f>SUMIF(127:127,G43,128:128)-SUMIF(127:127,C43,128:128)+100</f>
        <v>120</v>
      </c>
      <c r="I43" s="549" t="s">
        <v>3145</v>
      </c>
      <c r="J43" s="435">
        <f>SUMIF(127:127,I43,128:128)-SUMIF(127:127,C43,128:128)+100</f>
        <v>120</v>
      </c>
      <c r="K43" s="613"/>
      <c r="L43" s="1137"/>
      <c r="M43" s="1128"/>
      <c r="N43" s="1128"/>
      <c r="O43" s="1136"/>
      <c r="P43" s="3311"/>
      <c r="Q43" s="1807" t="str">
        <f t="shared" si="14"/>
        <v>居住品质</v>
      </c>
      <c r="R43" s="774" t="s">
        <v>17</v>
      </c>
      <c r="S43" s="775">
        <f t="shared" si="10"/>
        <v>120</v>
      </c>
      <c r="T43" s="774" t="s">
        <v>17</v>
      </c>
      <c r="U43" s="775">
        <f t="shared" si="11"/>
        <v>120</v>
      </c>
      <c r="V43" s="774" t="s">
        <v>17</v>
      </c>
      <c r="W43" s="775">
        <f t="shared" si="12"/>
        <v>120</v>
      </c>
      <c r="X43" s="1810"/>
      <c r="Y43" s="3311"/>
      <c r="Z43" s="1811" t="str">
        <f t="shared" si="13"/>
        <v>居住品质</v>
      </c>
      <c r="AA43" s="1808">
        <f t="shared" si="3"/>
        <v>0.83333333333333337</v>
      </c>
      <c r="AB43" s="1808">
        <f t="shared" si="4"/>
        <v>0.83333333333333337</v>
      </c>
      <c r="AC43" s="1808">
        <f t="shared" si="5"/>
        <v>0.83333333333333337</v>
      </c>
    </row>
    <row r="44" spans="1:29" ht="15" hidden="1">
      <c r="A44" s="472"/>
      <c r="B44" s="1384"/>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311"/>
      <c r="Q44" s="1807">
        <f t="shared" si="14"/>
        <v>0</v>
      </c>
      <c r="R44" s="774" t="s">
        <v>17</v>
      </c>
      <c r="S44" s="775">
        <f t="shared" si="10"/>
        <v>100</v>
      </c>
      <c r="T44" s="774" t="s">
        <v>17</v>
      </c>
      <c r="U44" s="775">
        <f t="shared" si="11"/>
        <v>100</v>
      </c>
      <c r="V44" s="774" t="s">
        <v>17</v>
      </c>
      <c r="W44" s="775">
        <f t="shared" si="12"/>
        <v>100</v>
      </c>
      <c r="X44" s="1810"/>
      <c r="Y44" s="3311"/>
      <c r="Z44" s="1811">
        <f t="shared" si="13"/>
        <v>0</v>
      </c>
      <c r="AA44" s="1808">
        <f t="shared" si="3"/>
        <v>1</v>
      </c>
      <c r="AB44" s="1808">
        <f t="shared" si="4"/>
        <v>1</v>
      </c>
      <c r="AC44" s="1808">
        <f t="shared" si="5"/>
        <v>1</v>
      </c>
    </row>
    <row r="45" spans="1:29" s="471" customFormat="1" ht="15.75" hidden="1" thickBot="1">
      <c r="A45" s="468"/>
      <c r="B45" s="1384"/>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311"/>
      <c r="Q45" s="1807">
        <f t="shared" si="14"/>
        <v>0</v>
      </c>
      <c r="R45" s="777" t="s">
        <v>17</v>
      </c>
      <c r="S45" s="778">
        <f t="shared" si="10"/>
        <v>100</v>
      </c>
      <c r="T45" s="777" t="s">
        <v>17</v>
      </c>
      <c r="U45" s="778">
        <f t="shared" si="11"/>
        <v>100</v>
      </c>
      <c r="V45" s="777" t="s">
        <v>17</v>
      </c>
      <c r="W45" s="778">
        <f t="shared" si="12"/>
        <v>100</v>
      </c>
      <c r="X45" s="779"/>
      <c r="Y45" s="3311"/>
      <c r="Z45" s="780">
        <f t="shared" si="13"/>
        <v>0</v>
      </c>
      <c r="AA45" s="1808">
        <f t="shared" si="3"/>
        <v>1</v>
      </c>
      <c r="AB45" s="1808">
        <f t="shared" si="4"/>
        <v>1</v>
      </c>
      <c r="AC45" s="1808">
        <f t="shared" si="5"/>
        <v>1</v>
      </c>
    </row>
    <row r="46" spans="1:29" ht="15">
      <c r="A46" s="479" t="s">
        <v>2707</v>
      </c>
      <c r="B46" s="2696" t="s">
        <v>2742</v>
      </c>
      <c r="C46" s="682" t="s">
        <v>1</v>
      </c>
      <c r="D46" s="481"/>
      <c r="E46" s="482">
        <v>9783</v>
      </c>
      <c r="F46" s="483"/>
      <c r="G46" s="484">
        <v>9798</v>
      </c>
      <c r="H46" s="485"/>
      <c r="I46" s="482">
        <v>9005</v>
      </c>
      <c r="J46" s="485"/>
      <c r="K46" s="783"/>
      <c r="L46" s="1140"/>
      <c r="M46" s="1141"/>
      <c r="N46" s="1128"/>
      <c r="O46" s="1141"/>
      <c r="P46" s="3293" t="str">
        <f>A46</f>
        <v>成交单价</v>
      </c>
      <c r="Q46" s="3293"/>
      <c r="R46" s="3306">
        <f>E46</f>
        <v>9783</v>
      </c>
      <c r="S46" s="3306"/>
      <c r="T46" s="3306">
        <f>G46</f>
        <v>9798</v>
      </c>
      <c r="U46" s="3306"/>
      <c r="V46" s="3306">
        <f>I46</f>
        <v>9005</v>
      </c>
      <c r="W46" s="3306"/>
      <c r="X46" s="759"/>
      <c r="Y46" s="781"/>
      <c r="Z46" s="759"/>
      <c r="AA46" s="759"/>
      <c r="AB46" s="759"/>
      <c r="AC46" s="759"/>
    </row>
    <row r="47" spans="1:29" ht="15.75" thickBot="1">
      <c r="A47" s="486" t="s">
        <v>2656</v>
      </c>
      <c r="B47" s="683"/>
      <c r="C47" s="490">
        <f>R48</f>
        <v>8393</v>
      </c>
      <c r="D47" s="489"/>
      <c r="E47" s="490">
        <f>R47</f>
        <v>8310</v>
      </c>
      <c r="F47" s="491"/>
      <c r="G47" s="488">
        <f>T47</f>
        <v>8494</v>
      </c>
      <c r="H47" s="489"/>
      <c r="I47" s="490">
        <f>V47</f>
        <v>8376</v>
      </c>
      <c r="J47" s="489"/>
      <c r="K47" s="784"/>
      <c r="L47" s="1140"/>
      <c r="M47" s="1141"/>
      <c r="N47" s="1141"/>
      <c r="O47" s="1141"/>
      <c r="P47" s="3293" t="str">
        <f>A47</f>
        <v>比较价值（元/平方米）</v>
      </c>
      <c r="Q47" s="3293"/>
      <c r="R47" s="3312">
        <f>ROUND(PRODUCT(R46,AA7:AA45),0)</f>
        <v>8310</v>
      </c>
      <c r="S47" s="3312"/>
      <c r="T47" s="3312">
        <f>ROUND(PRODUCT(T46,AB7:AB45),0)</f>
        <v>8494</v>
      </c>
      <c r="U47" s="3312"/>
      <c r="V47" s="3312">
        <f>ROUND(PRODUCT(V46,AC7:AC45),0)</f>
        <v>8376</v>
      </c>
      <c r="W47" s="3312"/>
      <c r="X47" s="759"/>
      <c r="Y47" s="759"/>
      <c r="Z47" s="759"/>
      <c r="AA47" s="759"/>
      <c r="AB47" s="759"/>
      <c r="AC47" s="759"/>
    </row>
    <row r="48" spans="1:29" ht="15.75" thickBot="1">
      <c r="A48" s="492" t="s">
        <v>2743</v>
      </c>
      <c r="B48" s="493"/>
      <c r="C48" s="494">
        <f>R48</f>
        <v>8393</v>
      </c>
      <c r="D48" s="494"/>
      <c r="E48" s="494"/>
      <c r="F48" s="494"/>
      <c r="G48" s="494"/>
      <c r="H48" s="494"/>
      <c r="I48" s="494"/>
      <c r="J48" s="494"/>
      <c r="K48" s="785"/>
      <c r="L48" s="1140"/>
      <c r="M48" s="1141"/>
      <c r="N48" s="1141"/>
      <c r="O48" s="1141"/>
      <c r="P48" s="3313" t="str">
        <f>A48</f>
        <v>估价对象XX用房的比较价值（楼面单价，元/平方米）</v>
      </c>
      <c r="Q48" s="3314"/>
      <c r="R48" s="3315">
        <f>ROUND(AVERAGE(R47:V47),0)</f>
        <v>8393</v>
      </c>
      <c r="S48" s="3315"/>
      <c r="T48" s="3315"/>
      <c r="U48" s="3315"/>
      <c r="V48" s="3315"/>
      <c r="W48" s="3315"/>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2658</v>
      </c>
      <c r="D51" s="498"/>
      <c r="E51" s="499">
        <f>IF(E46&lt;E47,E47/E46-1,E46/E47-1)</f>
        <v>0.17725631768953076</v>
      </c>
      <c r="F51" s="500" t="str">
        <f>IF(OR(E51&gt;=0.3,E51&lt;=-0.3),"超过30%","")</f>
        <v/>
      </c>
      <c r="G51" s="499">
        <f>IF(G46&lt;G47,G47/G46-1,G46/G47-1)</f>
        <v>0.15352013185778191</v>
      </c>
      <c r="H51" s="500" t="str">
        <f>IF(OR(G51&gt;=0.3,G51&lt;=-0.3),"超过30%","")</f>
        <v/>
      </c>
      <c r="I51" s="499">
        <f>IF(I46&lt;I47,I47/I46-1,I46/I47-1)</f>
        <v>7.5095510983763214E-2</v>
      </c>
      <c r="J51" s="500" t="str">
        <f>IF(OR(I51&gt;=0.3,I51&lt;=-0.3),"超过30%","")</f>
        <v/>
      </c>
      <c r="K51" s="1102"/>
      <c r="L51" s="1103"/>
      <c r="M51" s="1141"/>
      <c r="N51" s="1141"/>
      <c r="O51" s="1141"/>
    </row>
    <row r="52" spans="1:15" ht="13.5" customHeight="1">
      <c r="A52" s="1141"/>
      <c r="B52" s="1141"/>
      <c r="C52" s="497" t="s">
        <v>2659</v>
      </c>
      <c r="D52" s="501"/>
      <c r="E52" s="499">
        <f>IF(E47&lt;G47,G47/E47-1,E47/G47-1)</f>
        <v>2.2141997593261076E-2</v>
      </c>
      <c r="F52" s="500" t="str">
        <f>IF(OR(E52&gt;=0.2,E52&lt;=-0.2),"超过20%","")</f>
        <v/>
      </c>
      <c r="G52" s="499">
        <f>IF(G47&lt;I47,I47/G47-1,G47/I47-1)</f>
        <v>1.4087870105062184E-2</v>
      </c>
      <c r="H52" s="500" t="str">
        <f>IF(OR(G52&gt;=0.2,G52&lt;=-0.2),"超过20%","")</f>
        <v/>
      </c>
      <c r="I52" s="499">
        <f>IF(I47&lt;E47,E47/I47-1,I47/E47-1)</f>
        <v>7.9422382671479053E-3</v>
      </c>
      <c r="J52" s="500" t="str">
        <f>IF(OR(I52&gt;=0.2,I52&lt;=-0.2),"超过20%","")</f>
        <v/>
      </c>
      <c r="K52" s="1102"/>
      <c r="L52" s="1103"/>
      <c r="M52" s="1141"/>
      <c r="N52" s="1141"/>
      <c r="O52" s="1141"/>
    </row>
    <row r="53" spans="1:15" s="502" customFormat="1" ht="13.5" customHeight="1">
      <c r="A53" s="1142"/>
      <c r="B53" s="1142"/>
      <c r="C53" s="497" t="s">
        <v>2660</v>
      </c>
      <c r="D53" s="501"/>
      <c r="E53" s="499">
        <f>IF(E46&lt;G46,G46/E46-1,E46/G46-1)</f>
        <v>1.5332720024532343E-3</v>
      </c>
      <c r="F53" s="500" t="str">
        <f>IF(OR(E53&gt;=0.3,E53&lt;=-0.3),"超过30%","")</f>
        <v/>
      </c>
      <c r="G53" s="499">
        <f>IF(G46&lt;I46,I46/G46-1,G46/I46-1)</f>
        <v>8.8062187673514813E-2</v>
      </c>
      <c r="H53" s="500" t="str">
        <f>IF(OR(G53&gt;=0.3,G53&lt;=-0.3),"超过30%","")</f>
        <v/>
      </c>
      <c r="I53" s="499">
        <f>IF(I46&lt;E46,E46/I46-1,I46/E46-1)</f>
        <v>8.6396446418656403E-2</v>
      </c>
      <c r="J53" s="500" t="str">
        <f>IF(OR(I53&gt;=0.3,I53&lt;=-0.3),"超过30%","")</f>
        <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2744</v>
      </c>
      <c r="B55" s="685" t="s">
        <v>2745</v>
      </c>
      <c r="C55" s="2697" t="s">
        <v>2746</v>
      </c>
      <c r="D55" s="2698" t="s">
        <v>2747</v>
      </c>
      <c r="E55" s="686" t="s">
        <v>2748</v>
      </c>
      <c r="F55" s="1104" t="s">
        <v>2749</v>
      </c>
      <c r="G55" s="3294" t="s">
        <v>2750</v>
      </c>
      <c r="H55" s="3316"/>
      <c r="I55" s="144" t="s">
        <v>2751</v>
      </c>
      <c r="J55" s="2699" t="str">
        <f>项目基本情况!F35</f>
        <v>河南省郑州市</v>
      </c>
      <c r="K55" s="2700" t="s">
        <v>2752</v>
      </c>
      <c r="L55" s="1103"/>
      <c r="M55" s="1141"/>
      <c r="N55" s="1141"/>
      <c r="O55" s="1141"/>
    </row>
    <row r="56" spans="1:15" s="692" customFormat="1">
      <c r="A56" s="688" t="s">
        <v>2753</v>
      </c>
      <c r="B56" s="689">
        <f>C48</f>
        <v>8393</v>
      </c>
      <c r="C56" s="690">
        <v>1</v>
      </c>
      <c r="D56" s="1160">
        <v>1</v>
      </c>
      <c r="E56" s="690">
        <f>'数据-汇总表'!E8+'数据-汇总表'!E9</f>
        <v>120164.37999999998</v>
      </c>
      <c r="F56" s="1100">
        <f t="shared" ref="F56:F65" si="15">ROUND(B56*E56/10000,0)</f>
        <v>100854</v>
      </c>
      <c r="G56" s="3317"/>
      <c r="H56" s="3293"/>
      <c r="I56" s="1105">
        <v>1</v>
      </c>
      <c r="J56" s="1108">
        <v>1</v>
      </c>
      <c r="K56" s="1142"/>
      <c r="L56" s="938"/>
      <c r="M56" s="938"/>
      <c r="N56" s="938"/>
      <c r="O56" s="938"/>
    </row>
    <row r="57" spans="1:15" s="692" customFormat="1">
      <c r="A57" s="693" t="s">
        <v>2754</v>
      </c>
      <c r="B57" s="262">
        <f>ROUND($C$48*C57*D57,0)</f>
        <v>0</v>
      </c>
      <c r="C57" s="200">
        <f t="shared" ref="C57:C65" si="16">IF($C$55="北京市系数",I57,J57)</f>
        <v>0</v>
      </c>
      <c r="D57" s="1161">
        <v>0.25</v>
      </c>
      <c r="E57" s="694"/>
      <c r="F57" s="1100">
        <f t="shared" si="15"/>
        <v>0</v>
      </c>
      <c r="G57" s="3318" t="s">
        <v>2755</v>
      </c>
      <c r="H57" s="1101">
        <f>项目基本情况!B37</f>
        <v>0</v>
      </c>
      <c r="I57" s="1105">
        <f>SUMIF(修正!A45:A56,H57,修正!B45:B56)</f>
        <v>0</v>
      </c>
      <c r="J57" s="1109"/>
      <c r="K57" s="1141"/>
      <c r="L57" s="938"/>
      <c r="M57" s="938"/>
      <c r="N57" s="938"/>
      <c r="O57" s="938"/>
    </row>
    <row r="58" spans="1:15" s="692" customFormat="1">
      <c r="A58" s="693" t="s">
        <v>2756</v>
      </c>
      <c r="B58" s="262">
        <f t="shared" ref="B58:B65" si="17">ROUND($C$48*C58*D58,0)</f>
        <v>0</v>
      </c>
      <c r="C58" s="200">
        <f t="shared" si="16"/>
        <v>0</v>
      </c>
      <c r="D58" s="1161">
        <v>0.25</v>
      </c>
      <c r="E58" s="694"/>
      <c r="F58" s="1100">
        <f t="shared" si="15"/>
        <v>0</v>
      </c>
      <c r="G58" s="3318"/>
      <c r="H58" s="1101">
        <f>项目基本情况!B37</f>
        <v>0</v>
      </c>
      <c r="I58" s="1105">
        <f>SUMIF(修正!A45:A56,H58,修正!C45:C56)</f>
        <v>0</v>
      </c>
      <c r="J58" s="1109"/>
      <c r="K58" s="1142"/>
      <c r="L58" s="938"/>
      <c r="M58" s="938"/>
      <c r="N58" s="938"/>
      <c r="O58" s="938"/>
    </row>
    <row r="59" spans="1:15" s="692" customFormat="1">
      <c r="A59" s="693" t="s">
        <v>2757</v>
      </c>
      <c r="B59" s="262">
        <f t="shared" si="17"/>
        <v>0</v>
      </c>
      <c r="C59" s="200">
        <f t="shared" si="16"/>
        <v>0</v>
      </c>
      <c r="D59" s="1161">
        <v>0.25</v>
      </c>
      <c r="E59" s="694"/>
      <c r="F59" s="1100">
        <f t="shared" si="15"/>
        <v>0</v>
      </c>
      <c r="G59" s="3318"/>
      <c r="H59" s="1101">
        <f>项目基本情况!B37</f>
        <v>0</v>
      </c>
      <c r="I59" s="1105">
        <f>SUMIF(修正!A45:A56,H59,修正!D45:D56)</f>
        <v>0</v>
      </c>
      <c r="J59" s="1109"/>
      <c r="K59" s="1141"/>
      <c r="L59" s="938"/>
      <c r="M59" s="938"/>
      <c r="N59" s="938"/>
      <c r="O59" s="938"/>
    </row>
    <row r="60" spans="1:15" s="692" customFormat="1">
      <c r="A60" s="693" t="s">
        <v>2758</v>
      </c>
      <c r="B60" s="262">
        <f t="shared" si="17"/>
        <v>0</v>
      </c>
      <c r="C60" s="200">
        <f t="shared" si="16"/>
        <v>0</v>
      </c>
      <c r="D60" s="1161">
        <v>0.25</v>
      </c>
      <c r="E60" s="694"/>
      <c r="F60" s="1100">
        <f t="shared" si="15"/>
        <v>0</v>
      </c>
      <c r="G60" s="3318"/>
      <c r="H60" s="1101">
        <f>项目基本情况!B37</f>
        <v>0</v>
      </c>
      <c r="I60" s="1105">
        <f>SUMIF(修正!A45:A56,H60,修正!E45:E56)</f>
        <v>0</v>
      </c>
      <c r="J60" s="1109"/>
      <c r="K60" s="1142"/>
      <c r="L60" s="938"/>
      <c r="M60" s="938"/>
      <c r="N60" s="938"/>
      <c r="O60" s="938"/>
    </row>
    <row r="61" spans="1:15" s="692" customFormat="1">
      <c r="A61" s="693" t="s">
        <v>2759</v>
      </c>
      <c r="B61" s="262">
        <f t="shared" si="17"/>
        <v>0</v>
      </c>
      <c r="C61" s="200">
        <f t="shared" si="16"/>
        <v>0</v>
      </c>
      <c r="D61" s="1161">
        <v>0.25</v>
      </c>
      <c r="E61" s="261">
        <f>'数据-汇总表'!E11</f>
        <v>0</v>
      </c>
      <c r="F61" s="1100">
        <f t="shared" si="15"/>
        <v>0</v>
      </c>
      <c r="G61" s="2701" t="s">
        <v>2760</v>
      </c>
      <c r="H61" s="1101">
        <f>项目基本情况!C37</f>
        <v>0</v>
      </c>
      <c r="I61" s="1105">
        <f>SUMIF(修正!A45:A56,H61,修正!F45:F56)</f>
        <v>0</v>
      </c>
      <c r="J61" s="1109"/>
      <c r="K61" s="1141"/>
      <c r="L61" s="938"/>
      <c r="M61" s="938"/>
      <c r="N61" s="938"/>
      <c r="O61" s="938"/>
    </row>
    <row r="62" spans="1:15" s="692" customFormat="1">
      <c r="A62" s="693" t="s">
        <v>2761</v>
      </c>
      <c r="B62" s="262">
        <f t="shared" si="17"/>
        <v>0</v>
      </c>
      <c r="C62" s="200">
        <f t="shared" si="16"/>
        <v>0</v>
      </c>
      <c r="D62" s="1161">
        <v>0.25</v>
      </c>
      <c r="E62" s="261">
        <f>'数据-汇总表'!E12</f>
        <v>0</v>
      </c>
      <c r="F62" s="1100">
        <f t="shared" si="15"/>
        <v>0</v>
      </c>
      <c r="G62" s="1106" t="s">
        <v>2762</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2763</v>
      </c>
      <c r="B63" s="262">
        <f t="shared" si="17"/>
        <v>0</v>
      </c>
      <c r="C63" s="200">
        <f t="shared" si="16"/>
        <v>0</v>
      </c>
      <c r="D63" s="1161">
        <v>0.25</v>
      </c>
      <c r="E63" s="261">
        <f>'数据-汇总表'!E13</f>
        <v>0</v>
      </c>
      <c r="F63" s="1100">
        <f t="shared" si="15"/>
        <v>0</v>
      </c>
      <c r="G63" s="1106" t="s">
        <v>2764</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2765</v>
      </c>
      <c r="B64" s="262">
        <f t="shared" si="17"/>
        <v>0</v>
      </c>
      <c r="C64" s="200">
        <f t="shared" si="16"/>
        <v>0</v>
      </c>
      <c r="D64" s="1161">
        <v>0.25</v>
      </c>
      <c r="E64" s="261">
        <f>'数据-汇总表'!E14</f>
        <v>0</v>
      </c>
      <c r="F64" s="1100">
        <f t="shared" si="15"/>
        <v>0</v>
      </c>
      <c r="G64" s="2701" t="s">
        <v>2755</v>
      </c>
      <c r="H64" s="1101">
        <f>项目基本情况!B37</f>
        <v>0</v>
      </c>
      <c r="I64" s="1105">
        <f>SUMIF(修正!A45:A56,H64,修正!H45:H56)</f>
        <v>0</v>
      </c>
      <c r="J64" s="1109"/>
      <c r="K64" s="1142"/>
      <c r="L64" s="938"/>
      <c r="M64" s="938"/>
      <c r="N64" s="938"/>
      <c r="O64" s="938"/>
    </row>
    <row r="65" spans="1:18" s="692" customFormat="1" ht="15" thickBot="1">
      <c r="A65" s="693" t="s">
        <v>2766</v>
      </c>
      <c r="B65" s="262">
        <f t="shared" si="17"/>
        <v>0</v>
      </c>
      <c r="C65" s="200">
        <f t="shared" si="16"/>
        <v>0</v>
      </c>
      <c r="D65" s="1161">
        <v>0.25</v>
      </c>
      <c r="E65" s="261">
        <f>'数据-汇总表'!E15</f>
        <v>0</v>
      </c>
      <c r="F65" s="1100">
        <f t="shared" si="15"/>
        <v>0</v>
      </c>
      <c r="G65" s="2702" t="s">
        <v>2760</v>
      </c>
      <c r="H65" s="1111">
        <f>项目基本情况!C37</f>
        <v>0</v>
      </c>
      <c r="I65" s="1107">
        <f>SUMIF(修正!A45:A56,H65,修正!H45:H56)</f>
        <v>0</v>
      </c>
      <c r="J65" s="1110"/>
      <c r="K65" s="1141"/>
      <c r="L65" s="938"/>
      <c r="M65" s="938"/>
      <c r="N65" s="938"/>
      <c r="O65" s="938"/>
    </row>
    <row r="66" spans="1:18" s="692" customFormat="1" ht="13.5" thickBot="1">
      <c r="A66" s="695" t="s">
        <v>2767</v>
      </c>
      <c r="B66" s="696" t="s">
        <v>28</v>
      </c>
      <c r="C66" s="696" t="s">
        <v>29</v>
      </c>
      <c r="D66" s="696" t="s">
        <v>1025</v>
      </c>
      <c r="E66" s="696">
        <f>IF(B46="楼面地价",SUM(E56:E65),'数据-汇总表'!D3)</f>
        <v>120164.37999999998</v>
      </c>
      <c r="F66" s="697">
        <f>IF(B46="楼面地价",SUM(F56:F65),ROUND(C48*E66/10000,0))</f>
        <v>100854</v>
      </c>
      <c r="G66" s="787"/>
      <c r="H66" s="787"/>
      <c r="I66" s="787"/>
      <c r="J66" s="787"/>
      <c r="K66" s="1155"/>
      <c r="L66" s="938"/>
      <c r="M66" s="938"/>
      <c r="N66" s="938"/>
      <c r="O66" s="938"/>
    </row>
    <row r="67" spans="1:18">
      <c r="A67" s="759"/>
      <c r="B67" s="761"/>
      <c r="C67" s="762"/>
      <c r="D67" s="759"/>
      <c r="E67" s="759"/>
      <c r="F67" s="759"/>
      <c r="G67" s="759"/>
      <c r="H67" s="759"/>
      <c r="I67" s="759"/>
      <c r="J67" s="1141"/>
      <c r="K67" s="1102"/>
      <c r="L67" s="1103"/>
      <c r="M67" s="1141"/>
      <c r="N67" s="1141"/>
      <c r="O67" s="1141"/>
    </row>
    <row r="68" spans="1:18">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8" ht="21.75" thickBot="1">
      <c r="A69" s="763" t="s">
        <v>2661</v>
      </c>
      <c r="B69" s="759"/>
      <c r="C69" s="764"/>
      <c r="D69" s="764"/>
      <c r="E69" s="764"/>
      <c r="F69" s="765"/>
      <c r="G69" s="765"/>
      <c r="H69" s="764"/>
      <c r="I69" s="764"/>
      <c r="J69" s="1156"/>
      <c r="K69" s="1157"/>
      <c r="L69" s="1158"/>
      <c r="M69" s="1156"/>
      <c r="N69" s="1156"/>
      <c r="O69" s="1156"/>
      <c r="P69" s="503"/>
      <c r="Q69" s="504"/>
    </row>
    <row r="70" spans="1:18" s="508" customFormat="1" ht="15">
      <c r="A70" s="2703" t="s">
        <v>2768</v>
      </c>
      <c r="B70" s="1356"/>
      <c r="C70" s="1569" t="str">
        <f>YEAR(C68)&amp;"-"&amp;ROUNDUP(MONTH(C68)/3,0)</f>
        <v>2020-2</v>
      </c>
      <c r="D70" s="1569" t="str">
        <f>YEAR(D68)&amp;"-"&amp;ROUNDUP(MONTH(D68)/3,0)</f>
        <v>2020-1</v>
      </c>
      <c r="E70" s="1569" t="str">
        <f t="shared" ref="E70:O70" si="19">YEAR(E68)&amp;"-"&amp;ROUNDUP(MONTH(E68)/3,0)</f>
        <v>2019-4</v>
      </c>
      <c r="F70" s="1569" t="str">
        <f t="shared" si="19"/>
        <v>2019-3</v>
      </c>
      <c r="G70" s="1569" t="str">
        <f t="shared" si="19"/>
        <v>2019-2</v>
      </c>
      <c r="H70" s="1569" t="str">
        <f t="shared" si="19"/>
        <v>2019-1</v>
      </c>
      <c r="I70" s="1569" t="str">
        <f t="shared" si="19"/>
        <v>2018-4</v>
      </c>
      <c r="J70" s="1569" t="str">
        <f t="shared" si="19"/>
        <v>2018-3</v>
      </c>
      <c r="K70" s="1569" t="str">
        <f t="shared" si="19"/>
        <v>2018-2</v>
      </c>
      <c r="L70" s="1569" t="str">
        <f t="shared" si="19"/>
        <v>2018-1</v>
      </c>
      <c r="M70" s="1569" t="str">
        <f t="shared" si="19"/>
        <v>2017-4</v>
      </c>
      <c r="N70" s="1569" t="str">
        <f t="shared" si="19"/>
        <v>2017-3</v>
      </c>
      <c r="O70" s="1569" t="str">
        <f t="shared" si="19"/>
        <v>2017-2</v>
      </c>
      <c r="P70" s="507" t="s">
        <v>3146</v>
      </c>
      <c r="Q70" s="508" t="s">
        <v>3147</v>
      </c>
      <c r="R70" s="508" t="s">
        <v>3148</v>
      </c>
    </row>
    <row r="71" spans="1:18" s="117" customFormat="1" ht="30" customHeight="1">
      <c r="A71" s="2704" t="s">
        <v>2769</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1564">
        <v>95</v>
      </c>
      <c r="N71" s="595">
        <v>94.5</v>
      </c>
      <c r="O71" s="1565">
        <v>94</v>
      </c>
      <c r="P71" s="595">
        <v>93.5</v>
      </c>
      <c r="Q71" s="1565">
        <v>93</v>
      </c>
      <c r="R71" s="595">
        <v>92.5</v>
      </c>
    </row>
    <row r="72" spans="1:18" s="117" customFormat="1" ht="15.75" thickBot="1">
      <c r="A72" s="515" t="s">
        <v>2572</v>
      </c>
      <c r="B72" s="516"/>
      <c r="C72" s="517"/>
      <c r="D72" s="518"/>
      <c r="E72" s="518"/>
      <c r="F72" s="518"/>
      <c r="G72" s="518"/>
      <c r="H72" s="518"/>
      <c r="I72" s="518"/>
      <c r="J72" s="518"/>
      <c r="K72" s="518"/>
      <c r="L72" s="518"/>
      <c r="M72" s="519"/>
      <c r="N72" s="518"/>
      <c r="O72" s="1159"/>
      <c r="P72" s="504"/>
      <c r="Q72" s="504"/>
    </row>
    <row r="73" spans="1:18" s="117" customFormat="1" ht="15">
      <c r="A73" s="521" t="s">
        <v>2537</v>
      </c>
      <c r="B73" s="510"/>
      <c r="C73" s="522" t="s">
        <v>2639</v>
      </c>
      <c r="D73" s="523"/>
      <c r="E73" s="523"/>
      <c r="F73" s="523"/>
      <c r="G73" s="523"/>
      <c r="H73" s="523"/>
      <c r="I73" s="523"/>
      <c r="J73" s="523"/>
      <c r="K73" s="523"/>
      <c r="L73" s="524"/>
      <c r="M73" s="525"/>
      <c r="N73" s="1148"/>
      <c r="O73" s="1148"/>
      <c r="P73" s="526"/>
      <c r="Q73" s="504"/>
    </row>
    <row r="74" spans="1:18" s="117" customFormat="1" ht="15.75" thickBot="1">
      <c r="A74" s="521"/>
      <c r="B74" s="510"/>
      <c r="C74" s="639">
        <v>100</v>
      </c>
      <c r="D74" s="512"/>
      <c r="E74" s="512"/>
      <c r="F74" s="512"/>
      <c r="G74" s="512"/>
      <c r="H74" s="512"/>
      <c r="I74" s="512"/>
      <c r="J74" s="512"/>
      <c r="K74" s="512"/>
      <c r="L74" s="512"/>
      <c r="M74" s="514"/>
      <c r="N74" s="1148"/>
      <c r="O74" s="1148"/>
      <c r="P74" s="504"/>
      <c r="Q74" s="504"/>
    </row>
    <row r="75" spans="1:18">
      <c r="A75" s="527" t="s">
        <v>2575</v>
      </c>
      <c r="B75" s="528" t="s">
        <v>2541</v>
      </c>
      <c r="C75" s="2969" t="s">
        <v>3109</v>
      </c>
      <c r="D75" s="530"/>
      <c r="E75" s="530"/>
      <c r="F75" s="530"/>
      <c r="G75" s="530"/>
      <c r="H75" s="530"/>
      <c r="I75" s="530"/>
      <c r="J75" s="530"/>
      <c r="K75" s="531"/>
      <c r="L75" s="532"/>
      <c r="M75" s="533"/>
      <c r="N75" s="1149"/>
      <c r="O75" s="1149"/>
      <c r="P75" s="45"/>
      <c r="Q75" s="504"/>
    </row>
    <row r="76" spans="1:18" ht="15.75" thickBot="1">
      <c r="A76" s="534"/>
      <c r="B76" s="535"/>
      <c r="C76" s="536">
        <v>100</v>
      </c>
      <c r="D76" s="536"/>
      <c r="E76" s="536"/>
      <c r="F76" s="536"/>
      <c r="G76" s="536"/>
      <c r="H76" s="536"/>
      <c r="I76" s="536"/>
      <c r="J76" s="536"/>
      <c r="K76" s="536"/>
      <c r="L76" s="536"/>
      <c r="M76" s="537"/>
      <c r="N76" s="1150"/>
      <c r="O76" s="1150"/>
      <c r="P76" s="45"/>
      <c r="Q76" s="504"/>
    </row>
    <row r="77" spans="1:18" ht="27.75" thickTop="1">
      <c r="A77" s="534"/>
      <c r="B77" s="538" t="s">
        <v>2544</v>
      </c>
      <c r="C77" s="539"/>
      <c r="D77" s="539"/>
      <c r="E77" s="539"/>
      <c r="F77" s="539"/>
      <c r="G77" s="539"/>
      <c r="H77" s="539"/>
      <c r="I77" s="539"/>
      <c r="J77" s="539"/>
      <c r="K77" s="540"/>
      <c r="L77" s="541"/>
      <c r="M77" s="542"/>
      <c r="N77" s="1149"/>
      <c r="O77" s="1149"/>
      <c r="P77" s="45"/>
      <c r="Q77" s="504"/>
    </row>
    <row r="78" spans="1:18" ht="15.75" thickBot="1">
      <c r="A78" s="534"/>
      <c r="B78" s="543"/>
      <c r="C78" s="544"/>
      <c r="D78" s="544"/>
      <c r="E78" s="544"/>
      <c r="F78" s="544"/>
      <c r="G78" s="544"/>
      <c r="H78" s="544"/>
      <c r="I78" s="544"/>
      <c r="J78" s="544"/>
      <c r="K78" s="544"/>
      <c r="L78" s="544"/>
      <c r="M78" s="545"/>
      <c r="N78" s="1150"/>
      <c r="O78" s="1150"/>
      <c r="P78" s="45"/>
      <c r="Q78" s="504"/>
    </row>
    <row r="79" spans="1:18" ht="15.75" thickTop="1">
      <c r="A79" s="534"/>
      <c r="B79" s="546" t="s">
        <v>2545</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v>
      </c>
      <c r="J79" s="547" t="str">
        <f t="shared" si="20"/>
        <v>（含）-</v>
      </c>
      <c r="K79" s="547" t="str">
        <f t="shared" si="20"/>
        <v>（含）-</v>
      </c>
      <c r="L79" s="547" t="str">
        <f t="shared" si="20"/>
        <v>（含）-</v>
      </c>
      <c r="M79" s="448" t="str">
        <f>M80&amp;"（含）"&amp;"-"&amp;P80</f>
        <v>（含）-</v>
      </c>
      <c r="N79" s="1150"/>
      <c r="O79" s="1150"/>
      <c r="P79" s="45"/>
      <c r="Q79" s="504"/>
    </row>
    <row r="80" spans="1:18" ht="15">
      <c r="A80" s="534"/>
      <c r="B80" s="548"/>
      <c r="C80" s="549">
        <v>0</v>
      </c>
      <c r="D80" s="549">
        <v>1</v>
      </c>
      <c r="E80" s="549">
        <v>2</v>
      </c>
      <c r="F80" s="549">
        <v>3</v>
      </c>
      <c r="G80" s="549">
        <v>4</v>
      </c>
      <c r="H80" s="549">
        <v>5</v>
      </c>
      <c r="I80" s="549">
        <v>6</v>
      </c>
      <c r="J80" s="549"/>
      <c r="K80" s="550"/>
      <c r="L80" s="551"/>
      <c r="M80" s="552"/>
      <c r="N80" s="1149"/>
      <c r="O80" s="1149"/>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0"/>
      <c r="O81" s="1150"/>
      <c r="P81" s="45"/>
      <c r="Q81" s="504"/>
    </row>
    <row r="82" spans="1:17" s="471" customFormat="1" ht="15.75" thickTop="1">
      <c r="A82" s="553"/>
      <c r="B82" s="538">
        <f>B12</f>
        <v>0</v>
      </c>
      <c r="C82" s="554" t="s">
        <v>3108</v>
      </c>
      <c r="D82" s="554" t="s">
        <v>3050</v>
      </c>
      <c r="E82" s="554"/>
      <c r="F82" s="554"/>
      <c r="G82" s="554"/>
      <c r="H82" s="555"/>
      <c r="I82" s="555"/>
      <c r="J82" s="555"/>
      <c r="K82" s="555"/>
      <c r="L82" s="556"/>
      <c r="M82" s="557"/>
      <c r="N82" s="1151"/>
      <c r="O82" s="1151"/>
      <c r="P82" s="558"/>
      <c r="Q82" s="559"/>
    </row>
    <row r="83" spans="1:17" s="471" customFormat="1" ht="15.75" thickBot="1">
      <c r="A83" s="553"/>
      <c r="B83" s="543"/>
      <c r="C83" s="560">
        <v>100</v>
      </c>
      <c r="D83" s="536">
        <v>120</v>
      </c>
      <c r="E83" s="536"/>
      <c r="F83" s="536"/>
      <c r="G83" s="536"/>
      <c r="H83" s="536"/>
      <c r="I83" s="536"/>
      <c r="J83" s="536"/>
      <c r="K83" s="536"/>
      <c r="L83" s="536"/>
      <c r="M83" s="537"/>
      <c r="N83" s="1150"/>
      <c r="O83" s="1150"/>
      <c r="P83" s="558"/>
      <c r="Q83" s="559"/>
    </row>
    <row r="84" spans="1:17" s="471" customFormat="1" ht="15.75" thickTop="1">
      <c r="A84" s="553"/>
      <c r="B84" s="538">
        <f>B13</f>
        <v>0</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0</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2546</v>
      </c>
      <c r="B88" s="528" t="s">
        <v>2583</v>
      </c>
      <c r="C88" s="573" t="s">
        <v>2584</v>
      </c>
      <c r="D88" s="573" t="s">
        <v>2585</v>
      </c>
      <c r="E88" s="573" t="s">
        <v>2586</v>
      </c>
      <c r="F88" s="573" t="s">
        <v>2587</v>
      </c>
      <c r="G88" s="573" t="s">
        <v>2588</v>
      </c>
      <c r="H88" s="529"/>
      <c r="I88" s="529"/>
      <c r="J88" s="529"/>
      <c r="K88" s="574"/>
      <c r="L88" s="575"/>
      <c r="M88" s="576"/>
      <c r="N88" s="1149"/>
      <c r="O88" s="1149"/>
      <c r="P88" s="577"/>
      <c r="Q88" s="504"/>
    </row>
    <row r="89" spans="1:17" ht="15.75" thickBot="1">
      <c r="A89" s="534"/>
      <c r="B89" s="543"/>
      <c r="C89" s="544">
        <v>100</v>
      </c>
      <c r="D89" s="544">
        <f>C89-$K15</f>
        <v>96</v>
      </c>
      <c r="E89" s="544">
        <f>D89-$K15</f>
        <v>92</v>
      </c>
      <c r="F89" s="544">
        <f>E89-$K15</f>
        <v>88</v>
      </c>
      <c r="G89" s="544">
        <f>F89-$K15</f>
        <v>84</v>
      </c>
      <c r="H89" s="544"/>
      <c r="I89" s="544"/>
      <c r="J89" s="544"/>
      <c r="K89" s="544"/>
      <c r="L89" s="544"/>
      <c r="M89" s="545"/>
      <c r="N89" s="1150"/>
      <c r="O89" s="1150"/>
      <c r="P89" s="45"/>
      <c r="Q89" s="504"/>
    </row>
    <row r="90" spans="1:17" ht="15.75" thickTop="1">
      <c r="A90" s="534"/>
      <c r="B90" s="538" t="s">
        <v>2770</v>
      </c>
      <c r="C90" s="578" t="s">
        <v>2584</v>
      </c>
      <c r="D90" s="578" t="s">
        <v>2585</v>
      </c>
      <c r="E90" s="578" t="s">
        <v>2586</v>
      </c>
      <c r="F90" s="578" t="s">
        <v>2587</v>
      </c>
      <c r="G90" s="578" t="s">
        <v>2588</v>
      </c>
      <c r="H90" s="539"/>
      <c r="I90" s="539"/>
      <c r="J90" s="539"/>
      <c r="K90" s="540"/>
      <c r="L90" s="541"/>
      <c r="M90" s="542"/>
      <c r="N90" s="1149"/>
      <c r="O90" s="1149"/>
      <c r="P90" s="45"/>
      <c r="Q90" s="504"/>
    </row>
    <row r="91" spans="1:17" ht="15.75" thickBot="1">
      <c r="A91" s="534"/>
      <c r="B91" s="543"/>
      <c r="C91" s="544">
        <v>100</v>
      </c>
      <c r="D91" s="544">
        <f>C91-$K17</f>
        <v>96</v>
      </c>
      <c r="E91" s="544">
        <f>D91-$K17</f>
        <v>92</v>
      </c>
      <c r="F91" s="544">
        <f>E91-$K17</f>
        <v>88</v>
      </c>
      <c r="G91" s="544">
        <f>F91-$K17</f>
        <v>84</v>
      </c>
      <c r="H91" s="544"/>
      <c r="I91" s="544"/>
      <c r="J91" s="544"/>
      <c r="K91" s="544"/>
      <c r="L91" s="544"/>
      <c r="M91" s="545"/>
      <c r="N91" s="1150"/>
      <c r="O91" s="1150"/>
      <c r="P91" s="45"/>
      <c r="Q91" s="504"/>
    </row>
    <row r="92" spans="1:17" ht="15.75" thickTop="1">
      <c r="A92" s="534"/>
      <c r="B92" s="538" t="s">
        <v>2684</v>
      </c>
      <c r="C92" s="578" t="s">
        <v>2584</v>
      </c>
      <c r="D92" s="578" t="s">
        <v>2585</v>
      </c>
      <c r="E92" s="578" t="s">
        <v>2586</v>
      </c>
      <c r="F92" s="578" t="s">
        <v>2587</v>
      </c>
      <c r="G92" s="578" t="s">
        <v>2588</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2589</v>
      </c>
      <c r="C94" s="578" t="s">
        <v>2584</v>
      </c>
      <c r="D94" s="578" t="s">
        <v>2585</v>
      </c>
      <c r="E94" s="578" t="s">
        <v>2586</v>
      </c>
      <c r="F94" s="578" t="s">
        <v>2587</v>
      </c>
      <c r="G94" s="578" t="s">
        <v>2588</v>
      </c>
      <c r="H94" s="539"/>
      <c r="I94" s="539"/>
      <c r="J94" s="539"/>
      <c r="K94" s="540"/>
      <c r="L94" s="541"/>
      <c r="M94" s="542"/>
      <c r="N94" s="1149"/>
      <c r="O94" s="1149"/>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0"/>
      <c r="O95" s="1150"/>
      <c r="P95" s="45"/>
      <c r="Q95" s="504"/>
    </row>
    <row r="96" spans="1:17" s="117" customFormat="1" ht="15.75" thickTop="1">
      <c r="A96" s="579"/>
      <c r="B96" s="538" t="s">
        <v>2771</v>
      </c>
      <c r="C96" s="578" t="s">
        <v>2584</v>
      </c>
      <c r="D96" s="578" t="s">
        <v>2585</v>
      </c>
      <c r="E96" s="578" t="s">
        <v>2586</v>
      </c>
      <c r="F96" s="578" t="s">
        <v>2587</v>
      </c>
      <c r="G96" s="578" t="s">
        <v>2588</v>
      </c>
      <c r="H96" s="578"/>
      <c r="I96" s="578"/>
      <c r="J96" s="578"/>
      <c r="K96" s="578"/>
      <c r="L96" s="698"/>
      <c r="M96" s="622"/>
      <c r="N96" s="1148"/>
      <c r="O96" s="1148"/>
      <c r="P96" s="45"/>
      <c r="Q96" s="504"/>
    </row>
    <row r="97" spans="1:17" s="117" customFormat="1" ht="15.75" thickBot="1">
      <c r="A97" s="579"/>
      <c r="B97" s="543"/>
      <c r="C97" s="582">
        <v>100</v>
      </c>
      <c r="D97" s="544">
        <f>C97-$K23</f>
        <v>97</v>
      </c>
      <c r="E97" s="544">
        <f>D97-$K23</f>
        <v>94</v>
      </c>
      <c r="F97" s="544">
        <f>E97-$K23</f>
        <v>91</v>
      </c>
      <c r="G97" s="544">
        <f>F97-$K23</f>
        <v>88</v>
      </c>
      <c r="H97" s="544"/>
      <c r="I97" s="544"/>
      <c r="J97" s="544"/>
      <c r="K97" s="544"/>
      <c r="L97" s="544"/>
      <c r="M97" s="545"/>
      <c r="N97" s="1150"/>
      <c r="O97" s="1150"/>
      <c r="P97" s="45"/>
      <c r="Q97" s="504"/>
    </row>
    <row r="98" spans="1:17" s="117" customFormat="1" ht="27.75" thickTop="1">
      <c r="A98" s="579"/>
      <c r="B98" s="538" t="s">
        <v>2772</v>
      </c>
      <c r="C98" s="573" t="s">
        <v>2584</v>
      </c>
      <c r="D98" s="573" t="s">
        <v>2585</v>
      </c>
      <c r="E98" s="573" t="s">
        <v>2586</v>
      </c>
      <c r="F98" s="573" t="s">
        <v>2587</v>
      </c>
      <c r="G98" s="573" t="s">
        <v>2588</v>
      </c>
      <c r="H98" s="578"/>
      <c r="I98" s="578"/>
      <c r="J98" s="578"/>
      <c r="K98" s="578"/>
      <c r="L98" s="578"/>
      <c r="M98" s="622"/>
      <c r="N98" s="1148"/>
      <c r="O98" s="1148"/>
      <c r="P98" s="45"/>
      <c r="Q98" s="504"/>
    </row>
    <row r="99" spans="1:17" s="117" customFormat="1" ht="15.75" thickBot="1">
      <c r="A99" s="579"/>
      <c r="B99" s="543"/>
      <c r="C99" s="544">
        <v>100</v>
      </c>
      <c r="D99" s="544">
        <f>C99-$K25</f>
        <v>96</v>
      </c>
      <c r="E99" s="544">
        <f>D99-$K25</f>
        <v>92</v>
      </c>
      <c r="F99" s="544">
        <f>E99-$K25</f>
        <v>88</v>
      </c>
      <c r="G99" s="544">
        <f>F99-$K25</f>
        <v>84</v>
      </c>
      <c r="H99" s="544"/>
      <c r="I99" s="544"/>
      <c r="J99" s="544"/>
      <c r="K99" s="544"/>
      <c r="L99" s="544"/>
      <c r="M99" s="545"/>
      <c r="N99" s="1150"/>
      <c r="O99" s="1150"/>
      <c r="P99" s="45"/>
      <c r="Q99" s="504"/>
    </row>
    <row r="100" spans="1:17" s="471" customFormat="1" ht="15.75" thickTop="1">
      <c r="A100" s="553"/>
      <c r="B100" s="538" t="s">
        <v>2641</v>
      </c>
      <c r="C100" s="573" t="s">
        <v>2584</v>
      </c>
      <c r="D100" s="573" t="s">
        <v>2585</v>
      </c>
      <c r="E100" s="573" t="s">
        <v>2586</v>
      </c>
      <c r="F100" s="573" t="s">
        <v>2587</v>
      </c>
      <c r="G100" s="573" t="s">
        <v>2588</v>
      </c>
      <c r="H100" s="600"/>
      <c r="I100" s="600"/>
      <c r="J100" s="600"/>
      <c r="K100" s="600"/>
      <c r="L100" s="601"/>
      <c r="M100" s="602"/>
      <c r="N100" s="1151"/>
      <c r="O100" s="1151"/>
      <c r="P100" s="558"/>
      <c r="Q100" s="559"/>
    </row>
    <row r="101" spans="1:17" s="471" customFormat="1" ht="15.75" thickBot="1">
      <c r="A101" s="553"/>
      <c r="B101" s="543"/>
      <c r="C101" s="544">
        <v>100</v>
      </c>
      <c r="D101" s="544">
        <f>C101-$K27</f>
        <v>96</v>
      </c>
      <c r="E101" s="544">
        <f>D101-$K27</f>
        <v>92</v>
      </c>
      <c r="F101" s="544">
        <f>E101-$K27</f>
        <v>88</v>
      </c>
      <c r="G101" s="544">
        <f>F101-$K27</f>
        <v>84</v>
      </c>
      <c r="H101" s="607"/>
      <c r="I101" s="607"/>
      <c r="J101" s="607"/>
      <c r="K101" s="607"/>
      <c r="L101" s="607"/>
      <c r="M101" s="608"/>
      <c r="N101" s="1151"/>
      <c r="O101" s="1151"/>
      <c r="P101" s="558"/>
      <c r="Q101" s="559"/>
    </row>
    <row r="102" spans="1:17" s="471" customFormat="1" ht="15.75" thickTop="1">
      <c r="A102" s="553"/>
      <c r="B102" s="546" t="s">
        <v>2642</v>
      </c>
      <c r="C102" s="660" t="s">
        <v>2662</v>
      </c>
      <c r="D102" s="660" t="s">
        <v>2663</v>
      </c>
      <c r="E102" s="660" t="s">
        <v>2664</v>
      </c>
      <c r="F102" s="660" t="s">
        <v>2665</v>
      </c>
      <c r="G102" s="660" t="s">
        <v>2666</v>
      </c>
      <c r="H102" s="600"/>
      <c r="I102" s="600"/>
      <c r="J102" s="600"/>
      <c r="K102" s="600"/>
      <c r="L102" s="600"/>
      <c r="M102" s="1382"/>
      <c r="N102" s="1151"/>
      <c r="O102" s="1151"/>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2"/>
      <c r="N103" s="1151"/>
      <c r="O103" s="1151"/>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49"/>
      <c r="O104" s="1149"/>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0"/>
      <c r="O105" s="1150"/>
      <c r="P105" s="45"/>
      <c r="Q105" s="504"/>
    </row>
    <row r="106" spans="1:17" ht="27.75" thickTop="1">
      <c r="A106" s="534"/>
      <c r="B106" s="538" t="s">
        <v>2678</v>
      </c>
      <c r="C106" s="554" t="s">
        <v>3110</v>
      </c>
      <c r="D106" s="554" t="s">
        <v>3111</v>
      </c>
      <c r="E106" s="554" t="s">
        <v>3101</v>
      </c>
      <c r="F106" s="554" t="s">
        <v>3097</v>
      </c>
      <c r="G106" s="554" t="s">
        <v>3112</v>
      </c>
      <c r="H106" s="583"/>
      <c r="I106" s="583"/>
      <c r="J106" s="583"/>
      <c r="K106" s="584"/>
      <c r="L106" s="585"/>
      <c r="M106" s="586"/>
      <c r="N106" s="1149"/>
      <c r="O106" s="1149"/>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0"/>
      <c r="O107" s="1150"/>
      <c r="P107" s="45"/>
      <c r="Q107" s="504"/>
    </row>
    <row r="108" spans="1:17" ht="15.75" thickTop="1">
      <c r="A108" s="534"/>
      <c r="B108" s="538" t="s">
        <v>2736</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ht="28.5">
      <c r="A116" s="527" t="s">
        <v>2550</v>
      </c>
      <c r="B116" s="528" t="s">
        <v>2777</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80000(含)-100000</v>
      </c>
      <c r="H116" s="529" t="str">
        <f t="shared" si="25"/>
        <v>100000(含)-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v>0</v>
      </c>
      <c r="D117" s="595">
        <v>20000</v>
      </c>
      <c r="E117" s="595">
        <v>40000</v>
      </c>
      <c r="F117" s="595">
        <v>60000</v>
      </c>
      <c r="G117" s="595">
        <v>80000</v>
      </c>
      <c r="H117" s="595">
        <v>100000</v>
      </c>
      <c r="I117" s="595"/>
      <c r="J117" s="596"/>
      <c r="K117" s="596"/>
      <c r="L117" s="597"/>
      <c r="M117" s="598"/>
      <c r="N117" s="1149"/>
      <c r="O117" s="1149"/>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0"/>
      <c r="O118" s="1150"/>
      <c r="P118" s="45"/>
      <c r="Q118" s="504"/>
    </row>
    <row r="119" spans="1:17" ht="15" thickTop="1">
      <c r="A119" s="599"/>
      <c r="B119" s="538" t="s">
        <v>2778</v>
      </c>
      <c r="C119" s="583" t="s">
        <v>3113</v>
      </c>
      <c r="D119" s="583" t="s">
        <v>3098</v>
      </c>
      <c r="E119" s="583" t="s">
        <v>3114</v>
      </c>
      <c r="F119" s="583" t="s">
        <v>3115</v>
      </c>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0"/>
      <c r="O120" s="1150"/>
      <c r="P120" s="45"/>
      <c r="Q120" s="504"/>
    </row>
    <row r="121" spans="1:17" ht="15" thickTop="1">
      <c r="A121" s="599"/>
      <c r="B121" s="538" t="s">
        <v>2779</v>
      </c>
      <c r="C121" s="554" t="s">
        <v>3116</v>
      </c>
      <c r="D121" s="554" t="s">
        <v>3099</v>
      </c>
      <c r="E121" s="554" t="s">
        <v>3117</v>
      </c>
      <c r="F121" s="583" t="s">
        <v>3118</v>
      </c>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0"/>
      <c r="O122" s="1150"/>
      <c r="P122" s="45"/>
      <c r="Q122" s="504"/>
    </row>
    <row r="123" spans="1:17" s="471" customFormat="1" ht="15" thickTop="1">
      <c r="A123" s="593"/>
      <c r="B123" s="538" t="s">
        <v>2780</v>
      </c>
      <c r="C123" s="554" t="s">
        <v>3119</v>
      </c>
      <c r="D123" s="554" t="s">
        <v>3100</v>
      </c>
      <c r="E123" s="554" t="s">
        <v>3102</v>
      </c>
      <c r="F123" s="554" t="s">
        <v>3120</v>
      </c>
      <c r="G123" s="554" t="s">
        <v>3103</v>
      </c>
      <c r="H123" s="583"/>
      <c r="I123" s="583"/>
      <c r="J123" s="583"/>
      <c r="K123" s="584"/>
      <c r="L123" s="585"/>
      <c r="M123" s="586"/>
      <c r="N123" s="1151"/>
      <c r="O123" s="1151"/>
      <c r="P123" s="558"/>
      <c r="Q123" s="559"/>
    </row>
    <row r="124" spans="1:17" s="471" customFormat="1" ht="15.75" thickBot="1">
      <c r="A124" s="553"/>
      <c r="B124" s="543"/>
      <c r="C124" s="544">
        <v>100</v>
      </c>
      <c r="D124" s="544">
        <f>C124-$K41</f>
        <v>99.5</v>
      </c>
      <c r="E124" s="544">
        <f t="shared" ref="E124:M124" si="28">D124-$K41</f>
        <v>99</v>
      </c>
      <c r="F124" s="544">
        <f t="shared" si="28"/>
        <v>98.5</v>
      </c>
      <c r="G124" s="544">
        <f t="shared" si="28"/>
        <v>98</v>
      </c>
      <c r="H124" s="544">
        <f t="shared" si="28"/>
        <v>97.5</v>
      </c>
      <c r="I124" s="544">
        <f t="shared" si="28"/>
        <v>97</v>
      </c>
      <c r="J124" s="544">
        <f t="shared" si="28"/>
        <v>96.5</v>
      </c>
      <c r="K124" s="544">
        <f t="shared" si="28"/>
        <v>96</v>
      </c>
      <c r="L124" s="544">
        <f t="shared" si="28"/>
        <v>95.5</v>
      </c>
      <c r="M124" s="545">
        <f t="shared" si="28"/>
        <v>95</v>
      </c>
      <c r="N124" s="1151"/>
      <c r="O124" s="1151"/>
      <c r="P124" s="558"/>
      <c r="Q124" s="559"/>
    </row>
    <row r="125" spans="1:17" ht="15" thickTop="1">
      <c r="A125" s="599"/>
      <c r="B125" s="538" t="s">
        <v>2781</v>
      </c>
      <c r="C125" s="554" t="s">
        <v>3121</v>
      </c>
      <c r="D125" s="554" t="s">
        <v>3094</v>
      </c>
      <c r="E125" s="583" t="s">
        <v>3093</v>
      </c>
      <c r="F125" s="583" t="s">
        <v>3092</v>
      </c>
      <c r="G125" s="583" t="s">
        <v>3122</v>
      </c>
      <c r="H125" s="583"/>
      <c r="I125" s="583"/>
      <c r="J125" s="583"/>
      <c r="K125" s="584"/>
      <c r="L125" s="585"/>
      <c r="M125" s="586"/>
      <c r="N125" s="1149"/>
      <c r="O125" s="1149"/>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0"/>
      <c r="O126" s="1150"/>
      <c r="P126" s="45"/>
      <c r="Q126" s="504"/>
    </row>
    <row r="127" spans="1:17" ht="15" thickTop="1">
      <c r="A127" s="599"/>
      <c r="B127" s="538" t="str">
        <f>B43</f>
        <v>居住品质</v>
      </c>
      <c r="C127" s="554" t="s">
        <v>3149</v>
      </c>
      <c r="D127" s="554" t="s">
        <v>3145</v>
      </c>
      <c r="E127" s="554" t="s">
        <v>35</v>
      </c>
      <c r="F127" s="554"/>
      <c r="G127" s="554"/>
      <c r="H127" s="583"/>
      <c r="I127" s="583"/>
      <c r="J127" s="583"/>
      <c r="K127" s="584"/>
      <c r="L127" s="585"/>
      <c r="M127" s="586"/>
      <c r="N127" s="1149"/>
      <c r="O127" s="1149"/>
      <c r="P127" s="45"/>
      <c r="Q127" s="504"/>
    </row>
    <row r="128" spans="1:17" ht="15.75" thickBot="1">
      <c r="A128" s="534"/>
      <c r="B128" s="543"/>
      <c r="C128" s="560">
        <v>100</v>
      </c>
      <c r="D128" s="560">
        <v>120</v>
      </c>
      <c r="E128" s="560">
        <v>90</v>
      </c>
      <c r="F128" s="560"/>
      <c r="G128" s="536"/>
      <c r="H128" s="536"/>
      <c r="I128" s="536"/>
      <c r="J128" s="536"/>
      <c r="K128" s="536"/>
      <c r="L128" s="536"/>
      <c r="M128" s="537"/>
      <c r="N128" s="1150"/>
      <c r="O128" s="1150"/>
      <c r="P128" s="45"/>
      <c r="Q128" s="504"/>
    </row>
    <row r="129" spans="1:17" ht="15" thickTop="1">
      <c r="A129" s="599"/>
      <c r="B129" s="538">
        <f>B44</f>
        <v>0</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0</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AA4:AA6"/>
    <mergeCell ref="AB4:AB6"/>
    <mergeCell ref="Y7:Z7"/>
    <mergeCell ref="R4:S6"/>
    <mergeCell ref="C5:D5"/>
    <mergeCell ref="C6:D6"/>
    <mergeCell ref="I5:J5"/>
    <mergeCell ref="E6:F6"/>
    <mergeCell ref="G6:H6"/>
    <mergeCell ref="E5:F5"/>
  </mergeCells>
  <phoneticPr fontId="32"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Q31" sqref="Q31"/>
    </sheetView>
  </sheetViews>
  <sheetFormatPr defaultRowHeight="13.5"/>
  <sheetData/>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 sqref="C4:E8"/>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2449</v>
      </c>
      <c r="B1" s="1578"/>
      <c r="C1" s="1579"/>
      <c r="D1" s="1577"/>
      <c r="E1" s="320"/>
      <c r="F1" s="320"/>
      <c r="G1" s="1578"/>
      <c r="H1" s="320"/>
      <c r="I1" s="320"/>
      <c r="J1" s="320"/>
      <c r="K1" s="320">
        <f>MATCH(C1,'数据-取费表'!A6:A16,0)+5</f>
        <v>9</v>
      </c>
    </row>
    <row r="2" spans="1:33" ht="18" customHeight="1">
      <c r="A2" s="245" t="s">
        <v>2317</v>
      </c>
      <c r="B2" s="248">
        <f ca="1">C32</f>
        <v>141658</v>
      </c>
      <c r="C2" s="320" t="s">
        <v>2450</v>
      </c>
      <c r="D2" s="320"/>
      <c r="E2" s="320"/>
      <c r="F2" s="320"/>
      <c r="G2" s="320"/>
      <c r="H2" s="320"/>
      <c r="I2" s="320"/>
      <c r="J2" s="320"/>
      <c r="K2" s="320"/>
    </row>
    <row r="3" spans="1:33" ht="18" customHeight="1" thickBot="1">
      <c r="A3" s="247" t="s">
        <v>2319</v>
      </c>
      <c r="B3" s="248">
        <f ca="1">ROUND(B2*10000/IF(C1="",'数据-汇总表'!E3,INDIRECT("'数据-取费表'!K"&amp;$K$1)),0)</f>
        <v>11789</v>
      </c>
      <c r="C3" s="320" t="s">
        <v>2451</v>
      </c>
      <c r="D3" s="320"/>
      <c r="E3" s="320"/>
      <c r="F3" s="320"/>
      <c r="G3" s="320"/>
      <c r="H3" s="320"/>
      <c r="I3" s="320"/>
      <c r="J3" s="320"/>
      <c r="K3" s="320"/>
    </row>
    <row r="4" spans="1:33" s="953" customFormat="1" ht="16.5" customHeight="1">
      <c r="A4" s="950" t="s">
        <v>2452</v>
      </c>
      <c r="B4" s="951"/>
      <c r="C4" s="993">
        <f ca="1">SUM(C8:K8)</f>
        <v>194236</v>
      </c>
      <c r="D4" s="951"/>
      <c r="E4" s="951"/>
      <c r="F4" s="951"/>
      <c r="G4" s="951"/>
      <c r="H4" s="951"/>
      <c r="I4" s="951"/>
      <c r="J4" s="951"/>
      <c r="K4" s="952"/>
    </row>
    <row r="5" spans="1:33" s="957" customFormat="1" ht="15">
      <c r="A5" s="954" t="s">
        <v>2453</v>
      </c>
      <c r="B5" s="955" t="s">
        <v>2454</v>
      </c>
      <c r="C5" s="2546" t="s">
        <v>3068</v>
      </c>
      <c r="D5" s="2546" t="s">
        <v>3141</v>
      </c>
      <c r="E5" s="2546" t="s">
        <v>3142</v>
      </c>
      <c r="F5" s="2546"/>
      <c r="G5" s="2546"/>
      <c r="H5" s="2546"/>
      <c r="I5" s="2546"/>
      <c r="J5" s="2546"/>
      <c r="K5" s="2546"/>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2455</v>
      </c>
      <c r="C6" s="959">
        <f>'比较法-住宅'!B3</f>
        <v>18562</v>
      </c>
      <c r="D6" s="959">
        <f>'比较法-公寓'!B3</f>
        <v>14502</v>
      </c>
      <c r="E6" s="959">
        <f ca="1">收益法!B3</f>
        <v>32049</v>
      </c>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2456</v>
      </c>
      <c r="B7" s="140" t="s">
        <v>2457</v>
      </c>
      <c r="C7" s="321">
        <f>SUMIF('数据-汇总表'!$C19:$C33,假设开发法!C5,'数据-汇总表'!$E19:$E33)</f>
        <v>25608.019999999997</v>
      </c>
      <c r="D7" s="321">
        <f>SUMIF('数据-汇总表'!$C19:$C33,假设开发法!D5,'数据-汇总表'!$E19:$E33)</f>
        <v>89098.739999999991</v>
      </c>
      <c r="E7" s="321">
        <f>SUMIF('数据-汇总表'!$C19:$C33,假设开发法!E5,'数据-汇总表'!$E19:$E33)</f>
        <v>5457.62</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7" t="s">
        <v>2458</v>
      </c>
      <c r="B8" s="177" t="s">
        <v>2459</v>
      </c>
      <c r="C8" s="994">
        <f>'比较法-住宅'!B2</f>
        <v>47534</v>
      </c>
      <c r="D8" s="994">
        <f>'比较法-公寓'!B2</f>
        <v>129211</v>
      </c>
      <c r="E8" s="994">
        <f ca="1">收益法!B2</f>
        <v>17491</v>
      </c>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2460</v>
      </c>
      <c r="B9" s="951"/>
      <c r="C9" s="951"/>
      <c r="D9" s="951"/>
      <c r="E9" s="951"/>
      <c r="F9" s="951"/>
      <c r="G9" s="951"/>
      <c r="H9" s="951"/>
      <c r="I9" s="951"/>
      <c r="J9" s="951"/>
      <c r="K9" s="952"/>
    </row>
    <row r="10" spans="1:33" s="967" customFormat="1" ht="13.5" customHeight="1">
      <c r="A10" s="954" t="s">
        <v>2461</v>
      </c>
      <c r="B10" s="8" t="s">
        <v>2462</v>
      </c>
      <c r="C10" s="963" t="s">
        <v>2463</v>
      </c>
      <c r="D10" s="964" t="s">
        <v>2464</v>
      </c>
      <c r="E10" s="964" t="s">
        <v>2465</v>
      </c>
      <c r="F10" s="964" t="s">
        <v>2466</v>
      </c>
      <c r="G10" s="8"/>
      <c r="H10" s="965"/>
      <c r="I10" s="965"/>
      <c r="J10" s="965"/>
      <c r="K10" s="966"/>
    </row>
    <row r="11" spans="1:33" s="972" customFormat="1" ht="13.5" customHeight="1">
      <c r="A11" s="968" t="s">
        <v>1329</v>
      </c>
      <c r="B11" s="969" t="s">
        <v>2467</v>
      </c>
      <c r="C11" s="323">
        <f ca="1">IF(C1="",'数据-取费表'!P16,INDIRECT("'数据-取费表'!p"&amp;$K$1)+INDIRECT("'数据-取费表'!ar"&amp;$K$1))</f>
        <v>13151</v>
      </c>
      <c r="D11" s="970"/>
      <c r="E11" s="375"/>
      <c r="F11" s="971">
        <f ca="1">1-IF('数据-取费表'!B24=0,1,IF(C1="",'数据-取费表'!N16,INDIRECT("'数据-取费表'!n"&amp;$K$1)))</f>
        <v>0.4</v>
      </c>
      <c r="G11" s="8"/>
      <c r="H11" s="965"/>
      <c r="I11" s="965"/>
      <c r="J11" s="965"/>
      <c r="K11" s="966"/>
    </row>
    <row r="12" spans="1:33" s="972" customFormat="1" ht="13.5" customHeight="1">
      <c r="A12" s="968" t="s">
        <v>1330</v>
      </c>
      <c r="B12" s="969" t="s">
        <v>2468</v>
      </c>
      <c r="C12" s="24">
        <f ca="1">ROUND(C11*F12,0)</f>
        <v>658</v>
      </c>
      <c r="D12" s="970"/>
      <c r="E12" s="375"/>
      <c r="F12" s="973">
        <f>'数据-取费表'!B33</f>
        <v>0.05</v>
      </c>
      <c r="G12" s="8" t="s">
        <v>2469</v>
      </c>
      <c r="H12" s="965"/>
      <c r="I12" s="965"/>
      <c r="J12" s="965"/>
      <c r="K12" s="966"/>
    </row>
    <row r="13" spans="1:33" s="972" customFormat="1" ht="13.5" customHeight="1">
      <c r="A13" s="968" t="s">
        <v>1331</v>
      </c>
      <c r="B13" s="969" t="s">
        <v>2470</v>
      </c>
      <c r="C13" s="24">
        <f ca="1">ROUND(IF(C1="",SUMIF('数据-取费表'!C:C,"住宅",'数据-取费表'!P:P)*F13,IF(INDIRECT("'数据-取费表'!c"&amp;$K$1)="住宅",INDIRECT("'数据-取费表'!P"&amp;$K$1)*F13,0)),0)</f>
        <v>0</v>
      </c>
      <c r="D13" s="1030"/>
      <c r="E13" s="375"/>
      <c r="F13" s="973">
        <f>'数据-取费表'!B34</f>
        <v>0</v>
      </c>
      <c r="G13" s="8" t="s">
        <v>2471</v>
      </c>
      <c r="H13" s="965"/>
      <c r="I13" s="965"/>
      <c r="J13" s="965"/>
      <c r="K13" s="966"/>
    </row>
    <row r="14" spans="1:33" s="974" customFormat="1" ht="13.5" customHeight="1">
      <c r="A14" s="968" t="s">
        <v>1332</v>
      </c>
      <c r="B14" s="969" t="s">
        <v>2472</v>
      </c>
      <c r="C14" s="24">
        <f ca="1">ROUND(D14*E14*F11/10000,0)</f>
        <v>961</v>
      </c>
      <c r="D14" s="1030">
        <f ca="1">IF(C1="",'数据-汇总表'!E3,INDIRECT("'数据-取费表'!K"&amp;$K$1)+INDIRECT("'数据-取费表'!S"&amp;$K$1))</f>
        <v>120164.37999999998</v>
      </c>
      <c r="E14" s="24">
        <f>'数据-取费表'!B35</f>
        <v>200</v>
      </c>
      <c r="F14" s="973"/>
      <c r="G14" s="8" t="s">
        <v>2473</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2474</v>
      </c>
      <c r="C15" s="980">
        <f ca="1">ROUND(C11*F15,0)</f>
        <v>197</v>
      </c>
      <c r="D15" s="975"/>
      <c r="E15" s="980"/>
      <c r="F15" s="981">
        <f>'数据-取费表'!B36</f>
        <v>1.4999999999999999E-2</v>
      </c>
      <c r="G15" s="140" t="s">
        <v>2475</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2476</v>
      </c>
      <c r="C16" s="980">
        <f ca="1">SUM(C11:C15)</f>
        <v>14967</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2477</v>
      </c>
      <c r="C17" s="24">
        <f ca="1">ROUND(D17*E17/10000,0)</f>
        <v>0</v>
      </c>
      <c r="D17" s="1030">
        <f ca="1">D14</f>
        <v>120164.37999999998</v>
      </c>
      <c r="E17" s="24">
        <f>'数据-取费表'!B32</f>
        <v>0</v>
      </c>
      <c r="F17" s="975"/>
      <c r="G17" s="140" t="s">
        <v>2478</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2479</v>
      </c>
      <c r="C18" s="24">
        <f ca="1">C19+C20-IF(C1="",'数据-取费表'!B29,IF(G18="已全部缴纳",C19+C20,H18))</f>
        <v>2042</v>
      </c>
      <c r="D18" s="1030"/>
      <c r="E18" s="24"/>
      <c r="F18" s="973"/>
      <c r="G18" s="2548"/>
      <c r="H18" s="1574"/>
      <c r="I18" s="2549" t="s">
        <v>2480</v>
      </c>
      <c r="J18" s="976"/>
      <c r="K18" s="977"/>
    </row>
    <row r="19" spans="1:33" s="972" customFormat="1" ht="13.5" customHeight="1">
      <c r="A19" s="968" t="s">
        <v>805</v>
      </c>
      <c r="B19" s="969" t="s">
        <v>2481</v>
      </c>
      <c r="C19" s="24">
        <f ca="1">ROUND(D19*E19/10000,0)</f>
        <v>435</v>
      </c>
      <c r="D19" s="1030">
        <f ca="1">IF(C1="",'数据-汇总表'!E5,IF(INDIRECT("'数据-取费表'!c"&amp;$K$1)="住宅",INDIRECT("'数据-取费表'!k"&amp;$K$1),0))</f>
        <v>25608.019999999997</v>
      </c>
      <c r="E19" s="24">
        <f>'数据-取费表'!B27</f>
        <v>170</v>
      </c>
      <c r="F19" s="973"/>
      <c r="G19" s="15"/>
      <c r="H19" s="1576"/>
      <c r="I19" s="978"/>
      <c r="J19" s="978"/>
      <c r="K19" s="979"/>
    </row>
    <row r="20" spans="1:33" s="972" customFormat="1" ht="13.5" customHeight="1">
      <c r="A20" s="968" t="s">
        <v>806</v>
      </c>
      <c r="B20" s="969" t="s">
        <v>2482</v>
      </c>
      <c r="C20" s="24">
        <f ca="1">ROUND(D20*E20/10000,0)</f>
        <v>1607</v>
      </c>
      <c r="D20" s="1030">
        <f ca="1">IF(C1="",'数据-汇总表'!E6,IF(INDIRECT("'数据-取费表'!c"&amp;$K$1)="住宅",INDIRECT("'数据-取费表'!s"&amp;$K$1),INDIRECT("'数据-取费表'!k"&amp;$K$1)+INDIRECT("'数据-取费表'!s"&amp;$K$1)))</f>
        <v>94556.359999999986</v>
      </c>
      <c r="E20" s="24">
        <f>'数据-取费表'!B28</f>
        <v>170</v>
      </c>
      <c r="F20" s="973"/>
      <c r="G20" s="15"/>
      <c r="H20" s="978"/>
      <c r="I20" s="978"/>
      <c r="J20" s="978"/>
      <c r="K20" s="979"/>
    </row>
    <row r="21" spans="1:33" s="972" customFormat="1" ht="13.5" customHeight="1">
      <c r="A21" s="958" t="s">
        <v>802</v>
      </c>
      <c r="B21" s="982" t="s">
        <v>2483</v>
      </c>
      <c r="C21" s="983">
        <f ca="1">C16+C17+C18</f>
        <v>17009</v>
      </c>
      <c r="D21" s="984"/>
      <c r="E21" s="325"/>
      <c r="F21" s="325"/>
      <c r="G21" s="140" t="s">
        <v>2484</v>
      </c>
      <c r="H21" s="976"/>
      <c r="I21" s="976"/>
      <c r="J21" s="976"/>
      <c r="K21" s="977"/>
    </row>
    <row r="22" spans="1:33" s="972" customFormat="1" ht="13.5" customHeight="1">
      <c r="A22" s="958" t="s">
        <v>2456</v>
      </c>
      <c r="B22" s="982" t="s">
        <v>2485</v>
      </c>
      <c r="C22" s="983">
        <f ca="1">ROUND(C21*F22,0)</f>
        <v>340</v>
      </c>
      <c r="D22" s="325"/>
      <c r="E22" s="325"/>
      <c r="F22" s="985">
        <f>'数据-取费表'!B37</f>
        <v>0.02</v>
      </c>
      <c r="G22" s="8" t="s">
        <v>2486</v>
      </c>
      <c r="H22" s="965"/>
      <c r="I22" s="965"/>
      <c r="J22" s="965"/>
      <c r="K22" s="966"/>
    </row>
    <row r="23" spans="1:33" s="972" customFormat="1" ht="13.5" customHeight="1">
      <c r="A23" s="958" t="s">
        <v>2458</v>
      </c>
      <c r="B23" s="982" t="s">
        <v>2487</v>
      </c>
      <c r="C23" s="983">
        <f ca="1">ROUND(C4*F23*F11,0)</f>
        <v>2331</v>
      </c>
      <c r="D23" s="325"/>
      <c r="E23" s="325"/>
      <c r="F23" s="985">
        <f>'数据-取费表'!B38</f>
        <v>0.03</v>
      </c>
      <c r="G23" s="8" t="s">
        <v>2488</v>
      </c>
      <c r="H23" s="965"/>
      <c r="I23" s="965"/>
      <c r="J23" s="965"/>
      <c r="K23" s="966"/>
    </row>
    <row r="24" spans="1:33" s="972" customFormat="1" ht="13.5" customHeight="1">
      <c r="A24" s="958" t="s">
        <v>2489</v>
      </c>
      <c r="B24" s="982" t="s">
        <v>2490</v>
      </c>
      <c r="C24" s="324">
        <f>ROUND(F24/(1+'数据-取费表'!C42),4)</f>
        <v>3.8600000000000002E-2</v>
      </c>
      <c r="D24" s="325" t="s">
        <v>15</v>
      </c>
      <c r="E24" s="325"/>
      <c r="F24" s="985">
        <f>IF(项目基本情况!B8="出让",0,'数据-取费表'!B48+'数据-取费表'!B49)</f>
        <v>4.0500000000000001E-2</v>
      </c>
      <c r="G24" s="8" t="s">
        <v>2491</v>
      </c>
      <c r="H24" s="987"/>
      <c r="I24" s="987"/>
      <c r="J24" s="987"/>
      <c r="K24" s="988"/>
    </row>
    <row r="25" spans="1:33" s="972" customFormat="1" ht="13.5" customHeight="1">
      <c r="A25" s="958" t="s">
        <v>2492</v>
      </c>
      <c r="B25" s="984" t="s">
        <v>2493</v>
      </c>
      <c r="C25" s="1353">
        <f ca="1">C27</f>
        <v>462</v>
      </c>
      <c r="D25" s="324">
        <f ca="1">C26</f>
        <v>4.9299999999999997E-2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2494</v>
      </c>
      <c r="C26" s="1354">
        <f ca="1">ROUND(IF('数据-取费表'!B22&lt;=1,(1+C24)*F25*'数据-取费表'!B24,(1+C24)*(POWER((1+F25),'数据-取费表'!B24)-1)),4)</f>
        <v>4.9299999999999997E-2</v>
      </c>
      <c r="D26" s="328"/>
      <c r="E26" s="329"/>
      <c r="F26" s="330"/>
      <c r="G26" s="2550"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2495</v>
      </c>
      <c r="C27" s="1355">
        <f ca="1">ROUND(IF('数据-取费表'!B22&lt;=1,(C21+C22+C23)*F25*'数据-取费表'!B24/2,(C21+C22+C23)*(POWER((1+F25),'数据-取费表'!B24/2)-1)),0)</f>
        <v>462</v>
      </c>
      <c r="D27" s="328"/>
      <c r="E27" s="329"/>
      <c r="F27" s="330"/>
      <c r="G27" s="2550" t="str">
        <f>IF('数据-取费表'!B22&lt;=1,"（1）-（3）项×年利率×建设期÷2","（1）-（3）项×((1+年利率)^(建设期÷2)-1)")</f>
        <v>（1）-（3）项×((1+年利率)^(建设期÷2)-1)</v>
      </c>
      <c r="H27" s="976"/>
      <c r="I27" s="976"/>
      <c r="J27" s="976"/>
      <c r="K27" s="977"/>
    </row>
    <row r="28" spans="1:33" s="333" customFormat="1" ht="13.5" customHeight="1">
      <c r="A28" s="958" t="s">
        <v>2496</v>
      </c>
      <c r="B28" s="2551" t="s">
        <v>2497</v>
      </c>
      <c r="C28" s="331">
        <f ca="1">C30</f>
        <v>2755</v>
      </c>
      <c r="D28" s="324">
        <f ca="1">C29</f>
        <v>4.8500000000000001E-2</v>
      </c>
      <c r="E28" s="326" t="s">
        <v>15</v>
      </c>
      <c r="F28" s="332">
        <f ca="1">IF(C1="",'数据-取费表'!Q16,INDIRECT("'数据-取费表'!q"&amp;$K$1))</f>
        <v>0.14000000000000001</v>
      </c>
      <c r="G28" s="986"/>
      <c r="H28" s="987"/>
      <c r="I28" s="987"/>
      <c r="J28" s="987"/>
      <c r="K28" s="988"/>
    </row>
    <row r="29" spans="1:33" s="335" customFormat="1" ht="13.5" customHeight="1">
      <c r="A29" s="968" t="s">
        <v>803</v>
      </c>
      <c r="B29" s="991" t="s">
        <v>2498</v>
      </c>
      <c r="C29" s="328">
        <f ca="1">ROUND((1+C24)*F28*'数据-取费表'!B24/'数据-取费表'!B20,4)</f>
        <v>4.8500000000000001E-2</v>
      </c>
      <c r="D29" s="328"/>
      <c r="E29" s="329"/>
      <c r="F29" s="334"/>
      <c r="G29" s="140" t="s">
        <v>2499</v>
      </c>
      <c r="H29" s="976"/>
      <c r="I29" s="976"/>
      <c r="J29" s="976"/>
      <c r="K29" s="977"/>
    </row>
    <row r="30" spans="1:33" s="335" customFormat="1" ht="13.5" customHeight="1">
      <c r="A30" s="968" t="s">
        <v>804</v>
      </c>
      <c r="B30" s="991" t="s">
        <v>2500</v>
      </c>
      <c r="C30" s="336">
        <f ca="1">ROUND((C21+C22+C23)*F28,0)</f>
        <v>2755</v>
      </c>
      <c r="D30" s="328"/>
      <c r="E30" s="329"/>
      <c r="F30" s="334"/>
      <c r="G30" s="140"/>
      <c r="H30" s="976"/>
      <c r="I30" s="976"/>
      <c r="J30" s="976"/>
      <c r="K30" s="977"/>
    </row>
    <row r="31" spans="1:33" s="972" customFormat="1" ht="13.5" customHeight="1" thickBot="1">
      <c r="A31" s="2552" t="s">
        <v>2501</v>
      </c>
      <c r="B31" s="1002" t="s">
        <v>2502</v>
      </c>
      <c r="C31" s="1003">
        <f ca="1">ROUND(C4*F31/(1+'数据-取费表'!C42),0)</f>
        <v>10359</v>
      </c>
      <c r="D31" s="1004"/>
      <c r="E31" s="1005"/>
      <c r="F31" s="1006">
        <f>'数据-取费表'!B41</f>
        <v>5.6000000000000001E-2</v>
      </c>
      <c r="G31" s="1007" t="s">
        <v>2503</v>
      </c>
      <c r="H31" s="1008"/>
      <c r="I31" s="1008"/>
      <c r="J31" s="1008"/>
      <c r="K31" s="1009"/>
    </row>
    <row r="32" spans="1:33" s="967" customFormat="1" ht="13.5" customHeight="1" thickBot="1">
      <c r="A32" s="997" t="s">
        <v>2504</v>
      </c>
      <c r="B32" s="998"/>
      <c r="C32" s="999">
        <f ca="1">ROUND((C4-C21-C22-C23-C25-C28-C31)/(1+C24+D25+D28),0)</f>
        <v>141658</v>
      </c>
      <c r="D32" s="998"/>
      <c r="E32" s="998"/>
      <c r="F32" s="998"/>
      <c r="G32" s="1000" t="s">
        <v>2505</v>
      </c>
      <c r="H32" s="998"/>
      <c r="I32" s="998"/>
      <c r="J32" s="998"/>
      <c r="K32" s="100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5" sqref="I5:J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6.875" style="403" customWidth="1"/>
    <col min="6" max="6" width="12.25" style="403" customWidth="1"/>
    <col min="7" max="7" width="16" style="403" customWidth="1"/>
    <col min="8" max="8" width="12.25" style="403" customWidth="1"/>
    <col min="9" max="9" width="15.7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2515</v>
      </c>
      <c r="B1" s="2574" t="s">
        <v>2516</v>
      </c>
      <c r="C1" s="1631" t="s">
        <v>2517</v>
      </c>
      <c r="D1" s="1618" t="s">
        <v>3068</v>
      </c>
      <c r="E1" s="2575"/>
      <c r="F1" s="2576" t="s">
        <v>2518</v>
      </c>
      <c r="G1" s="1628" t="s">
        <v>2519</v>
      </c>
      <c r="H1" s="1627"/>
      <c r="I1" s="1627"/>
      <c r="J1" s="1627"/>
      <c r="K1" s="1629"/>
      <c r="L1" s="1630"/>
      <c r="M1" s="1631"/>
      <c r="N1" s="1631"/>
      <c r="O1" s="1631"/>
      <c r="P1" s="2577"/>
      <c r="Q1" s="1617"/>
      <c r="R1" s="1617"/>
      <c r="S1" s="1617"/>
      <c r="T1" s="1617"/>
      <c r="U1" s="1617"/>
      <c r="V1" s="1617"/>
      <c r="W1" s="1617"/>
      <c r="X1" s="1617"/>
      <c r="Y1" s="1617"/>
      <c r="Z1" s="1617"/>
      <c r="AA1" s="1617"/>
      <c r="AB1" s="1617"/>
      <c r="AC1" s="1625"/>
    </row>
    <row r="2" spans="1:29" s="393" customFormat="1" ht="28.5" customHeight="1" thickTop="1">
      <c r="A2" s="1614" t="s">
        <v>1388</v>
      </c>
      <c r="B2" s="1415">
        <f>IF(C2="——",ROUND(C49*D3/10000,0),ROUND(C49*D3/10000,0)-D2)</f>
        <v>47534</v>
      </c>
      <c r="C2" s="2578" t="s">
        <v>70</v>
      </c>
      <c r="D2" s="1362" t="e">
        <f ca="1">SUMIF(INDIRECT("'"&amp;F2&amp;"'"&amp;"!A:A"),"承租人权益价值",INDIRECT("'"&amp;F2&amp;"'"&amp;"!c:c"))</f>
        <v>#REF!</v>
      </c>
      <c r="E2" s="2579" t="s">
        <v>2520</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1389</v>
      </c>
      <c r="B3" s="399">
        <f>IF(C2="——",C49,ROUND(B2*10000/D3,0))</f>
        <v>18562</v>
      </c>
      <c r="C3" s="400" t="s">
        <v>2521</v>
      </c>
      <c r="D3" s="399">
        <f>IF(D1="",'数据-汇总表'!E3,SUMIF('数据-汇总表'!$C19:$C33,D1,'数据-汇总表'!$E19:$E33))</f>
        <v>25608.019999999997</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5">
      <c r="A4" s="401" t="s">
        <v>2522</v>
      </c>
      <c r="B4" s="402"/>
      <c r="C4" s="3294" t="s">
        <v>2523</v>
      </c>
      <c r="D4" s="3295"/>
      <c r="E4" s="3296" t="s">
        <v>2524</v>
      </c>
      <c r="F4" s="3297"/>
      <c r="G4" s="3294" t="s">
        <v>2525</v>
      </c>
      <c r="H4" s="3295"/>
      <c r="I4" s="3294" t="s">
        <v>2526</v>
      </c>
      <c r="J4" s="3295"/>
      <c r="K4" s="2588" t="s">
        <v>2527</v>
      </c>
      <c r="L4" s="1127"/>
      <c r="M4" s="1128"/>
      <c r="N4" s="1128"/>
      <c r="O4" s="1128"/>
      <c r="P4" s="3298" t="s">
        <v>2528</v>
      </c>
      <c r="Q4" s="3299"/>
      <c r="R4" s="3284" t="s">
        <v>2524</v>
      </c>
      <c r="S4" s="3285"/>
      <c r="T4" s="3284" t="s">
        <v>2525</v>
      </c>
      <c r="U4" s="3285"/>
      <c r="V4" s="3306" t="s">
        <v>2526</v>
      </c>
      <c r="W4" s="3306"/>
      <c r="X4" s="1810"/>
      <c r="Y4" s="3284" t="s">
        <v>2528</v>
      </c>
      <c r="Z4" s="3285"/>
      <c r="AA4" s="3279" t="s">
        <v>2524</v>
      </c>
      <c r="AB4" s="3279" t="s">
        <v>2525</v>
      </c>
      <c r="AC4" s="3279" t="s">
        <v>2526</v>
      </c>
    </row>
    <row r="5" spans="1:29" ht="13.9" customHeight="1" thickBot="1">
      <c r="A5" s="404"/>
      <c r="B5" s="405"/>
      <c r="C5" s="3321" t="s">
        <v>2529</v>
      </c>
      <c r="D5" s="3322"/>
      <c r="E5" s="3319" t="s">
        <v>3299</v>
      </c>
      <c r="F5" s="3320"/>
      <c r="G5" s="3325" t="s">
        <v>3300</v>
      </c>
      <c r="H5" s="3322"/>
      <c r="I5" s="3325" t="s">
        <v>3169</v>
      </c>
      <c r="J5" s="3322"/>
      <c r="K5" s="2589"/>
      <c r="L5" s="1127"/>
      <c r="M5" s="1128"/>
      <c r="N5" s="1128"/>
      <c r="O5" s="1128"/>
      <c r="P5" s="3300"/>
      <c r="Q5" s="3301"/>
      <c r="R5" s="3286"/>
      <c r="S5" s="3287"/>
      <c r="T5" s="3286"/>
      <c r="U5" s="3287"/>
      <c r="V5" s="3306"/>
      <c r="W5" s="3306"/>
      <c r="X5" s="1810"/>
      <c r="Y5" s="3286"/>
      <c r="Z5" s="3287"/>
      <c r="AA5" s="3280"/>
      <c r="AB5" s="3280"/>
      <c r="AC5" s="3280"/>
    </row>
    <row r="6" spans="1:29" ht="15.75" hidden="1" thickBot="1">
      <c r="A6" s="406"/>
      <c r="B6" s="407"/>
      <c r="C6" s="3323" t="s">
        <v>2533</v>
      </c>
      <c r="D6" s="3324"/>
      <c r="E6" s="3326" t="s">
        <v>2533</v>
      </c>
      <c r="F6" s="3327"/>
      <c r="G6" s="3323" t="s">
        <v>2533</v>
      </c>
      <c r="H6" s="3324"/>
      <c r="I6" s="3323" t="s">
        <v>2533</v>
      </c>
      <c r="J6" s="3324"/>
      <c r="K6" s="2589" t="s">
        <v>2534</v>
      </c>
      <c r="L6" s="1127"/>
      <c r="M6" s="1128"/>
      <c r="N6" s="1128"/>
      <c r="O6" s="1128"/>
      <c r="P6" s="3302"/>
      <c r="Q6" s="3303"/>
      <c r="R6" s="3286"/>
      <c r="S6" s="3287"/>
      <c r="T6" s="3304"/>
      <c r="U6" s="3305"/>
      <c r="V6" s="3306"/>
      <c r="W6" s="3306"/>
      <c r="X6" s="1810"/>
      <c r="Y6" s="3304"/>
      <c r="Z6" s="3305"/>
      <c r="AA6" s="3281"/>
      <c r="AB6" s="3281"/>
      <c r="AC6" s="3281"/>
    </row>
    <row r="7" spans="1:29" s="117" customFormat="1" ht="15.75" thickBot="1">
      <c r="A7" s="408" t="s">
        <v>2535</v>
      </c>
      <c r="B7" s="409"/>
      <c r="C7" s="410">
        <f>'数据-取费表'!B2</f>
        <v>43951</v>
      </c>
      <c r="D7" s="411">
        <v>100</v>
      </c>
      <c r="E7" s="412">
        <f>C7</f>
        <v>43951</v>
      </c>
      <c r="F7" s="413">
        <f>SUMIF(58:58,YEAR(E7)&amp;"-"&amp;MONTH(E7),59:59)</f>
        <v>100</v>
      </c>
      <c r="G7" s="412">
        <f>E7</f>
        <v>43951</v>
      </c>
      <c r="H7" s="411">
        <f>SUMIF(58:58,YEAR(G7)&amp;"-"&amp;MONTH(G7),59:59)</f>
        <v>100</v>
      </c>
      <c r="I7" s="412">
        <f>E7</f>
        <v>43951</v>
      </c>
      <c r="J7" s="411">
        <f>SUMIF(58:58,YEAR(I7)&amp;"-"&amp;MONTH(I7),59:59)</f>
        <v>100</v>
      </c>
      <c r="K7" s="2590"/>
      <c r="L7" s="1129"/>
      <c r="M7" s="1130"/>
      <c r="N7" s="1130"/>
      <c r="O7" s="1130"/>
      <c r="P7" s="3282" t="s">
        <v>2536</v>
      </c>
      <c r="Q7" s="3307"/>
      <c r="R7" s="770" t="s">
        <v>23</v>
      </c>
      <c r="S7" s="771">
        <f t="shared" ref="S7:S15" si="0">F7</f>
        <v>100</v>
      </c>
      <c r="T7" s="770" t="s">
        <v>23</v>
      </c>
      <c r="U7" s="771">
        <f t="shared" ref="U7:U15" si="1">H7</f>
        <v>100</v>
      </c>
      <c r="V7" s="770" t="s">
        <v>23</v>
      </c>
      <c r="W7" s="771">
        <f t="shared" ref="W7:W15" si="2">J7</f>
        <v>100</v>
      </c>
      <c r="X7" s="772"/>
      <c r="Y7" s="3282" t="s">
        <v>2536</v>
      </c>
      <c r="Z7" s="3283"/>
      <c r="AA7" s="773">
        <f>D7/F7</f>
        <v>1</v>
      </c>
      <c r="AB7" s="773">
        <f>D7/H7</f>
        <v>1</v>
      </c>
      <c r="AC7" s="773">
        <f>D7/J7</f>
        <v>1</v>
      </c>
    </row>
    <row r="8" spans="1:29" s="117" customFormat="1" ht="15.75" thickBot="1">
      <c r="A8" s="408" t="s">
        <v>2537</v>
      </c>
      <c r="B8" s="409"/>
      <c r="C8" s="414" t="s">
        <v>2538</v>
      </c>
      <c r="D8" s="411">
        <v>100</v>
      </c>
      <c r="E8" s="2591" t="s">
        <v>3091</v>
      </c>
      <c r="F8" s="413">
        <f>SUMIF(61:61,E8,62:62)-SUMIF(61:61,C8,62:62)+100</f>
        <v>100</v>
      </c>
      <c r="G8" s="414" t="s">
        <v>3091</v>
      </c>
      <c r="H8" s="411">
        <f>SUMIF(61:61,G8,62:62)-SUMIF(61:61,C8,62:62)+100</f>
        <v>100</v>
      </c>
      <c r="I8" s="414" t="s">
        <v>3091</v>
      </c>
      <c r="J8" s="411">
        <f>SUMIF(61:61,I8,62:62)-SUMIF(61:61,C8,62:62)+100</f>
        <v>100</v>
      </c>
      <c r="K8" s="2590"/>
      <c r="L8" s="1129"/>
      <c r="M8" s="1130"/>
      <c r="N8" s="1130"/>
      <c r="O8" s="1130"/>
      <c r="P8" s="3282" t="s">
        <v>2539</v>
      </c>
      <c r="Q8" s="3283"/>
      <c r="R8" s="770" t="s">
        <v>23</v>
      </c>
      <c r="S8" s="771">
        <f t="shared" si="0"/>
        <v>100</v>
      </c>
      <c r="T8" s="770" t="s">
        <v>23</v>
      </c>
      <c r="U8" s="771">
        <f t="shared" si="1"/>
        <v>100</v>
      </c>
      <c r="V8" s="770" t="s">
        <v>23</v>
      </c>
      <c r="W8" s="771">
        <f t="shared" si="2"/>
        <v>100</v>
      </c>
      <c r="X8" s="772"/>
      <c r="Y8" s="3282" t="s">
        <v>2539</v>
      </c>
      <c r="Z8" s="3283"/>
      <c r="AA8" s="773">
        <f t="shared" ref="AA8:AA19" si="3">D8/F8</f>
        <v>1</v>
      </c>
      <c r="AB8" s="773">
        <f t="shared" ref="AB8:AB19" si="4">D8/H8</f>
        <v>1</v>
      </c>
      <c r="AC8" s="773">
        <f t="shared" ref="AC8:AC19" si="5">D8/J8</f>
        <v>1</v>
      </c>
    </row>
    <row r="9" spans="1:29" s="117" customFormat="1">
      <c r="A9" s="415" t="s">
        <v>2540</v>
      </c>
      <c r="B9" s="71" t="s">
        <v>2541</v>
      </c>
      <c r="C9" s="416" t="s">
        <v>3068</v>
      </c>
      <c r="D9" s="135">
        <v>100</v>
      </c>
      <c r="E9" s="417" t="s">
        <v>3068</v>
      </c>
      <c r="F9" s="418">
        <f>SUMIF(63:63,E9,64:64)-SUMIF(63:63,C9,64:64)+100</f>
        <v>100</v>
      </c>
      <c r="G9" s="419" t="s">
        <v>3068</v>
      </c>
      <c r="H9" s="135">
        <f>SUMIF(63:63,G9,64:64)-SUMIF(63:63,C9,64:64)+100</f>
        <v>100</v>
      </c>
      <c r="I9" s="419" t="s">
        <v>3068</v>
      </c>
      <c r="J9" s="135">
        <f>SUMIF(63:63,I9,64:64)-SUMIF(63:63,C9,64:64)+100</f>
        <v>100</v>
      </c>
      <c r="K9" s="2590"/>
      <c r="L9" s="1129"/>
      <c r="M9" s="1130"/>
      <c r="N9" s="1130"/>
      <c r="O9" s="1130"/>
      <c r="P9" s="3317" t="s">
        <v>2542</v>
      </c>
      <c r="Q9" s="1792" t="str">
        <f t="shared" ref="Q9:Q15" si="6">B9</f>
        <v>用途</v>
      </c>
      <c r="R9" s="770" t="s">
        <v>17</v>
      </c>
      <c r="S9" s="771">
        <f t="shared" si="0"/>
        <v>100</v>
      </c>
      <c r="T9" s="770" t="s">
        <v>17</v>
      </c>
      <c r="U9" s="771">
        <f t="shared" si="1"/>
        <v>100</v>
      </c>
      <c r="V9" s="770" t="s">
        <v>17</v>
      </c>
      <c r="W9" s="771">
        <f t="shared" si="2"/>
        <v>100</v>
      </c>
      <c r="X9" s="772"/>
      <c r="Y9" s="3125" t="s">
        <v>2543</v>
      </c>
      <c r="Z9" s="55" t="str">
        <f t="shared" ref="Z9:Z15" si="7">Q9</f>
        <v>用途</v>
      </c>
      <c r="AA9" s="773">
        <f t="shared" si="3"/>
        <v>1</v>
      </c>
      <c r="AB9" s="773">
        <f t="shared" si="4"/>
        <v>1</v>
      </c>
      <c r="AC9" s="773">
        <f t="shared" si="5"/>
        <v>1</v>
      </c>
    </row>
    <row r="10" spans="1:29" s="427" customFormat="1" ht="27">
      <c r="A10" s="421"/>
      <c r="B10" s="422" t="s">
        <v>2544</v>
      </c>
      <c r="C10" s="423" t="s">
        <v>3151</v>
      </c>
      <c r="D10" s="136">
        <v>100</v>
      </c>
      <c r="E10" s="424" t="s">
        <v>3151</v>
      </c>
      <c r="F10" s="425">
        <f>SUMIF(65:65,E10,66:66)-SUMIF(65:65,C10,66:66)+100</f>
        <v>100</v>
      </c>
      <c r="G10" s="423" t="s">
        <v>3151</v>
      </c>
      <c r="H10" s="136">
        <f>SUMIF(65:65,G10,66:66)-SUMIF(65:65,C10,66:66)+100</f>
        <v>100</v>
      </c>
      <c r="I10" s="423" t="s">
        <v>3151</v>
      </c>
      <c r="J10" s="136">
        <f>SUMIF(65:65,I10,66:66)-SUMIF(65:65,C10,66:66)+100</f>
        <v>100</v>
      </c>
      <c r="K10" s="426">
        <v>2</v>
      </c>
      <c r="L10" s="1132"/>
      <c r="M10" s="1133"/>
      <c r="N10" s="1133"/>
      <c r="O10" s="1133"/>
      <c r="P10" s="3317"/>
      <c r="Q10" s="1792" t="str">
        <f t="shared" si="6"/>
        <v>土地使用年限（年）</v>
      </c>
      <c r="R10" s="770" t="s">
        <v>17</v>
      </c>
      <c r="S10" s="771">
        <f t="shared" si="0"/>
        <v>100</v>
      </c>
      <c r="T10" s="770" t="s">
        <v>17</v>
      </c>
      <c r="U10" s="771">
        <f t="shared" si="1"/>
        <v>100</v>
      </c>
      <c r="V10" s="770" t="s">
        <v>17</v>
      </c>
      <c r="W10" s="771">
        <f t="shared" si="2"/>
        <v>100</v>
      </c>
      <c r="X10" s="772"/>
      <c r="Y10" s="3125"/>
      <c r="Z10" s="55" t="str">
        <f t="shared" si="7"/>
        <v>土地使用年限（年）</v>
      </c>
      <c r="AA10" s="773">
        <f t="shared" si="3"/>
        <v>1</v>
      </c>
      <c r="AB10" s="773">
        <f t="shared" si="4"/>
        <v>1</v>
      </c>
      <c r="AC10" s="773">
        <f t="shared" si="5"/>
        <v>1</v>
      </c>
    </row>
    <row r="11" spans="1:29" ht="15.75" thickBot="1">
      <c r="A11" s="428"/>
      <c r="B11" s="422" t="s">
        <v>2545</v>
      </c>
      <c r="C11" s="429">
        <v>5.84</v>
      </c>
      <c r="D11" s="136">
        <v>100</v>
      </c>
      <c r="E11" s="430">
        <v>5.99</v>
      </c>
      <c r="F11" s="425">
        <f>LOOKUP(E11,68:68,69:69)-LOOKUP(C11,68:68,69:69)+100</f>
        <v>100</v>
      </c>
      <c r="G11" s="429">
        <v>6</v>
      </c>
      <c r="H11" s="136">
        <f>LOOKUP(G11,68:68,69:69)-LOOKUP(C11,68:68,69:69)+100</f>
        <v>98</v>
      </c>
      <c r="I11" s="429">
        <v>3.99</v>
      </c>
      <c r="J11" s="136">
        <f>LOOKUP(I11,68:68,69:69)-LOOKUP(C11,68:68,69:69)+100</f>
        <v>104</v>
      </c>
      <c r="K11" s="426">
        <v>2</v>
      </c>
      <c r="L11" s="1135"/>
      <c r="M11" s="1128"/>
      <c r="N11" s="1128"/>
      <c r="O11" s="1128"/>
      <c r="P11" s="3317"/>
      <c r="Q11" s="1792" t="str">
        <f t="shared" si="6"/>
        <v>容积率</v>
      </c>
      <c r="R11" s="770" t="s">
        <v>21</v>
      </c>
      <c r="S11" s="771">
        <f t="shared" si="0"/>
        <v>100</v>
      </c>
      <c r="T11" s="770" t="s">
        <v>21</v>
      </c>
      <c r="U11" s="771">
        <f t="shared" si="1"/>
        <v>98</v>
      </c>
      <c r="V11" s="770" t="s">
        <v>21</v>
      </c>
      <c r="W11" s="771">
        <f t="shared" si="2"/>
        <v>104</v>
      </c>
      <c r="X11" s="772"/>
      <c r="Y11" s="3125"/>
      <c r="Z11" s="55" t="str">
        <f t="shared" si="7"/>
        <v>容积率</v>
      </c>
      <c r="AA11" s="773">
        <f t="shared" si="3"/>
        <v>1</v>
      </c>
      <c r="AB11" s="773">
        <f t="shared" si="4"/>
        <v>1.0204081632653061</v>
      </c>
      <c r="AC11" s="773">
        <f t="shared" si="5"/>
        <v>0.96153846153846156</v>
      </c>
    </row>
    <row r="12" spans="1:29" s="117" customFormat="1" ht="15" hidden="1">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29"/>
      <c r="M12" s="1130"/>
      <c r="N12" s="1130"/>
      <c r="O12" s="1130"/>
      <c r="P12" s="3317"/>
      <c r="Q12" s="1792">
        <f t="shared" si="6"/>
        <v>111</v>
      </c>
      <c r="R12" s="770" t="s">
        <v>21</v>
      </c>
      <c r="S12" s="771">
        <f t="shared" si="0"/>
        <v>100</v>
      </c>
      <c r="T12" s="770" t="s">
        <v>21</v>
      </c>
      <c r="U12" s="771">
        <f t="shared" si="1"/>
        <v>100</v>
      </c>
      <c r="V12" s="770" t="s">
        <v>21</v>
      </c>
      <c r="W12" s="771">
        <f t="shared" si="2"/>
        <v>100</v>
      </c>
      <c r="X12" s="772"/>
      <c r="Y12" s="3125"/>
      <c r="Z12" s="55">
        <f t="shared" si="7"/>
        <v>111</v>
      </c>
      <c r="AA12" s="773">
        <f>D12/F12</f>
        <v>1</v>
      </c>
      <c r="AB12" s="773">
        <f>D12/H12</f>
        <v>1</v>
      </c>
      <c r="AC12" s="773">
        <f>D12/J12</f>
        <v>1</v>
      </c>
    </row>
    <row r="13" spans="1:29" ht="15" hidden="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7"/>
      <c r="M13" s="1128"/>
      <c r="N13" s="1128"/>
      <c r="O13" s="1128"/>
      <c r="P13" s="3317"/>
      <c r="Q13" s="1792">
        <f t="shared" si="6"/>
        <v>111</v>
      </c>
      <c r="R13" s="770" t="s">
        <v>21</v>
      </c>
      <c r="S13" s="771">
        <f t="shared" si="0"/>
        <v>100</v>
      </c>
      <c r="T13" s="770" t="s">
        <v>21</v>
      </c>
      <c r="U13" s="771">
        <f t="shared" si="1"/>
        <v>100</v>
      </c>
      <c r="V13" s="770" t="s">
        <v>21</v>
      </c>
      <c r="W13" s="771">
        <f t="shared" si="2"/>
        <v>100</v>
      </c>
      <c r="X13" s="772"/>
      <c r="Y13" s="3125"/>
      <c r="Z13" s="55">
        <f t="shared" si="7"/>
        <v>111</v>
      </c>
      <c r="AA13" s="773">
        <f t="shared" si="3"/>
        <v>1</v>
      </c>
      <c r="AB13" s="773">
        <f t="shared" si="4"/>
        <v>1</v>
      </c>
      <c r="AC13" s="773">
        <f t="shared" si="5"/>
        <v>1</v>
      </c>
    </row>
    <row r="14" spans="1:29" ht="15.75" hidden="1"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7"/>
      <c r="M14" s="1128"/>
      <c r="N14" s="1128"/>
      <c r="O14" s="1128"/>
      <c r="P14" s="3317"/>
      <c r="Q14" s="1792">
        <f t="shared" si="6"/>
        <v>111</v>
      </c>
      <c r="R14" s="770" t="s">
        <v>21</v>
      </c>
      <c r="S14" s="771">
        <f t="shared" si="0"/>
        <v>100</v>
      </c>
      <c r="T14" s="770" t="s">
        <v>21</v>
      </c>
      <c r="U14" s="771">
        <f t="shared" si="1"/>
        <v>100</v>
      </c>
      <c r="V14" s="770" t="s">
        <v>21</v>
      </c>
      <c r="W14" s="771">
        <f t="shared" si="2"/>
        <v>100</v>
      </c>
      <c r="X14" s="772"/>
      <c r="Y14" s="3125"/>
      <c r="Z14" s="55">
        <f t="shared" si="7"/>
        <v>111</v>
      </c>
      <c r="AA14" s="773">
        <f t="shared" si="3"/>
        <v>1</v>
      </c>
      <c r="AB14" s="773">
        <f t="shared" si="4"/>
        <v>1</v>
      </c>
      <c r="AC14" s="773">
        <f t="shared" si="5"/>
        <v>1</v>
      </c>
    </row>
    <row r="15" spans="1:29" ht="15">
      <c r="A15" s="440" t="s">
        <v>2546</v>
      </c>
      <c r="B15" s="69" t="s">
        <v>2084</v>
      </c>
      <c r="C15" s="2595">
        <f>估价对象房地状况!C3</f>
        <v>0</v>
      </c>
      <c r="D15" s="441">
        <v>100</v>
      </c>
      <c r="E15" s="444"/>
      <c r="F15" s="441">
        <f>SUMIF(76:76,E16,77:77)-SUMIF(76:76,C16,77:77)+100</f>
        <v>100</v>
      </c>
      <c r="G15" s="442"/>
      <c r="H15" s="441">
        <f>SUMIF(76:76,G16,77:77)-SUMIF(76:76,C16,77:77)+100</f>
        <v>100</v>
      </c>
      <c r="I15" s="442"/>
      <c r="J15" s="441">
        <f>SUMIF(76:76,I16,77:77)-SUMIF(76:76,C16,77:77)+100</f>
        <v>100</v>
      </c>
      <c r="K15" s="445">
        <v>2</v>
      </c>
      <c r="L15" s="1137"/>
      <c r="M15" s="1128"/>
      <c r="N15" s="1128"/>
      <c r="O15" s="1128"/>
      <c r="P15" s="3334" t="s">
        <v>2547</v>
      </c>
      <c r="Q15" s="1807" t="str">
        <f t="shared" si="6"/>
        <v>居住社区成熟度</v>
      </c>
      <c r="R15" s="774" t="s">
        <v>21</v>
      </c>
      <c r="S15" s="775">
        <f t="shared" si="0"/>
        <v>100</v>
      </c>
      <c r="T15" s="774" t="s">
        <v>21</v>
      </c>
      <c r="U15" s="775">
        <f t="shared" si="1"/>
        <v>100</v>
      </c>
      <c r="V15" s="774" t="s">
        <v>21</v>
      </c>
      <c r="W15" s="775">
        <f t="shared" si="2"/>
        <v>100</v>
      </c>
      <c r="X15" s="1810"/>
      <c r="Y15" s="3308" t="s">
        <v>2547</v>
      </c>
      <c r="Z15" s="1811" t="str">
        <f t="shared" si="7"/>
        <v>居住社区成熟度</v>
      </c>
      <c r="AA15" s="1808">
        <f t="shared" si="3"/>
        <v>1</v>
      </c>
      <c r="AB15" s="1808">
        <f t="shared" si="4"/>
        <v>1</v>
      </c>
      <c r="AC15" s="1808">
        <f t="shared" si="5"/>
        <v>1</v>
      </c>
    </row>
    <row r="16" spans="1:29" ht="15">
      <c r="A16" s="428"/>
      <c r="B16" s="446"/>
      <c r="C16" s="447" t="s">
        <v>3094</v>
      </c>
      <c r="D16" s="448"/>
      <c r="E16" s="2596" t="s">
        <v>3094</v>
      </c>
      <c r="F16" s="448"/>
      <c r="G16" s="2597" t="s">
        <v>3094</v>
      </c>
      <c r="H16" s="450"/>
      <c r="I16" s="2596" t="s">
        <v>3094</v>
      </c>
      <c r="J16" s="448"/>
      <c r="K16" s="2598"/>
      <c r="L16" s="1137"/>
      <c r="M16" s="1128"/>
      <c r="N16" s="1128"/>
      <c r="O16" s="1128"/>
      <c r="P16" s="3335"/>
      <c r="Q16" s="1807"/>
      <c r="R16" s="774"/>
      <c r="S16" s="775"/>
      <c r="T16" s="774"/>
      <c r="U16" s="775"/>
      <c r="V16" s="774"/>
      <c r="W16" s="775"/>
      <c r="X16" s="1810"/>
      <c r="Y16" s="3309"/>
      <c r="Z16" s="1811"/>
      <c r="AA16" s="1808">
        <v>1</v>
      </c>
      <c r="AB16" s="1808">
        <v>1</v>
      </c>
      <c r="AC16" s="1808">
        <v>1</v>
      </c>
    </row>
    <row r="17" spans="1:29" ht="15">
      <c r="A17" s="428"/>
      <c r="B17" s="451" t="s">
        <v>2090</v>
      </c>
      <c r="C17" s="2599">
        <f>估价对象房地状况!C6</f>
        <v>0</v>
      </c>
      <c r="D17" s="450">
        <v>100</v>
      </c>
      <c r="E17" s="454"/>
      <c r="F17" s="450">
        <f>SUMIF(78:78,E18,79:79)-SUMIF(78:78,C18,79:79)+100</f>
        <v>98</v>
      </c>
      <c r="G17" s="452"/>
      <c r="H17" s="455">
        <f>SUMIF(78:78,G18,79:79)-SUMIF(78:78,C18,79:79)+100</f>
        <v>100</v>
      </c>
      <c r="I17" s="454"/>
      <c r="J17" s="455">
        <f>SUMIF(78:78,I18,79:79)-SUMIF(78:78,C18,79:79)+100</f>
        <v>98</v>
      </c>
      <c r="K17" s="445">
        <v>2</v>
      </c>
      <c r="L17" s="1137"/>
      <c r="M17" s="1128"/>
      <c r="N17" s="1128"/>
      <c r="O17" s="1128"/>
      <c r="P17" s="3335"/>
      <c r="Q17" s="1807" t="str">
        <f>B17</f>
        <v>交通便捷度</v>
      </c>
      <c r="R17" s="774" t="s">
        <v>21</v>
      </c>
      <c r="S17" s="775">
        <f>F17</f>
        <v>98</v>
      </c>
      <c r="T17" s="774" t="s">
        <v>21</v>
      </c>
      <c r="U17" s="775">
        <f>H17</f>
        <v>100</v>
      </c>
      <c r="V17" s="774" t="s">
        <v>21</v>
      </c>
      <c r="W17" s="775">
        <f>J17</f>
        <v>98</v>
      </c>
      <c r="X17" s="1810"/>
      <c r="Y17" s="3309"/>
      <c r="Z17" s="1811" t="str">
        <f>Q17</f>
        <v>交通便捷度</v>
      </c>
      <c r="AA17" s="1808">
        <f t="shared" si="3"/>
        <v>1.0204081632653061</v>
      </c>
      <c r="AB17" s="1808">
        <f t="shared" si="4"/>
        <v>1</v>
      </c>
      <c r="AC17" s="1808">
        <f t="shared" si="5"/>
        <v>1.0204081632653061</v>
      </c>
    </row>
    <row r="18" spans="1:29" ht="15">
      <c r="A18" s="428"/>
      <c r="B18" s="456"/>
      <c r="C18" s="2600" t="s">
        <v>3094</v>
      </c>
      <c r="D18" s="450"/>
      <c r="E18" s="2601" t="s">
        <v>3093</v>
      </c>
      <c r="F18" s="450"/>
      <c r="G18" s="2602" t="s">
        <v>3094</v>
      </c>
      <c r="H18" s="448"/>
      <c r="I18" s="2601" t="s">
        <v>3093</v>
      </c>
      <c r="J18" s="448"/>
      <c r="K18" s="2598"/>
      <c r="L18" s="1137"/>
      <c r="M18" s="1128"/>
      <c r="N18" s="1128"/>
      <c r="O18" s="1128"/>
      <c r="P18" s="3335"/>
      <c r="Q18" s="1807"/>
      <c r="R18" s="774"/>
      <c r="S18" s="775"/>
      <c r="T18" s="774"/>
      <c r="U18" s="775"/>
      <c r="V18" s="774"/>
      <c r="W18" s="775"/>
      <c r="X18" s="1810"/>
      <c r="Y18" s="3309"/>
      <c r="Z18" s="1811"/>
      <c r="AA18" s="1808">
        <v>1</v>
      </c>
      <c r="AB18" s="1808">
        <v>1</v>
      </c>
      <c r="AC18" s="1808">
        <v>1</v>
      </c>
    </row>
    <row r="19" spans="1:29" ht="15">
      <c r="A19" s="428"/>
      <c r="B19" s="451" t="s">
        <v>2089</v>
      </c>
      <c r="C19" s="2599">
        <f>估价对象房地状况!C7</f>
        <v>0</v>
      </c>
      <c r="D19" s="455">
        <v>100</v>
      </c>
      <c r="E19" s="459"/>
      <c r="F19" s="455">
        <f>SUMIF(80:80,E20,81:81)-SUMIF(80:80,C20,81:81)+100</f>
        <v>100</v>
      </c>
      <c r="G19" s="457"/>
      <c r="H19" s="450">
        <f>SUMIF(80:80,G20,81:81)-SUMIF(80:80,C20,81:81)+100</f>
        <v>100</v>
      </c>
      <c r="I19" s="459"/>
      <c r="J19" s="450">
        <f>SUMIF(80:80,I20,81:81)-SUMIF(80:80,C20,81:81)+100</f>
        <v>98</v>
      </c>
      <c r="K19" s="445">
        <v>2</v>
      </c>
      <c r="L19" s="1137"/>
      <c r="M19" s="1128"/>
      <c r="N19" s="1128"/>
      <c r="O19" s="1128"/>
      <c r="P19" s="3335"/>
      <c r="Q19" s="1807" t="str">
        <f>B19</f>
        <v>公共配套设施</v>
      </c>
      <c r="R19" s="774" t="s">
        <v>21</v>
      </c>
      <c r="S19" s="775">
        <f>F19</f>
        <v>100</v>
      </c>
      <c r="T19" s="774" t="s">
        <v>21</v>
      </c>
      <c r="U19" s="775">
        <f>H19</f>
        <v>100</v>
      </c>
      <c r="V19" s="774" t="s">
        <v>21</v>
      </c>
      <c r="W19" s="775">
        <f>J19</f>
        <v>98</v>
      </c>
      <c r="X19" s="1810"/>
      <c r="Y19" s="3309"/>
      <c r="Z19" s="1811" t="str">
        <f>Q19</f>
        <v>公共配套设施</v>
      </c>
      <c r="AA19" s="1808">
        <f t="shared" si="3"/>
        <v>1</v>
      </c>
      <c r="AB19" s="1808">
        <f t="shared" si="4"/>
        <v>1</v>
      </c>
      <c r="AC19" s="1808">
        <f t="shared" si="5"/>
        <v>1.0204081632653061</v>
      </c>
    </row>
    <row r="20" spans="1:29" ht="15">
      <c r="A20" s="428"/>
      <c r="B20" s="456"/>
      <c r="C20" s="447" t="s">
        <v>3094</v>
      </c>
      <c r="D20" s="448"/>
      <c r="E20" s="2596" t="s">
        <v>3094</v>
      </c>
      <c r="F20" s="448"/>
      <c r="G20" s="2597" t="s">
        <v>3094</v>
      </c>
      <c r="H20" s="448"/>
      <c r="I20" s="2596" t="s">
        <v>3093</v>
      </c>
      <c r="J20" s="448"/>
      <c r="K20" s="2598"/>
      <c r="L20" s="1137"/>
      <c r="M20" s="1128"/>
      <c r="N20" s="1128"/>
      <c r="O20" s="1128"/>
      <c r="P20" s="3335"/>
      <c r="Q20" s="1807"/>
      <c r="R20" s="774"/>
      <c r="S20" s="775"/>
      <c r="T20" s="774"/>
      <c r="U20" s="775"/>
      <c r="V20" s="774"/>
      <c r="W20" s="775"/>
      <c r="X20" s="1810"/>
      <c r="Y20" s="3309"/>
      <c r="Z20" s="1811"/>
      <c r="AA20" s="1808">
        <v>1</v>
      </c>
      <c r="AB20" s="1808">
        <v>1</v>
      </c>
      <c r="AC20" s="1808">
        <v>1</v>
      </c>
    </row>
    <row r="21" spans="1:29" ht="15">
      <c r="A21" s="428"/>
      <c r="B21" s="1381" t="s">
        <v>2091</v>
      </c>
      <c r="C21" s="2599">
        <f>估价对象房地状况!C8</f>
        <v>0</v>
      </c>
      <c r="D21" s="450">
        <v>100</v>
      </c>
      <c r="E21" s="459"/>
      <c r="F21" s="455">
        <f>SUMIF(82:82,E22,83:83)-SUMIF(82:82,C22,83:83)+100</f>
        <v>100</v>
      </c>
      <c r="G21" s="457"/>
      <c r="H21" s="450">
        <f>SUMIF(82:82,G22,83:83)-SUMIF(82:82,C22,83:83)+100</f>
        <v>100</v>
      </c>
      <c r="I21" s="459"/>
      <c r="J21" s="450">
        <f>SUMIF(82:82,I22,83:83)-SUMIF(82:82,C22,83:83)+100</f>
        <v>100</v>
      </c>
      <c r="K21" s="445">
        <v>2</v>
      </c>
      <c r="L21" s="1137"/>
      <c r="M21" s="1128"/>
      <c r="N21" s="1128"/>
      <c r="O21" s="1128"/>
      <c r="P21" s="3335"/>
      <c r="Q21" s="1807" t="str">
        <f>B21</f>
        <v>基础设施水平</v>
      </c>
      <c r="R21" s="774" t="s">
        <v>17</v>
      </c>
      <c r="S21" s="775">
        <f>F21</f>
        <v>100</v>
      </c>
      <c r="T21" s="774" t="s">
        <v>17</v>
      </c>
      <c r="U21" s="775">
        <f>H21</f>
        <v>100</v>
      </c>
      <c r="V21" s="774" t="s">
        <v>17</v>
      </c>
      <c r="W21" s="775">
        <f>J21</f>
        <v>100</v>
      </c>
      <c r="X21" s="1810"/>
      <c r="Y21" s="3309"/>
      <c r="Z21" s="1811" t="str">
        <f>Q21</f>
        <v>基础设施水平</v>
      </c>
      <c r="AA21" s="1808">
        <f t="shared" ref="AA21" si="8">D21/F21</f>
        <v>1</v>
      </c>
      <c r="AB21" s="1808">
        <f t="shared" ref="AB21" si="9">D21/H21</f>
        <v>1</v>
      </c>
      <c r="AC21" s="1808">
        <f t="shared" ref="AC21" si="10">D21/J21</f>
        <v>1</v>
      </c>
    </row>
    <row r="22" spans="1:29" ht="15">
      <c r="A22" s="428"/>
      <c r="B22" s="1381"/>
      <c r="C22" s="2600" t="s">
        <v>3095</v>
      </c>
      <c r="D22" s="448"/>
      <c r="E22" s="447" t="s">
        <v>3095</v>
      </c>
      <c r="F22" s="448"/>
      <c r="G22" s="2603" t="s">
        <v>3095</v>
      </c>
      <c r="H22" s="448"/>
      <c r="I22" s="447" t="s">
        <v>3095</v>
      </c>
      <c r="J22" s="448"/>
      <c r="K22" s="2604"/>
      <c r="L22" s="1137"/>
      <c r="M22" s="1128"/>
      <c r="N22" s="1128"/>
      <c r="O22" s="1128"/>
      <c r="P22" s="3335"/>
      <c r="Q22" s="1807"/>
      <c r="R22" s="774"/>
      <c r="S22" s="775"/>
      <c r="T22" s="774"/>
      <c r="U22" s="775"/>
      <c r="V22" s="774"/>
      <c r="W22" s="775"/>
      <c r="X22" s="1810"/>
      <c r="Y22" s="3309"/>
      <c r="Z22" s="1811"/>
      <c r="AA22" s="1808">
        <v>1</v>
      </c>
      <c r="AB22" s="1808">
        <v>1</v>
      </c>
      <c r="AC22" s="1808">
        <v>1</v>
      </c>
    </row>
    <row r="23" spans="1:29" ht="15">
      <c r="A23" s="428"/>
      <c r="B23" s="451" t="s">
        <v>2093</v>
      </c>
      <c r="C23" s="2599">
        <f>估价对象房地状况!C9</f>
        <v>0</v>
      </c>
      <c r="D23" s="450">
        <v>100</v>
      </c>
      <c r="E23" s="454"/>
      <c r="F23" s="450">
        <f>SUMIF(84:84,E24,85:85)-SUMIF(84:84,C24,85:85)+100</f>
        <v>98</v>
      </c>
      <c r="G23" s="452"/>
      <c r="H23" s="450">
        <f>SUMIF(84:84,G24,85:85)-SUMIF(84:84,C24,85:85)+100</f>
        <v>98</v>
      </c>
      <c r="I23" s="454"/>
      <c r="J23" s="450">
        <f>SUMIF(84:84,I24,85:85)-SUMIF(84:84,C24,85:85)+100</f>
        <v>98</v>
      </c>
      <c r="K23" s="445">
        <v>2</v>
      </c>
      <c r="L23" s="1137"/>
      <c r="M23" s="1128"/>
      <c r="N23" s="1128"/>
      <c r="O23" s="1128"/>
      <c r="P23" s="3335"/>
      <c r="Q23" s="1807" t="str">
        <f>B23</f>
        <v>自然及人文环境</v>
      </c>
      <c r="R23" s="774" t="s">
        <v>21</v>
      </c>
      <c r="S23" s="775">
        <f>F23</f>
        <v>98</v>
      </c>
      <c r="T23" s="774" t="s">
        <v>21</v>
      </c>
      <c r="U23" s="775">
        <f>H23</f>
        <v>98</v>
      </c>
      <c r="V23" s="774" t="s">
        <v>21</v>
      </c>
      <c r="W23" s="775">
        <f>J23</f>
        <v>98</v>
      </c>
      <c r="X23" s="1810"/>
      <c r="Y23" s="3309"/>
      <c r="Z23" s="1811" t="str">
        <f>Q23</f>
        <v>自然及人文环境</v>
      </c>
      <c r="AA23" s="1808">
        <f>D23/F23</f>
        <v>1.0204081632653061</v>
      </c>
      <c r="AB23" s="1808">
        <f>D23/H23</f>
        <v>1.0204081632653061</v>
      </c>
      <c r="AC23" s="1808">
        <f>D23/J23</f>
        <v>1.0204081632653061</v>
      </c>
    </row>
    <row r="24" spans="1:29" ht="15.75" thickBot="1">
      <c r="A24" s="428"/>
      <c r="B24" s="456"/>
      <c r="C24" s="447" t="s">
        <v>3094</v>
      </c>
      <c r="D24" s="448"/>
      <c r="E24" s="2596" t="s">
        <v>3093</v>
      </c>
      <c r="F24" s="448"/>
      <c r="G24" s="2597" t="s">
        <v>3093</v>
      </c>
      <c r="H24" s="448"/>
      <c r="I24" s="2596" t="s">
        <v>3093</v>
      </c>
      <c r="J24" s="448"/>
      <c r="K24" s="2598"/>
      <c r="L24" s="1137"/>
      <c r="M24" s="1128"/>
      <c r="N24" s="1128"/>
      <c r="O24" s="1128"/>
      <c r="P24" s="3335"/>
      <c r="Q24" s="1807"/>
      <c r="R24" s="774"/>
      <c r="S24" s="775"/>
      <c r="T24" s="774"/>
      <c r="U24" s="775"/>
      <c r="V24" s="774"/>
      <c r="W24" s="775"/>
      <c r="X24" s="1810"/>
      <c r="Y24" s="3309"/>
      <c r="Z24" s="1811"/>
      <c r="AA24" s="1808">
        <v>1</v>
      </c>
      <c r="AB24" s="1808">
        <v>1</v>
      </c>
      <c r="AC24" s="1808">
        <v>1</v>
      </c>
    </row>
    <row r="25" spans="1:29" ht="15" hidden="1">
      <c r="A25" s="428"/>
      <c r="B25" s="422" t="s">
        <v>2548</v>
      </c>
      <c r="C25" s="460"/>
      <c r="D25" s="435">
        <v>100</v>
      </c>
      <c r="E25" s="2605"/>
      <c r="F25" s="435">
        <f>SUMIF(86:86,E25,87:87)-SUMIF(86:86,C25,87:87)+100</f>
        <v>100</v>
      </c>
      <c r="G25" s="2606"/>
      <c r="H25" s="435">
        <f>SUMIF(86:86,G25,87:87)-SUMIF(86:86,C25,87:87)+100</f>
        <v>100</v>
      </c>
      <c r="I25" s="2606"/>
      <c r="J25" s="435">
        <f>SUMIF(86:86,I25,87:87)-SUMIF(86:86,C25,87:87)+100</f>
        <v>100</v>
      </c>
      <c r="K25" s="426"/>
      <c r="L25" s="1137"/>
      <c r="M25" s="1128"/>
      <c r="N25" s="1128"/>
      <c r="O25" s="1128"/>
      <c r="P25" s="3335"/>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309"/>
      <c r="Z25" s="1811" t="str">
        <f>Q25</f>
        <v>楼层-1</v>
      </c>
      <c r="AA25" s="1808">
        <f t="shared" ref="AA25:AA46" si="15">D25/F25</f>
        <v>1</v>
      </c>
      <c r="AB25" s="1808">
        <f t="shared" ref="AB25:AB46" si="16">D25/H25</f>
        <v>1</v>
      </c>
      <c r="AC25" s="1808">
        <f t="shared" ref="AC25:AC46" si="17">D25/J25</f>
        <v>1</v>
      </c>
    </row>
    <row r="26" spans="1:29" ht="15" hidden="1">
      <c r="A26" s="428"/>
      <c r="B26" s="422" t="s">
        <v>2549</v>
      </c>
      <c r="C26" s="460"/>
      <c r="D26" s="435">
        <v>100</v>
      </c>
      <c r="E26" s="2605"/>
      <c r="F26" s="435">
        <f>SUMIF(88:88,E26,89:89)-SUMIF(88:88,C26,89:89)+100</f>
        <v>100</v>
      </c>
      <c r="G26" s="2606"/>
      <c r="H26" s="435">
        <f>SUMIF(88:88,G26,89:89)-SUMIF(88:88,C26,89:89)+100</f>
        <v>100</v>
      </c>
      <c r="I26" s="2606"/>
      <c r="J26" s="435">
        <f>SUMIF(88:88,I26,89:89)-SUMIF(88:88,C26,89:89)+100</f>
        <v>100</v>
      </c>
      <c r="K26" s="426"/>
      <c r="L26" s="1137"/>
      <c r="M26" s="1128"/>
      <c r="N26" s="1128"/>
      <c r="O26" s="1128"/>
      <c r="P26" s="3335"/>
      <c r="Q26" s="1807" t="str">
        <f t="shared" si="11"/>
        <v>朝向</v>
      </c>
      <c r="R26" s="774" t="s">
        <v>21</v>
      </c>
      <c r="S26" s="775">
        <f t="shared" si="12"/>
        <v>100</v>
      </c>
      <c r="T26" s="774" t="s">
        <v>21</v>
      </c>
      <c r="U26" s="775">
        <f t="shared" si="13"/>
        <v>100</v>
      </c>
      <c r="V26" s="774" t="s">
        <v>21</v>
      </c>
      <c r="W26" s="775">
        <f t="shared" si="14"/>
        <v>100</v>
      </c>
      <c r="X26" s="1810"/>
      <c r="Y26" s="3309"/>
      <c r="Z26" s="1811" t="str">
        <f>Q26</f>
        <v>朝向</v>
      </c>
      <c r="AA26" s="1808">
        <f t="shared" si="15"/>
        <v>1</v>
      </c>
      <c r="AB26" s="1808">
        <f t="shared" si="16"/>
        <v>1</v>
      </c>
      <c r="AC26" s="1808">
        <f t="shared" si="17"/>
        <v>1</v>
      </c>
    </row>
    <row r="27" spans="1:29" s="117" customFormat="1" ht="15" hidden="1">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3"/>
      <c r="L27" s="1129"/>
      <c r="M27" s="1130"/>
      <c r="N27" s="1130"/>
      <c r="O27" s="1130"/>
      <c r="P27" s="3335"/>
      <c r="Q27" s="1792">
        <f t="shared" si="11"/>
        <v>111</v>
      </c>
      <c r="R27" s="770" t="s">
        <v>21</v>
      </c>
      <c r="S27" s="771">
        <f t="shared" si="12"/>
        <v>100</v>
      </c>
      <c r="T27" s="770" t="s">
        <v>21</v>
      </c>
      <c r="U27" s="771">
        <f t="shared" si="13"/>
        <v>100</v>
      </c>
      <c r="V27" s="770" t="s">
        <v>21</v>
      </c>
      <c r="W27" s="771">
        <f t="shared" si="14"/>
        <v>100</v>
      </c>
      <c r="X27" s="772"/>
      <c r="Y27" s="3309"/>
      <c r="Z27" s="55">
        <f>Q27</f>
        <v>111</v>
      </c>
      <c r="AA27" s="1808">
        <f t="shared" si="15"/>
        <v>1</v>
      </c>
      <c r="AB27" s="1808">
        <f t="shared" si="16"/>
        <v>1</v>
      </c>
      <c r="AC27" s="1808">
        <f t="shared" si="17"/>
        <v>1</v>
      </c>
    </row>
    <row r="28" spans="1:29" ht="15" hidden="1">
      <c r="A28" s="428"/>
      <c r="B28" s="1383">
        <v>111</v>
      </c>
      <c r="C28" s="434"/>
      <c r="D28" s="435">
        <v>100</v>
      </c>
      <c r="E28" s="434"/>
      <c r="F28" s="435">
        <f>SUMIF(92:92,E28,93:93)-SUMIF(92:92,C28,93:93)+100</f>
        <v>100</v>
      </c>
      <c r="G28" s="2607"/>
      <c r="H28" s="435">
        <f>SUMIF(92:92,G28,93:93)-SUMIF(92:92,C28,93:93)+100</f>
        <v>100</v>
      </c>
      <c r="I28" s="434"/>
      <c r="J28" s="435">
        <f>SUMIF(92:92,I28,93:93)-SUMIF(92:92,C28,93:93)+100</f>
        <v>100</v>
      </c>
      <c r="K28" s="2593"/>
      <c r="L28" s="1137"/>
      <c r="M28" s="1128"/>
      <c r="N28" s="1128"/>
      <c r="O28" s="1128"/>
      <c r="P28" s="3335"/>
      <c r="Q28" s="1807">
        <f t="shared" si="11"/>
        <v>111</v>
      </c>
      <c r="R28" s="774" t="s">
        <v>21</v>
      </c>
      <c r="S28" s="775">
        <f t="shared" si="12"/>
        <v>100</v>
      </c>
      <c r="T28" s="774" t="s">
        <v>21</v>
      </c>
      <c r="U28" s="775">
        <f t="shared" si="13"/>
        <v>100</v>
      </c>
      <c r="V28" s="774" t="s">
        <v>21</v>
      </c>
      <c r="W28" s="775">
        <f t="shared" si="14"/>
        <v>100</v>
      </c>
      <c r="X28" s="1810"/>
      <c r="Y28" s="3309"/>
      <c r="Z28" s="1811">
        <f t="shared" ref="Z28:Z46" si="18">Q28</f>
        <v>111</v>
      </c>
      <c r="AA28" s="1808">
        <f t="shared" si="15"/>
        <v>1</v>
      </c>
      <c r="AB28" s="1808">
        <f t="shared" si="16"/>
        <v>1</v>
      </c>
      <c r="AC28" s="1808">
        <f t="shared" si="17"/>
        <v>1</v>
      </c>
    </row>
    <row r="29" spans="1:29" ht="15" hidden="1">
      <c r="A29" s="428"/>
      <c r="B29" s="1383">
        <v>111</v>
      </c>
      <c r="C29" s="434"/>
      <c r="D29" s="435">
        <v>100</v>
      </c>
      <c r="E29" s="434"/>
      <c r="F29" s="435">
        <f>SUMIF(94:94,E29,95:95)-SUMIF(94:94,C29,95:95)+100</f>
        <v>100</v>
      </c>
      <c r="G29" s="2607"/>
      <c r="H29" s="435">
        <f>SUMIF(94:94,G29,95:95)-SUMIF(94:94,C29,95:95)+100</f>
        <v>100</v>
      </c>
      <c r="I29" s="434"/>
      <c r="J29" s="435">
        <f>SUMIF(94:94,I29,95:95)-SUMIF(94:94,C29,95:95)+100</f>
        <v>100</v>
      </c>
      <c r="K29" s="2593"/>
      <c r="L29" s="1137"/>
      <c r="M29" s="1128"/>
      <c r="N29" s="1128"/>
      <c r="O29" s="1128"/>
      <c r="P29" s="3335"/>
      <c r="Q29" s="1807">
        <f t="shared" si="11"/>
        <v>111</v>
      </c>
      <c r="R29" s="774" t="s">
        <v>21</v>
      </c>
      <c r="S29" s="775">
        <f t="shared" si="12"/>
        <v>100</v>
      </c>
      <c r="T29" s="774" t="s">
        <v>21</v>
      </c>
      <c r="U29" s="775">
        <f t="shared" si="13"/>
        <v>100</v>
      </c>
      <c r="V29" s="774" t="s">
        <v>21</v>
      </c>
      <c r="W29" s="775">
        <f t="shared" si="14"/>
        <v>100</v>
      </c>
      <c r="X29" s="1810"/>
      <c r="Y29" s="3309"/>
      <c r="Z29" s="1811">
        <f t="shared" si="18"/>
        <v>111</v>
      </c>
      <c r="AA29" s="1808">
        <f t="shared" si="15"/>
        <v>1</v>
      </c>
      <c r="AB29" s="1808">
        <f t="shared" si="16"/>
        <v>1</v>
      </c>
      <c r="AC29" s="1808">
        <f t="shared" si="17"/>
        <v>1</v>
      </c>
    </row>
    <row r="30" spans="1:29" ht="15" hidden="1">
      <c r="A30" s="428"/>
      <c r="B30" s="1383">
        <v>111</v>
      </c>
      <c r="C30" s="434"/>
      <c r="D30" s="435">
        <v>100</v>
      </c>
      <c r="E30" s="434"/>
      <c r="F30" s="435">
        <f>SUMIF(96:96,E30,97:97)-SUMIF(96:96,C30,97:97)+100</f>
        <v>100</v>
      </c>
      <c r="G30" s="2607"/>
      <c r="H30" s="435">
        <f>SUMIF(96:96,G30,97:97)-SUMIF(96:96,C30,97:97)+100</f>
        <v>100</v>
      </c>
      <c r="I30" s="434"/>
      <c r="J30" s="435">
        <f>SUMIF(96:96,I30,97:97)-SUMIF(96:96,C30,97:97)+100</f>
        <v>100</v>
      </c>
      <c r="K30" s="2593"/>
      <c r="L30" s="1137"/>
      <c r="M30" s="1128"/>
      <c r="N30" s="1128"/>
      <c r="O30" s="1128"/>
      <c r="P30" s="3335"/>
      <c r="Q30" s="1807">
        <f t="shared" si="11"/>
        <v>111</v>
      </c>
      <c r="R30" s="774" t="s">
        <v>21</v>
      </c>
      <c r="S30" s="775">
        <f t="shared" si="12"/>
        <v>100</v>
      </c>
      <c r="T30" s="774" t="s">
        <v>21</v>
      </c>
      <c r="U30" s="775">
        <f t="shared" si="13"/>
        <v>100</v>
      </c>
      <c r="V30" s="774" t="s">
        <v>21</v>
      </c>
      <c r="W30" s="775">
        <f t="shared" si="14"/>
        <v>100</v>
      </c>
      <c r="X30" s="1810"/>
      <c r="Y30" s="3309"/>
      <c r="Z30" s="1811">
        <f t="shared" si="18"/>
        <v>111</v>
      </c>
      <c r="AA30" s="1808">
        <f t="shared" si="15"/>
        <v>1</v>
      </c>
      <c r="AB30" s="1808">
        <f t="shared" si="16"/>
        <v>1</v>
      </c>
      <c r="AC30" s="1808">
        <f t="shared" si="17"/>
        <v>1</v>
      </c>
    </row>
    <row r="31" spans="1:29" ht="15.75" hidden="1" thickBot="1">
      <c r="A31" s="436"/>
      <c r="B31" s="1383">
        <v>111</v>
      </c>
      <c r="C31" s="437"/>
      <c r="D31" s="438">
        <v>100</v>
      </c>
      <c r="E31" s="437"/>
      <c r="F31" s="438">
        <f>SUMIF(98:98,E31,99:99)-SUMIF(98:98,C31,99:99)+100</f>
        <v>100</v>
      </c>
      <c r="G31" s="2608"/>
      <c r="H31" s="438">
        <f>SUMIF(98:98,G31,99:99)-SUMIF(98:98,C31,99:99)+100</f>
        <v>100</v>
      </c>
      <c r="I31" s="437"/>
      <c r="J31" s="438">
        <f>SUMIF(98:98,I31,99:99)-SUMIF(98:98,C31,99:99)+100</f>
        <v>100</v>
      </c>
      <c r="K31" s="2593"/>
      <c r="L31" s="1137"/>
      <c r="M31" s="1128"/>
      <c r="N31" s="1128"/>
      <c r="O31" s="1128"/>
      <c r="P31" s="3335"/>
      <c r="Q31" s="1807">
        <f t="shared" si="11"/>
        <v>111</v>
      </c>
      <c r="R31" s="774" t="s">
        <v>21</v>
      </c>
      <c r="S31" s="775">
        <f t="shared" si="12"/>
        <v>100</v>
      </c>
      <c r="T31" s="774" t="s">
        <v>21</v>
      </c>
      <c r="U31" s="775">
        <f t="shared" si="13"/>
        <v>100</v>
      </c>
      <c r="V31" s="774" t="s">
        <v>21</v>
      </c>
      <c r="W31" s="775">
        <f t="shared" si="14"/>
        <v>100</v>
      </c>
      <c r="X31" s="1810"/>
      <c r="Y31" s="3309"/>
      <c r="Z31" s="1811">
        <f t="shared" si="18"/>
        <v>111</v>
      </c>
      <c r="AA31" s="1808">
        <f t="shared" si="15"/>
        <v>1</v>
      </c>
      <c r="AB31" s="1808">
        <f t="shared" si="16"/>
        <v>1</v>
      </c>
      <c r="AC31" s="1808">
        <f t="shared" si="17"/>
        <v>1</v>
      </c>
    </row>
    <row r="32" spans="1:29" ht="15">
      <c r="A32" s="440" t="s">
        <v>2550</v>
      </c>
      <c r="B32" s="71" t="s">
        <v>2551</v>
      </c>
      <c r="C32" s="2609" t="s">
        <v>3152</v>
      </c>
      <c r="D32" s="467">
        <v>100</v>
      </c>
      <c r="E32" s="2610" t="s">
        <v>3152</v>
      </c>
      <c r="F32" s="461">
        <f>SUMIF(100:100,E32,101:101)-SUMIF(100:100,C32,101:101)+100</f>
        <v>100</v>
      </c>
      <c r="G32" s="2609" t="s">
        <v>3152</v>
      </c>
      <c r="H32" s="467">
        <f>SUMIF(100:100,G32,101:101)-SUMIF(100:100,C32,101:101)+100</f>
        <v>100</v>
      </c>
      <c r="I32" s="2609" t="s">
        <v>3152</v>
      </c>
      <c r="J32" s="435">
        <f>SUMIF(100:100,I32,101:101)-SUMIF(100:100,C32,101:101)+100</f>
        <v>100</v>
      </c>
      <c r="K32" s="426">
        <v>10</v>
      </c>
      <c r="L32" s="1137"/>
      <c r="M32" s="1128"/>
      <c r="N32" s="1128"/>
      <c r="O32" s="1128"/>
      <c r="P32" s="3330" t="s">
        <v>2552</v>
      </c>
      <c r="Q32" s="1807" t="str">
        <f t="shared" si="11"/>
        <v>建筑类型</v>
      </c>
      <c r="R32" s="774" t="s">
        <v>21</v>
      </c>
      <c r="S32" s="775">
        <f t="shared" si="12"/>
        <v>100</v>
      </c>
      <c r="T32" s="774" t="s">
        <v>21</v>
      </c>
      <c r="U32" s="775">
        <f t="shared" si="13"/>
        <v>100</v>
      </c>
      <c r="V32" s="774" t="s">
        <v>21</v>
      </c>
      <c r="W32" s="775">
        <f t="shared" si="14"/>
        <v>100</v>
      </c>
      <c r="X32" s="1810"/>
      <c r="Y32" s="3311" t="s">
        <v>2552</v>
      </c>
      <c r="Z32" s="1811" t="str">
        <f t="shared" si="18"/>
        <v>建筑类型</v>
      </c>
      <c r="AA32" s="1808">
        <f t="shared" si="15"/>
        <v>1</v>
      </c>
      <c r="AB32" s="1808">
        <f t="shared" si="16"/>
        <v>1</v>
      </c>
      <c r="AC32" s="1808">
        <f t="shared" si="17"/>
        <v>1</v>
      </c>
    </row>
    <row r="33" spans="1:29" s="471" customFormat="1" ht="15">
      <c r="A33" s="468"/>
      <c r="B33" s="422" t="s">
        <v>2553</v>
      </c>
      <c r="C33" s="469">
        <v>504820.77</v>
      </c>
      <c r="D33" s="136">
        <v>100</v>
      </c>
      <c r="E33" s="430">
        <v>511845.94</v>
      </c>
      <c r="F33" s="425">
        <f>LOOKUP(E33,103:103,104:104)-LOOKUP(C33,103:103,104:104)+100</f>
        <v>100</v>
      </c>
      <c r="G33" s="429">
        <v>900000</v>
      </c>
      <c r="H33" s="136">
        <f>LOOKUP(G33,103:103,104:104)-LOOKUP(C33,103:103,104:104)+100</f>
        <v>100</v>
      </c>
      <c r="I33" s="429">
        <v>930000</v>
      </c>
      <c r="J33" s="136">
        <f>LOOKUP(I33,103:103,104:104)-LOOKUP(C33,103:103,104:104)+100</f>
        <v>100</v>
      </c>
      <c r="K33" s="2593"/>
      <c r="L33" s="1135"/>
      <c r="M33" s="1138"/>
      <c r="N33" s="1138"/>
      <c r="O33" s="1138"/>
      <c r="P33" s="3331"/>
      <c r="Q33" s="776" t="str">
        <f t="shared" si="11"/>
        <v>项目建筑规模</v>
      </c>
      <c r="R33" s="777" t="s">
        <v>21</v>
      </c>
      <c r="S33" s="778">
        <f t="shared" si="12"/>
        <v>100</v>
      </c>
      <c r="T33" s="777" t="s">
        <v>21</v>
      </c>
      <c r="U33" s="778">
        <f t="shared" si="13"/>
        <v>100</v>
      </c>
      <c r="V33" s="777" t="s">
        <v>21</v>
      </c>
      <c r="W33" s="778">
        <f t="shared" si="14"/>
        <v>100</v>
      </c>
      <c r="X33" s="779"/>
      <c r="Y33" s="3311"/>
      <c r="Z33" s="780" t="str">
        <f t="shared" si="18"/>
        <v>项目建筑规模</v>
      </c>
      <c r="AA33" s="1808">
        <f t="shared" si="15"/>
        <v>1</v>
      </c>
      <c r="AB33" s="1808">
        <f t="shared" si="16"/>
        <v>1</v>
      </c>
      <c r="AC33" s="1808">
        <f t="shared" si="17"/>
        <v>1</v>
      </c>
    </row>
    <row r="34" spans="1:29" ht="15">
      <c r="A34" s="472"/>
      <c r="B34" s="422" t="s">
        <v>2554</v>
      </c>
      <c r="C34" s="2611" t="s">
        <v>3066</v>
      </c>
      <c r="D34" s="435">
        <v>100</v>
      </c>
      <c r="E34" s="2612" t="s">
        <v>3066</v>
      </c>
      <c r="F34" s="461">
        <f>SUMIF(105:105,E34,106:106)-SUMIF(105:105,C34,106:106)+100</f>
        <v>100</v>
      </c>
      <c r="G34" s="2611" t="s">
        <v>3066</v>
      </c>
      <c r="H34" s="435">
        <f>SUMIF(105:105,G34,106:106)-SUMIF(105:105,C34,106:106)+100</f>
        <v>100</v>
      </c>
      <c r="I34" s="2611" t="s">
        <v>3066</v>
      </c>
      <c r="J34" s="435">
        <f>SUMIF(105:105,I34,106:106)-SUMIF(105:105,C34,106:106)+100</f>
        <v>100</v>
      </c>
      <c r="K34" s="426">
        <v>5</v>
      </c>
      <c r="L34" s="1137"/>
      <c r="M34" s="1128"/>
      <c r="N34" s="1128"/>
      <c r="O34" s="1128"/>
      <c r="P34" s="3331"/>
      <c r="Q34" s="1807" t="str">
        <f t="shared" si="11"/>
        <v>建筑结构</v>
      </c>
      <c r="R34" s="774" t="s">
        <v>21</v>
      </c>
      <c r="S34" s="775">
        <f t="shared" si="12"/>
        <v>100</v>
      </c>
      <c r="T34" s="774" t="s">
        <v>21</v>
      </c>
      <c r="U34" s="775">
        <f t="shared" si="13"/>
        <v>100</v>
      </c>
      <c r="V34" s="774" t="s">
        <v>21</v>
      </c>
      <c r="W34" s="775">
        <f t="shared" si="14"/>
        <v>100</v>
      </c>
      <c r="X34" s="1810"/>
      <c r="Y34" s="3311"/>
      <c r="Z34" s="1811" t="str">
        <f t="shared" si="18"/>
        <v>建筑结构</v>
      </c>
      <c r="AA34" s="1808">
        <f t="shared" si="15"/>
        <v>1</v>
      </c>
      <c r="AB34" s="1808">
        <f t="shared" si="16"/>
        <v>1</v>
      </c>
      <c r="AC34" s="1808">
        <f t="shared" si="17"/>
        <v>1</v>
      </c>
    </row>
    <row r="35" spans="1:29" ht="15">
      <c r="A35" s="472"/>
      <c r="B35" s="422" t="s">
        <v>2555</v>
      </c>
      <c r="C35" s="2605" t="s">
        <v>3153</v>
      </c>
      <c r="D35" s="435">
        <v>100</v>
      </c>
      <c r="E35" s="2606" t="s">
        <v>3153</v>
      </c>
      <c r="F35" s="461">
        <f>SUMIF(107:107,E35,108:108)-SUMIF(107:107,C35,108:108)+100</f>
        <v>100</v>
      </c>
      <c r="G35" s="2605" t="s">
        <v>3153</v>
      </c>
      <c r="H35" s="435">
        <f>SUMIF(107:107,G35,108:108)-SUMIF(107:107,C35,108:108)+100</f>
        <v>100</v>
      </c>
      <c r="I35" s="2605" t="s">
        <v>3153</v>
      </c>
      <c r="J35" s="435">
        <f>SUMIF(107:107,I35,108:108)-SUMIF(107:107,C35,108:108)+100</f>
        <v>100</v>
      </c>
      <c r="K35" s="426">
        <v>2</v>
      </c>
      <c r="L35" s="1137"/>
      <c r="M35" s="1128"/>
      <c r="N35" s="1128"/>
      <c r="O35" s="1128"/>
      <c r="P35" s="3331"/>
      <c r="Q35" s="1807" t="str">
        <f t="shared" si="11"/>
        <v>建筑品质</v>
      </c>
      <c r="R35" s="774" t="s">
        <v>21</v>
      </c>
      <c r="S35" s="775">
        <f t="shared" si="12"/>
        <v>100</v>
      </c>
      <c r="T35" s="774" t="s">
        <v>21</v>
      </c>
      <c r="U35" s="775">
        <f t="shared" si="13"/>
        <v>100</v>
      </c>
      <c r="V35" s="774" t="s">
        <v>21</v>
      </c>
      <c r="W35" s="775">
        <f t="shared" si="14"/>
        <v>100</v>
      </c>
      <c r="X35" s="1810"/>
      <c r="Y35" s="3311"/>
      <c r="Z35" s="1811" t="str">
        <f t="shared" si="18"/>
        <v>建筑品质</v>
      </c>
      <c r="AA35" s="1808">
        <f t="shared" si="15"/>
        <v>1</v>
      </c>
      <c r="AB35" s="1808">
        <f t="shared" si="16"/>
        <v>1</v>
      </c>
      <c r="AC35" s="1808">
        <f t="shared" si="17"/>
        <v>1</v>
      </c>
    </row>
    <row r="36" spans="1:29" ht="15">
      <c r="A36" s="472"/>
      <c r="B36" s="422" t="s">
        <v>2556</v>
      </c>
      <c r="C36" s="2605" t="s">
        <v>3154</v>
      </c>
      <c r="D36" s="435">
        <v>100</v>
      </c>
      <c r="E36" s="2606" t="s">
        <v>3154</v>
      </c>
      <c r="F36" s="461">
        <f>SUMIF(109:109,E36,110:110)-SUMIF(109:109,C36,110:110)+100</f>
        <v>100</v>
      </c>
      <c r="G36" s="2605" t="s">
        <v>3154</v>
      </c>
      <c r="H36" s="435">
        <f>SUMIF(109:109,G36,110:110)-SUMIF(109:109,C36,110:110)+100</f>
        <v>100</v>
      </c>
      <c r="I36" s="2605" t="s">
        <v>3154</v>
      </c>
      <c r="J36" s="435">
        <f>SUMIF(109:109,I36,110:110)-SUMIF(109:109,C36,110:110)+100</f>
        <v>100</v>
      </c>
      <c r="K36" s="426">
        <v>1</v>
      </c>
      <c r="L36" s="1137"/>
      <c r="M36" s="1128"/>
      <c r="N36" s="1128"/>
      <c r="O36" s="1128"/>
      <c r="P36" s="3331"/>
      <c r="Q36" s="1807" t="str">
        <f t="shared" si="11"/>
        <v>公共部分装修</v>
      </c>
      <c r="R36" s="774" t="s">
        <v>21</v>
      </c>
      <c r="S36" s="775">
        <f t="shared" si="12"/>
        <v>100</v>
      </c>
      <c r="T36" s="774" t="s">
        <v>21</v>
      </c>
      <c r="U36" s="775">
        <f t="shared" si="13"/>
        <v>100</v>
      </c>
      <c r="V36" s="774" t="s">
        <v>21</v>
      </c>
      <c r="W36" s="775">
        <f t="shared" si="14"/>
        <v>100</v>
      </c>
      <c r="X36" s="1810"/>
      <c r="Y36" s="3311"/>
      <c r="Z36" s="1811" t="str">
        <f t="shared" si="18"/>
        <v>公共部分装修</v>
      </c>
      <c r="AA36" s="1808">
        <f t="shared" si="15"/>
        <v>1</v>
      </c>
      <c r="AB36" s="1808">
        <f t="shared" si="16"/>
        <v>1</v>
      </c>
      <c r="AC36" s="1808">
        <f t="shared" si="17"/>
        <v>1</v>
      </c>
    </row>
    <row r="37" spans="1:29" s="117" customFormat="1" ht="15">
      <c r="A37" s="473"/>
      <c r="B37" s="422" t="s">
        <v>2557</v>
      </c>
      <c r="C37" s="474">
        <v>1</v>
      </c>
      <c r="D37" s="136">
        <v>100</v>
      </c>
      <c r="E37" s="474">
        <v>1</v>
      </c>
      <c r="F37" s="425">
        <f>LOOKUP(E37,112:112,113:113)-LOOKUP(C37,112:112,113:113)+100</f>
        <v>100</v>
      </c>
      <c r="G37" s="476">
        <v>1</v>
      </c>
      <c r="H37" s="136">
        <f>LOOKUP(G37,112:112,113:113)-LOOKUP(C37,112:112,113:113)+100</f>
        <v>100</v>
      </c>
      <c r="I37" s="476">
        <v>1</v>
      </c>
      <c r="J37" s="136">
        <f>LOOKUP(I37,112:112,113:113)-LOOKUP(C37,112:112,113:113)+100</f>
        <v>100</v>
      </c>
      <c r="K37" s="426">
        <v>1</v>
      </c>
      <c r="L37" s="1129"/>
      <c r="M37" s="1130"/>
      <c r="N37" s="1130"/>
      <c r="O37" s="1130"/>
      <c r="P37" s="3331"/>
      <c r="Q37" s="1792" t="str">
        <f t="shared" si="11"/>
        <v>成新度</v>
      </c>
      <c r="R37" s="770" t="s">
        <v>21</v>
      </c>
      <c r="S37" s="771">
        <f t="shared" si="12"/>
        <v>100</v>
      </c>
      <c r="T37" s="770" t="s">
        <v>21</v>
      </c>
      <c r="U37" s="771">
        <f t="shared" si="13"/>
        <v>100</v>
      </c>
      <c r="V37" s="770" t="s">
        <v>21</v>
      </c>
      <c r="W37" s="771">
        <f t="shared" si="14"/>
        <v>100</v>
      </c>
      <c r="X37" s="772"/>
      <c r="Y37" s="3311"/>
      <c r="Z37" s="55" t="str">
        <f t="shared" si="18"/>
        <v>成新度</v>
      </c>
      <c r="AA37" s="773">
        <f t="shared" si="15"/>
        <v>1</v>
      </c>
      <c r="AB37" s="773">
        <f t="shared" si="16"/>
        <v>1</v>
      </c>
      <c r="AC37" s="773">
        <f t="shared" si="17"/>
        <v>1</v>
      </c>
    </row>
    <row r="38" spans="1:29" ht="15">
      <c r="A38" s="472"/>
      <c r="B38" s="422" t="s">
        <v>2558</v>
      </c>
      <c r="C38" s="2605" t="s">
        <v>3155</v>
      </c>
      <c r="D38" s="435">
        <v>100</v>
      </c>
      <c r="E38" s="2606" t="s">
        <v>3155</v>
      </c>
      <c r="F38" s="461">
        <f>SUMIF(114:114,E38,115:115)-SUMIF(114:114,C38,115:115)+100</f>
        <v>100</v>
      </c>
      <c r="G38" s="2605" t="s">
        <v>3155</v>
      </c>
      <c r="H38" s="435">
        <f>SUMIF(114:114,G38,115:115)-SUMIF(114:114,C38,115:115)+100</f>
        <v>100</v>
      </c>
      <c r="I38" s="2605" t="s">
        <v>3155</v>
      </c>
      <c r="J38" s="435">
        <f>SUMIF(114:114,I38,115:115)-SUMIF(114:114,C38,115:115)+100</f>
        <v>100</v>
      </c>
      <c r="K38" s="426">
        <v>2</v>
      </c>
      <c r="L38" s="1137"/>
      <c r="M38" s="1128"/>
      <c r="N38" s="1128"/>
      <c r="O38" s="1128"/>
      <c r="P38" s="3331" t="s">
        <v>2552</v>
      </c>
      <c r="Q38" s="1807" t="str">
        <f t="shared" si="11"/>
        <v>物业管理</v>
      </c>
      <c r="R38" s="774" t="s">
        <v>21</v>
      </c>
      <c r="S38" s="775">
        <f t="shared" si="12"/>
        <v>100</v>
      </c>
      <c r="T38" s="774" t="s">
        <v>21</v>
      </c>
      <c r="U38" s="775">
        <f t="shared" si="13"/>
        <v>100</v>
      </c>
      <c r="V38" s="774" t="s">
        <v>21</v>
      </c>
      <c r="W38" s="775">
        <f t="shared" si="14"/>
        <v>100</v>
      </c>
      <c r="X38" s="1810"/>
      <c r="Y38" s="3311" t="s">
        <v>2552</v>
      </c>
      <c r="Z38" s="1811" t="str">
        <f t="shared" si="18"/>
        <v>物业管理</v>
      </c>
      <c r="AA38" s="1808">
        <f t="shared" si="15"/>
        <v>1</v>
      </c>
      <c r="AB38" s="1808">
        <f t="shared" si="16"/>
        <v>1</v>
      </c>
      <c r="AC38" s="1808">
        <f t="shared" si="17"/>
        <v>1</v>
      </c>
    </row>
    <row r="39" spans="1:29" ht="15">
      <c r="A39" s="472"/>
      <c r="B39" s="422" t="s">
        <v>2559</v>
      </c>
      <c r="C39" s="2605" t="s">
        <v>3095</v>
      </c>
      <c r="D39" s="435">
        <v>100</v>
      </c>
      <c r="E39" s="2606" t="s">
        <v>3095</v>
      </c>
      <c r="F39" s="461">
        <f>SUMIF(116:116,E39,117:117)-SUMIF(116:116,C39,117:117)+100</f>
        <v>100</v>
      </c>
      <c r="G39" s="2605" t="s">
        <v>3095</v>
      </c>
      <c r="H39" s="435">
        <f>SUMIF(116:116,G39,117:117)-SUMIF(116:116,C39,117:117)+100</f>
        <v>100</v>
      </c>
      <c r="I39" s="2605" t="s">
        <v>3095</v>
      </c>
      <c r="J39" s="435">
        <f>SUMIF(116:116,I39,117:117)-SUMIF(116:116,C39,117:117)+100</f>
        <v>100</v>
      </c>
      <c r="K39" s="426">
        <v>1</v>
      </c>
      <c r="L39" s="1137"/>
      <c r="M39" s="1128"/>
      <c r="N39" s="1128"/>
      <c r="O39" s="1128"/>
      <c r="P39" s="3331"/>
      <c r="Q39" s="1807" t="str">
        <f t="shared" si="11"/>
        <v>市政基础设施</v>
      </c>
      <c r="R39" s="774" t="s">
        <v>21</v>
      </c>
      <c r="S39" s="775">
        <f t="shared" si="12"/>
        <v>100</v>
      </c>
      <c r="T39" s="774" t="s">
        <v>21</v>
      </c>
      <c r="U39" s="775">
        <f t="shared" si="13"/>
        <v>100</v>
      </c>
      <c r="V39" s="774" t="s">
        <v>21</v>
      </c>
      <c r="W39" s="775">
        <f t="shared" si="14"/>
        <v>100</v>
      </c>
      <c r="X39" s="1810"/>
      <c r="Y39" s="3311"/>
      <c r="Z39" s="1811" t="str">
        <f t="shared" si="18"/>
        <v>市政基础设施</v>
      </c>
      <c r="AA39" s="1808">
        <f t="shared" si="15"/>
        <v>1</v>
      </c>
      <c r="AB39" s="1808">
        <f t="shared" si="16"/>
        <v>1</v>
      </c>
      <c r="AC39" s="1808">
        <f t="shared" si="17"/>
        <v>1</v>
      </c>
    </row>
    <row r="40" spans="1:29" ht="15">
      <c r="A40" s="472"/>
      <c r="B40" s="422" t="s">
        <v>2560</v>
      </c>
      <c r="C40" s="2605" t="s">
        <v>3156</v>
      </c>
      <c r="D40" s="435">
        <v>100</v>
      </c>
      <c r="E40" s="2606" t="s">
        <v>3156</v>
      </c>
      <c r="F40" s="461">
        <f>SUMIF(118:118,E40,119:119)-SUMIF(118:118,C40,119:119)+100</f>
        <v>100</v>
      </c>
      <c r="G40" s="2605" t="s">
        <v>3156</v>
      </c>
      <c r="H40" s="435">
        <f>SUMIF(118:118,G40,119:119)-SUMIF(118:118,C40,119:119)+100</f>
        <v>100</v>
      </c>
      <c r="I40" s="2605" t="s">
        <v>3156</v>
      </c>
      <c r="J40" s="435">
        <f>SUMIF(118:118,I40,119:119)-SUMIF(118:118,C40,119:119)+100</f>
        <v>100</v>
      </c>
      <c r="K40" s="426">
        <v>5</v>
      </c>
      <c r="L40" s="1137"/>
      <c r="M40" s="1128"/>
      <c r="N40" s="1128"/>
      <c r="O40" s="1128"/>
      <c r="P40" s="3331"/>
      <c r="Q40" s="1807" t="str">
        <f t="shared" si="11"/>
        <v>房型</v>
      </c>
      <c r="R40" s="774" t="s">
        <v>21</v>
      </c>
      <c r="S40" s="775">
        <f t="shared" si="12"/>
        <v>100</v>
      </c>
      <c r="T40" s="774" t="s">
        <v>21</v>
      </c>
      <c r="U40" s="775">
        <f t="shared" si="13"/>
        <v>100</v>
      </c>
      <c r="V40" s="774" t="s">
        <v>21</v>
      </c>
      <c r="W40" s="775">
        <f t="shared" si="14"/>
        <v>100</v>
      </c>
      <c r="X40" s="1810"/>
      <c r="Y40" s="3311"/>
      <c r="Z40" s="1811" t="str">
        <f t="shared" si="18"/>
        <v>房型</v>
      </c>
      <c r="AA40" s="1808">
        <f t="shared" si="15"/>
        <v>1</v>
      </c>
      <c r="AB40" s="1808">
        <f t="shared" si="16"/>
        <v>1</v>
      </c>
      <c r="AC40" s="1808">
        <f t="shared" si="17"/>
        <v>1</v>
      </c>
    </row>
    <row r="41" spans="1:29" s="471" customFormat="1" ht="28.5" hidden="1">
      <c r="A41" s="468"/>
      <c r="B41" s="422" t="s">
        <v>2561</v>
      </c>
      <c r="C41" s="469"/>
      <c r="D41" s="136">
        <v>100</v>
      </c>
      <c r="E41" s="430"/>
      <c r="F41" s="425">
        <f>SUMIF(120:120,E41,121:121)-SUMIF(120:120,C41,121:121)+100</f>
        <v>100</v>
      </c>
      <c r="G41" s="429"/>
      <c r="H41" s="136">
        <f>SUMIF(120:120,G41,121:121)-SUMIF(120:120,C41,121:121)+100</f>
        <v>100</v>
      </c>
      <c r="I41" s="429"/>
      <c r="J41" s="435">
        <f>SUMIF(120:120,I41,121:121)-SUMIF(120:120,C41,121:121)+100</f>
        <v>100</v>
      </c>
      <c r="K41" s="2593"/>
      <c r="L41" s="1135"/>
      <c r="M41" s="1138"/>
      <c r="N41" s="1138"/>
      <c r="O41" s="1138"/>
      <c r="P41" s="3331"/>
      <c r="Q41" s="776" t="str">
        <f t="shared" si="11"/>
        <v>单套/主力户型建筑面积</v>
      </c>
      <c r="R41" s="777" t="s">
        <v>21</v>
      </c>
      <c r="S41" s="778">
        <f t="shared" si="12"/>
        <v>100</v>
      </c>
      <c r="T41" s="777" t="s">
        <v>21</v>
      </c>
      <c r="U41" s="778">
        <f t="shared" si="13"/>
        <v>100</v>
      </c>
      <c r="V41" s="777" t="s">
        <v>21</v>
      </c>
      <c r="W41" s="778">
        <f t="shared" si="14"/>
        <v>100</v>
      </c>
      <c r="X41" s="779"/>
      <c r="Y41" s="3311"/>
      <c r="Z41" s="780" t="str">
        <f t="shared" si="18"/>
        <v>单套/主力户型建筑面积</v>
      </c>
      <c r="AA41" s="1808">
        <f t="shared" si="15"/>
        <v>1</v>
      </c>
      <c r="AB41" s="1808">
        <f t="shared" si="16"/>
        <v>1</v>
      </c>
      <c r="AC41" s="1808">
        <f t="shared" si="17"/>
        <v>1</v>
      </c>
    </row>
    <row r="42" spans="1:29" ht="15.75" thickBot="1">
      <c r="A42" s="472"/>
      <c r="B42" s="422" t="s">
        <v>2562</v>
      </c>
      <c r="C42" s="2605" t="s">
        <v>3157</v>
      </c>
      <c r="D42" s="435">
        <v>100</v>
      </c>
      <c r="E42" s="2606" t="s">
        <v>3157</v>
      </c>
      <c r="F42" s="461">
        <f>SUMIF(122:122,E42,123:123)-SUMIF(122:122,C42,123:123)+100</f>
        <v>100</v>
      </c>
      <c r="G42" s="2605" t="s">
        <v>3157</v>
      </c>
      <c r="H42" s="435">
        <f>SUMIF(122:122,G42,123:123)-SUMIF(122:122,C42,123:123)+100</f>
        <v>100</v>
      </c>
      <c r="I42" s="2605" t="s">
        <v>3157</v>
      </c>
      <c r="J42" s="435">
        <f>SUMIF(122:122,I42,123:123)-SUMIF(122:122,C42,123:123)+100</f>
        <v>100</v>
      </c>
      <c r="K42" s="426">
        <v>2</v>
      </c>
      <c r="L42" s="1137"/>
      <c r="M42" s="1128"/>
      <c r="N42" s="1128"/>
      <c r="O42" s="1128"/>
      <c r="P42" s="3331"/>
      <c r="Q42" s="1807" t="str">
        <f t="shared" si="11"/>
        <v>内部装修</v>
      </c>
      <c r="R42" s="774" t="s">
        <v>21</v>
      </c>
      <c r="S42" s="775">
        <f t="shared" si="12"/>
        <v>100</v>
      </c>
      <c r="T42" s="774" t="s">
        <v>21</v>
      </c>
      <c r="U42" s="775">
        <f t="shared" si="13"/>
        <v>100</v>
      </c>
      <c r="V42" s="774" t="s">
        <v>21</v>
      </c>
      <c r="W42" s="775">
        <f t="shared" si="14"/>
        <v>100</v>
      </c>
      <c r="X42" s="1810"/>
      <c r="Y42" s="3311"/>
      <c r="Z42" s="1811" t="str">
        <f t="shared" si="18"/>
        <v>内部装修</v>
      </c>
      <c r="AA42" s="1808">
        <f t="shared" si="15"/>
        <v>1</v>
      </c>
      <c r="AB42" s="1808">
        <f t="shared" si="16"/>
        <v>1</v>
      </c>
      <c r="AC42" s="1808">
        <f t="shared" si="17"/>
        <v>1</v>
      </c>
    </row>
    <row r="43" spans="1:29" ht="15" hidden="1">
      <c r="A43" s="472"/>
      <c r="B43" s="422" t="s">
        <v>2563</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37"/>
      <c r="M43" s="1128"/>
      <c r="N43" s="1128"/>
      <c r="O43" s="1128"/>
      <c r="P43" s="3331"/>
      <c r="Q43" s="1807" t="str">
        <f t="shared" si="11"/>
        <v>内部装修维护情况</v>
      </c>
      <c r="R43" s="774" t="s">
        <v>21</v>
      </c>
      <c r="S43" s="775">
        <f t="shared" si="12"/>
        <v>100</v>
      </c>
      <c r="T43" s="774" t="s">
        <v>21</v>
      </c>
      <c r="U43" s="775">
        <f t="shared" si="13"/>
        <v>100</v>
      </c>
      <c r="V43" s="774" t="s">
        <v>21</v>
      </c>
      <c r="W43" s="775">
        <f t="shared" si="14"/>
        <v>100</v>
      </c>
      <c r="X43" s="1810"/>
      <c r="Y43" s="3311"/>
      <c r="Z43" s="1811" t="str">
        <f t="shared" si="18"/>
        <v>内部装修维护情况</v>
      </c>
      <c r="AA43" s="1808">
        <f t="shared" si="15"/>
        <v>1</v>
      </c>
      <c r="AB43" s="1808">
        <f t="shared" si="16"/>
        <v>1</v>
      </c>
      <c r="AC43" s="1808">
        <f t="shared" si="17"/>
        <v>1</v>
      </c>
    </row>
    <row r="44" spans="1:29" s="117" customFormat="1" ht="15" hidden="1">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29"/>
      <c r="M44" s="1130"/>
      <c r="N44" s="1130"/>
      <c r="O44" s="1130"/>
      <c r="P44" s="3331"/>
      <c r="Q44" s="1792">
        <f t="shared" si="11"/>
        <v>111</v>
      </c>
      <c r="R44" s="770" t="s">
        <v>21</v>
      </c>
      <c r="S44" s="771">
        <f t="shared" si="12"/>
        <v>100</v>
      </c>
      <c r="T44" s="770" t="s">
        <v>21</v>
      </c>
      <c r="U44" s="771">
        <f t="shared" si="13"/>
        <v>100</v>
      </c>
      <c r="V44" s="770" t="s">
        <v>21</v>
      </c>
      <c r="W44" s="771">
        <f t="shared" si="14"/>
        <v>100</v>
      </c>
      <c r="X44" s="772"/>
      <c r="Y44" s="3311"/>
      <c r="Z44" s="55">
        <f t="shared" si="18"/>
        <v>111</v>
      </c>
      <c r="AA44" s="773">
        <f t="shared" si="15"/>
        <v>1</v>
      </c>
      <c r="AB44" s="773">
        <f t="shared" si="16"/>
        <v>1</v>
      </c>
      <c r="AC44" s="773">
        <f t="shared" si="17"/>
        <v>1</v>
      </c>
    </row>
    <row r="45" spans="1:29" ht="15" hidden="1">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7"/>
      <c r="M45" s="1128"/>
      <c r="N45" s="1128"/>
      <c r="O45" s="1128"/>
      <c r="P45" s="3331"/>
      <c r="Q45" s="1807">
        <f t="shared" si="11"/>
        <v>111</v>
      </c>
      <c r="R45" s="774" t="s">
        <v>21</v>
      </c>
      <c r="S45" s="775">
        <f t="shared" si="12"/>
        <v>100</v>
      </c>
      <c r="T45" s="774" t="s">
        <v>21</v>
      </c>
      <c r="U45" s="775">
        <f t="shared" si="13"/>
        <v>100</v>
      </c>
      <c r="V45" s="774" t="s">
        <v>21</v>
      </c>
      <c r="W45" s="775">
        <f t="shared" si="14"/>
        <v>100</v>
      </c>
      <c r="X45" s="1810"/>
      <c r="Y45" s="3311"/>
      <c r="Z45" s="1811">
        <f t="shared" si="18"/>
        <v>111</v>
      </c>
      <c r="AA45" s="1808">
        <f t="shared" si="15"/>
        <v>1</v>
      </c>
      <c r="AB45" s="1808">
        <f t="shared" si="16"/>
        <v>1</v>
      </c>
      <c r="AC45" s="1808">
        <f t="shared" si="17"/>
        <v>1</v>
      </c>
    </row>
    <row r="46" spans="1:29" ht="15.75" hidden="1"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7"/>
      <c r="M46" s="1128"/>
      <c r="N46" s="1128"/>
      <c r="O46" s="1128"/>
      <c r="P46" s="3332"/>
      <c r="Q46" s="1807">
        <f t="shared" si="11"/>
        <v>111</v>
      </c>
      <c r="R46" s="774" t="s">
        <v>20</v>
      </c>
      <c r="S46" s="775">
        <f t="shared" si="12"/>
        <v>100</v>
      </c>
      <c r="T46" s="774" t="s">
        <v>20</v>
      </c>
      <c r="U46" s="775">
        <f t="shared" si="13"/>
        <v>100</v>
      </c>
      <c r="V46" s="774" t="s">
        <v>20</v>
      </c>
      <c r="W46" s="775">
        <f t="shared" si="14"/>
        <v>100</v>
      </c>
      <c r="X46" s="1810"/>
      <c r="Y46" s="3333"/>
      <c r="Z46" s="1811">
        <f t="shared" si="18"/>
        <v>111</v>
      </c>
      <c r="AA46" s="1808">
        <f t="shared" si="15"/>
        <v>1</v>
      </c>
      <c r="AB46" s="1808">
        <f t="shared" si="16"/>
        <v>1</v>
      </c>
      <c r="AC46" s="1808">
        <f t="shared" si="17"/>
        <v>1</v>
      </c>
    </row>
    <row r="47" spans="1:29" ht="15">
      <c r="A47" s="479" t="s">
        <v>2564</v>
      </c>
      <c r="B47" s="480"/>
      <c r="C47" s="1404" t="s">
        <v>19</v>
      </c>
      <c r="D47" s="1405"/>
      <c r="E47" s="1406">
        <v>18000</v>
      </c>
      <c r="F47" s="1407"/>
      <c r="G47" s="1408">
        <v>18800</v>
      </c>
      <c r="H47" s="1409"/>
      <c r="I47" s="1406">
        <v>17000</v>
      </c>
      <c r="J47" s="1409"/>
      <c r="K47" s="2613"/>
      <c r="L47" s="1140"/>
      <c r="M47" s="1141"/>
      <c r="N47" s="1128"/>
      <c r="O47" s="1141"/>
      <c r="P47" s="3293" t="str">
        <f>A47</f>
        <v>成交单价（元/平方米）</v>
      </c>
      <c r="Q47" s="3293"/>
      <c r="R47" s="3329">
        <f>E47</f>
        <v>18000</v>
      </c>
      <c r="S47" s="3329"/>
      <c r="T47" s="3329">
        <f>G47</f>
        <v>18800</v>
      </c>
      <c r="U47" s="3329"/>
      <c r="V47" s="3329">
        <f>I47</f>
        <v>17000</v>
      </c>
      <c r="W47" s="3329"/>
      <c r="X47" s="759"/>
      <c r="Y47" s="781"/>
      <c r="Z47" s="759"/>
      <c r="AA47" s="759"/>
      <c r="AB47" s="759"/>
      <c r="AC47" s="759"/>
    </row>
    <row r="48" spans="1:29" ht="15.75" thickBot="1">
      <c r="A48" s="486" t="s">
        <v>2565</v>
      </c>
      <c r="B48" s="487"/>
      <c r="C48" s="1410">
        <f>R49</f>
        <v>18562</v>
      </c>
      <c r="D48" s="1411"/>
      <c r="E48" s="1412">
        <f>R48</f>
        <v>18742</v>
      </c>
      <c r="F48" s="1412"/>
      <c r="G48" s="1410">
        <f>T48</f>
        <v>19575</v>
      </c>
      <c r="H48" s="1411"/>
      <c r="I48" s="1412">
        <f>V48</f>
        <v>17368</v>
      </c>
      <c r="J48" s="1411"/>
      <c r="K48" s="2614"/>
      <c r="L48" s="1140"/>
      <c r="M48" s="1141"/>
      <c r="N48" s="1141"/>
      <c r="O48" s="1141"/>
      <c r="P48" s="3293" t="str">
        <f>A48</f>
        <v>比较价值（元/平方米）</v>
      </c>
      <c r="Q48" s="3293"/>
      <c r="R48" s="3329">
        <f>IF(F1="售价",ROUND(PRODUCT(R47,AA7:AA46),0),ROUND(PRODUCT(R47,AA7:AA46),1))</f>
        <v>18742</v>
      </c>
      <c r="S48" s="3329"/>
      <c r="T48" s="3329">
        <f>IF(F1="售价",ROUND(PRODUCT(T47,AB7:AB46),0),ROUND(PRODUCT(T47,AB7:AB46),1))</f>
        <v>19575</v>
      </c>
      <c r="U48" s="3329"/>
      <c r="V48" s="3329">
        <f>IF(F1="售价",ROUND(PRODUCT(V47,AC7:AC46),0),ROUND(PRODUCT(V47,AC7:AC46),1))</f>
        <v>17368</v>
      </c>
      <c r="W48" s="3329"/>
      <c r="X48" s="759"/>
      <c r="Y48" s="759"/>
      <c r="Z48" s="759"/>
      <c r="AA48" s="759"/>
      <c r="AB48" s="759"/>
      <c r="AC48" s="759"/>
    </row>
    <row r="49" spans="1:29" ht="15.75" thickBot="1">
      <c r="A49" s="492" t="s">
        <v>2566</v>
      </c>
      <c r="B49" s="493"/>
      <c r="C49" s="1413">
        <f>R49</f>
        <v>18562</v>
      </c>
      <c r="D49" s="1414"/>
      <c r="E49" s="1414"/>
      <c r="F49" s="1414"/>
      <c r="G49" s="1414"/>
      <c r="H49" s="1414"/>
      <c r="I49" s="1414"/>
      <c r="J49" s="1414"/>
      <c r="K49" s="2615"/>
      <c r="L49" s="1140"/>
      <c r="M49" s="1141"/>
      <c r="N49" s="1141"/>
      <c r="O49" s="1141"/>
      <c r="P49" s="3313" t="str">
        <f>A49</f>
        <v>估价对象XX用房的比较价值（楼面单价，元/平方米）</v>
      </c>
      <c r="Q49" s="3314"/>
      <c r="R49" s="3328">
        <f>IF(F1="售价",ROUND(AVERAGE(R48:V48),0),ROUND(AVERAGE(R48:V48),1))</f>
        <v>18562</v>
      </c>
      <c r="S49" s="3328"/>
      <c r="T49" s="3328"/>
      <c r="U49" s="3328"/>
      <c r="V49" s="3328"/>
      <c r="W49" s="3328"/>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2567</v>
      </c>
      <c r="D52" s="498"/>
      <c r="E52" s="499">
        <f>IF(E47&lt;E48,E48/E47-1,E47/E48-1)</f>
        <v>4.1222222222222271E-2</v>
      </c>
      <c r="F52" s="500" t="str">
        <f>IF(OR(E52&gt;=0.3,E52&lt;=-0.3),"超过30%","")</f>
        <v/>
      </c>
      <c r="G52" s="499">
        <f>IF(G47&lt;G48,G48/G47-1,G47/G48-1)</f>
        <v>4.1223404255319229E-2</v>
      </c>
      <c r="H52" s="500" t="str">
        <f>IF(OR(G52&gt;=0.3,G52&lt;=-0.3),"超过30%","")</f>
        <v/>
      </c>
      <c r="I52" s="499">
        <f>IF(I47&lt;I48,I48/I47-1,I47/I48-1)</f>
        <v>2.1647058823529353E-2</v>
      </c>
      <c r="J52" s="500" t="str">
        <f>IF(OR(I52&gt;=0.3,I52&lt;=-0.3),"超过30%","")</f>
        <v/>
      </c>
      <c r="K52" s="1102"/>
      <c r="L52" s="1103"/>
      <c r="M52" s="1141"/>
      <c r="N52" s="1141"/>
      <c r="O52" s="1141"/>
    </row>
    <row r="53" spans="1:29" ht="13.5" customHeight="1">
      <c r="A53" s="1141"/>
      <c r="B53" s="1141"/>
      <c r="C53" s="497" t="s">
        <v>2568</v>
      </c>
      <c r="D53" s="501"/>
      <c r="E53" s="499">
        <f>IF(E48&lt;G48,G48/E48-1,E48/G48-1)</f>
        <v>4.4445630135524494E-2</v>
      </c>
      <c r="F53" s="500" t="str">
        <f>IF(OR(E53&gt;=0.2,E53&lt;=-0.2),"超过20%","")</f>
        <v/>
      </c>
      <c r="G53" s="499">
        <f>IF(G48&lt;I48,I48/G48-1,G48/I48-1)</f>
        <v>0.1270727775218794</v>
      </c>
      <c r="H53" s="500" t="str">
        <f>IF(OR(G53&gt;=0.2,G53&lt;=-0.2),"超过20%","")</f>
        <v/>
      </c>
      <c r="I53" s="499">
        <f>IF(I48&lt;E48,E48/I48-1,I48/E48-1)</f>
        <v>7.9111008751727274E-2</v>
      </c>
      <c r="J53" s="500" t="str">
        <f>IF(OR(I53&gt;=0.2,I53&lt;=-0.2),"超过20%","")</f>
        <v/>
      </c>
      <c r="K53" s="1102"/>
      <c r="L53" s="1103"/>
      <c r="M53" s="1141"/>
      <c r="N53" s="1141"/>
      <c r="O53" s="1141"/>
    </row>
    <row r="54" spans="1:29" s="502" customFormat="1" ht="13.5" customHeight="1">
      <c r="A54" s="1142"/>
      <c r="B54" s="1142"/>
      <c r="C54" s="497" t="s">
        <v>2569</v>
      </c>
      <c r="D54" s="501"/>
      <c r="E54" s="499">
        <f>IF(E47&lt;G47,G47/E47-1,E47/G47-1)</f>
        <v>4.4444444444444509E-2</v>
      </c>
      <c r="F54" s="500" t="str">
        <f>IF(OR(E54&gt;=0.3,E54&lt;=-0.3),"超过30%","")</f>
        <v/>
      </c>
      <c r="G54" s="499">
        <f>IF(G47&lt;I47,I47/G47-1,G47/I47-1)</f>
        <v>0.10588235294117654</v>
      </c>
      <c r="H54" s="500" t="str">
        <f>IF(OR(G54&gt;=0.3,G54&lt;=-0.3),"超过30%","")</f>
        <v/>
      </c>
      <c r="I54" s="499">
        <f>IF(I47&lt;E47,E47/I47-1,I47/E47-1)</f>
        <v>5.8823529411764719E-2</v>
      </c>
      <c r="J54" s="500" t="str">
        <f>IF(OR(I54&gt;=0.3,I54&lt;=-0.3),"超过30%","")</f>
        <v/>
      </c>
      <c r="K54" s="1145"/>
      <c r="L54" s="1146"/>
      <c r="M54" s="1142"/>
      <c r="N54" s="1142"/>
      <c r="O54" s="1142"/>
      <c r="P54" s="2617"/>
    </row>
    <row r="55" spans="1:29" s="502" customFormat="1">
      <c r="A55" s="1142"/>
      <c r="B55" s="1143"/>
      <c r="C55" s="1147"/>
      <c r="D55" s="1142"/>
      <c r="E55" s="1142"/>
      <c r="F55" s="1142"/>
      <c r="G55" s="1142"/>
      <c r="H55" s="1142"/>
      <c r="I55" s="1142"/>
      <c r="J55" s="1142"/>
      <c r="K55" s="1145"/>
      <c r="L55" s="1146"/>
      <c r="M55" s="1142"/>
      <c r="N55" s="1142"/>
      <c r="O55" s="1142"/>
      <c r="P55" s="2617"/>
    </row>
    <row r="56" spans="1:29">
      <c r="A56" s="1141"/>
      <c r="B56" s="1143"/>
      <c r="C56" s="1147"/>
      <c r="D56" s="1141"/>
      <c r="E56" s="1141"/>
      <c r="F56" s="1141"/>
      <c r="G56" s="1141"/>
      <c r="H56" s="1141"/>
      <c r="I56" s="1141"/>
      <c r="J56" s="1141"/>
      <c r="K56" s="1102"/>
      <c r="L56" s="1103"/>
      <c r="M56" s="1141"/>
      <c r="N56" s="1141"/>
      <c r="O56" s="1141"/>
    </row>
    <row r="57" spans="1:29" ht="21.75" thickBot="1">
      <c r="A57" s="763" t="s">
        <v>2570</v>
      </c>
      <c r="B57" s="759"/>
      <c r="C57" s="764"/>
      <c r="D57" s="764"/>
      <c r="E57" s="764"/>
      <c r="F57" s="765"/>
      <c r="G57" s="765"/>
      <c r="H57" s="764"/>
      <c r="I57" s="764"/>
      <c r="J57" s="764"/>
      <c r="K57" s="1157"/>
      <c r="L57" s="1158"/>
      <c r="M57" s="1156"/>
      <c r="N57" s="1156"/>
      <c r="O57" s="1156"/>
      <c r="P57" s="2618"/>
      <c r="Q57" s="504"/>
    </row>
    <row r="58" spans="1:29" s="508" customFormat="1" ht="15">
      <c r="A58" s="505" t="s">
        <v>2571</v>
      </c>
      <c r="B58" s="506"/>
      <c r="C58" s="1573" t="str">
        <f>YEAR(C7)&amp;"-"&amp;MONTH(C7)</f>
        <v>2020-4</v>
      </c>
      <c r="D58" s="1572">
        <f>EDATE(C58,-1)</f>
        <v>43891</v>
      </c>
      <c r="E58" s="1572">
        <f>EDATE(D58,-1)</f>
        <v>43862</v>
      </c>
      <c r="F58" s="1572">
        <f t="shared" ref="F58:O58" si="19">EDATE(E58,-1)</f>
        <v>43831</v>
      </c>
      <c r="G58" s="1572">
        <f t="shared" si="19"/>
        <v>43800</v>
      </c>
      <c r="H58" s="1572">
        <f t="shared" si="19"/>
        <v>43770</v>
      </c>
      <c r="I58" s="1572">
        <f t="shared" si="19"/>
        <v>43739</v>
      </c>
      <c r="J58" s="1572">
        <f t="shared" si="19"/>
        <v>43709</v>
      </c>
      <c r="K58" s="1572">
        <f t="shared" si="19"/>
        <v>43678</v>
      </c>
      <c r="L58" s="1572">
        <f t="shared" si="19"/>
        <v>43647</v>
      </c>
      <c r="M58" s="1572">
        <f t="shared" si="19"/>
        <v>43617</v>
      </c>
      <c r="N58" s="1572">
        <f t="shared" si="19"/>
        <v>43586</v>
      </c>
      <c r="O58" s="1572">
        <f t="shared" si="19"/>
        <v>43556</v>
      </c>
      <c r="P58" s="1567"/>
    </row>
    <row r="59" spans="1:29" s="117" customFormat="1" ht="15">
      <c r="A59" s="509"/>
      <c r="B59" s="2619"/>
      <c r="C59" s="1570">
        <v>100</v>
      </c>
      <c r="D59" s="511"/>
      <c r="E59" s="512"/>
      <c r="F59" s="512"/>
      <c r="G59" s="512"/>
      <c r="H59" s="512"/>
      <c r="I59" s="512"/>
      <c r="J59" s="512"/>
      <c r="K59" s="512"/>
      <c r="L59" s="512"/>
      <c r="M59" s="513"/>
      <c r="N59" s="512"/>
      <c r="O59" s="513"/>
      <c r="P59" s="2620"/>
    </row>
    <row r="60" spans="1:29" s="117" customFormat="1" ht="15.75" thickBot="1">
      <c r="A60" s="515" t="s">
        <v>2572</v>
      </c>
      <c r="B60" s="516"/>
      <c r="C60" s="517"/>
      <c r="D60" s="518"/>
      <c r="E60" s="518"/>
      <c r="F60" s="518"/>
      <c r="G60" s="518"/>
      <c r="H60" s="518"/>
      <c r="I60" s="518"/>
      <c r="J60" s="518"/>
      <c r="K60" s="518"/>
      <c r="L60" s="518"/>
      <c r="M60" s="519"/>
      <c r="N60" s="518"/>
      <c r="O60" s="519"/>
      <c r="P60" s="2620"/>
      <c r="Q60" s="504"/>
    </row>
    <row r="61" spans="1:29" s="117" customFormat="1" ht="15">
      <c r="A61" s="521" t="s">
        <v>2573</v>
      </c>
      <c r="B61" s="510"/>
      <c r="C61" s="522" t="s">
        <v>2574</v>
      </c>
      <c r="D61" s="523"/>
      <c r="E61" s="523"/>
      <c r="F61" s="523"/>
      <c r="G61" s="523"/>
      <c r="H61" s="523"/>
      <c r="I61" s="523"/>
      <c r="J61" s="523"/>
      <c r="K61" s="523"/>
      <c r="L61" s="524"/>
      <c r="M61" s="525"/>
      <c r="N61" s="1148"/>
      <c r="O61" s="1148"/>
      <c r="P61" s="2621"/>
      <c r="Q61" s="504"/>
    </row>
    <row r="62" spans="1:29" s="117" customFormat="1" ht="15.75" thickBot="1">
      <c r="A62" s="521"/>
      <c r="B62" s="510"/>
      <c r="C62" s="511">
        <v>100</v>
      </c>
      <c r="D62" s="512"/>
      <c r="E62" s="512"/>
      <c r="F62" s="512"/>
      <c r="G62" s="512"/>
      <c r="H62" s="512"/>
      <c r="I62" s="512"/>
      <c r="J62" s="512"/>
      <c r="K62" s="512"/>
      <c r="L62" s="512"/>
      <c r="M62" s="514"/>
      <c r="N62" s="1148"/>
      <c r="O62" s="1148"/>
      <c r="P62" s="2620"/>
      <c r="Q62" s="504"/>
    </row>
    <row r="63" spans="1:29">
      <c r="A63" s="527" t="s">
        <v>2575</v>
      </c>
      <c r="B63" s="528" t="s">
        <v>2541</v>
      </c>
      <c r="C63" s="529" t="str">
        <f>C9</f>
        <v>住宅</v>
      </c>
      <c r="D63" s="530"/>
      <c r="E63" s="530"/>
      <c r="F63" s="530"/>
      <c r="G63" s="530"/>
      <c r="H63" s="530"/>
      <c r="I63" s="530"/>
      <c r="J63" s="530"/>
      <c r="K63" s="531"/>
      <c r="L63" s="532"/>
      <c r="M63" s="533"/>
      <c r="N63" s="1149"/>
      <c r="O63" s="1149"/>
      <c r="P63" s="2622"/>
      <c r="Q63" s="504"/>
    </row>
    <row r="64" spans="1:29" ht="15.75" thickBot="1">
      <c r="A64" s="534"/>
      <c r="B64" s="535"/>
      <c r="C64" s="536">
        <v>100</v>
      </c>
      <c r="D64" s="536"/>
      <c r="E64" s="536"/>
      <c r="F64" s="536"/>
      <c r="G64" s="536"/>
      <c r="H64" s="536"/>
      <c r="I64" s="536"/>
      <c r="J64" s="536"/>
      <c r="K64" s="536"/>
      <c r="L64" s="536"/>
      <c r="M64" s="537"/>
      <c r="N64" s="1150"/>
      <c r="O64" s="1150"/>
      <c r="P64" s="2622"/>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49"/>
      <c r="O65" s="1149"/>
      <c r="P65" s="2622"/>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0"/>
      <c r="O66" s="1150"/>
      <c r="P66" s="2622"/>
      <c r="Q66" s="504"/>
    </row>
    <row r="67" spans="1:17" ht="15.75" thickTop="1">
      <c r="A67" s="534"/>
      <c r="B67" s="546" t="s">
        <v>2545</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v>
      </c>
      <c r="J67" s="547" t="str">
        <f t="shared" si="21"/>
        <v>（含）-</v>
      </c>
      <c r="K67" s="547" t="str">
        <f>K68&amp;"（含）"&amp;"-"&amp;L68</f>
        <v>（含）-</v>
      </c>
      <c r="L67" s="547" t="str">
        <f t="shared" si="21"/>
        <v>（含）-</v>
      </c>
      <c r="M67" s="448" t="str">
        <f>M68&amp;"（含）"&amp;"-"&amp;P68</f>
        <v>（含）-</v>
      </c>
      <c r="N67" s="1150"/>
      <c r="O67" s="1150"/>
      <c r="P67" s="2622"/>
      <c r="Q67" s="504"/>
    </row>
    <row r="68" spans="1:17" ht="15">
      <c r="A68" s="534"/>
      <c r="B68" s="548"/>
      <c r="C68" s="549">
        <v>0</v>
      </c>
      <c r="D68" s="549">
        <v>1</v>
      </c>
      <c r="E68" s="549">
        <v>2</v>
      </c>
      <c r="F68" s="549">
        <v>3</v>
      </c>
      <c r="G68" s="549">
        <v>4</v>
      </c>
      <c r="H68" s="549">
        <v>5</v>
      </c>
      <c r="I68" s="549">
        <v>6</v>
      </c>
      <c r="J68" s="549"/>
      <c r="K68" s="550"/>
      <c r="L68" s="551"/>
      <c r="M68" s="552"/>
      <c r="N68" s="1149"/>
      <c r="O68" s="1149"/>
      <c r="P68" s="2622"/>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0"/>
      <c r="O69" s="1150"/>
      <c r="P69" s="2622"/>
      <c r="Q69" s="504"/>
    </row>
    <row r="70" spans="1:17" s="471" customFormat="1" ht="15.75" thickTop="1">
      <c r="A70" s="553"/>
      <c r="B70" s="538">
        <f>B12</f>
        <v>111</v>
      </c>
      <c r="C70" s="554"/>
      <c r="D70" s="554"/>
      <c r="E70" s="554"/>
      <c r="F70" s="554"/>
      <c r="G70" s="554"/>
      <c r="H70" s="555"/>
      <c r="I70" s="555"/>
      <c r="J70" s="555"/>
      <c r="K70" s="555"/>
      <c r="L70" s="556"/>
      <c r="M70" s="557"/>
      <c r="N70" s="1151"/>
      <c r="O70" s="1151"/>
      <c r="P70" s="2623"/>
      <c r="Q70" s="559"/>
    </row>
    <row r="71" spans="1:17" s="471" customFormat="1" ht="15.75" thickBot="1">
      <c r="A71" s="553"/>
      <c r="B71" s="543"/>
      <c r="C71" s="560"/>
      <c r="D71" s="536"/>
      <c r="E71" s="536"/>
      <c r="F71" s="536"/>
      <c r="G71" s="536"/>
      <c r="H71" s="536"/>
      <c r="I71" s="536"/>
      <c r="J71" s="536"/>
      <c r="K71" s="536"/>
      <c r="L71" s="536"/>
      <c r="M71" s="537"/>
      <c r="N71" s="1150"/>
      <c r="O71" s="1150"/>
      <c r="P71" s="2623"/>
      <c r="Q71" s="559"/>
    </row>
    <row r="72" spans="1:17" s="471" customFormat="1" ht="15.75" thickTop="1">
      <c r="A72" s="553"/>
      <c r="B72" s="538">
        <f>B13</f>
        <v>111</v>
      </c>
      <c r="C72" s="554"/>
      <c r="D72" s="554"/>
      <c r="E72" s="554"/>
      <c r="F72" s="554"/>
      <c r="G72" s="554"/>
      <c r="H72" s="555"/>
      <c r="I72" s="555"/>
      <c r="J72" s="555"/>
      <c r="K72" s="555"/>
      <c r="L72" s="556"/>
      <c r="M72" s="557"/>
      <c r="N72" s="1151"/>
      <c r="O72" s="1151"/>
      <c r="P72" s="2624"/>
      <c r="Q72" s="561"/>
    </row>
    <row r="73" spans="1:17" s="471" customFormat="1" ht="15.75" thickBot="1">
      <c r="A73" s="553"/>
      <c r="B73" s="543"/>
      <c r="C73" s="560"/>
      <c r="D73" s="560"/>
      <c r="E73" s="560"/>
      <c r="F73" s="560"/>
      <c r="G73" s="560"/>
      <c r="H73" s="562"/>
      <c r="I73" s="562"/>
      <c r="J73" s="562"/>
      <c r="K73" s="562"/>
      <c r="L73" s="562"/>
      <c r="M73" s="563"/>
      <c r="N73" s="1151"/>
      <c r="O73" s="1151"/>
      <c r="P73" s="2623"/>
      <c r="Q73" s="559"/>
    </row>
    <row r="74" spans="1:17" s="471" customFormat="1" ht="15.75" thickTop="1">
      <c r="A74" s="553"/>
      <c r="B74" s="546">
        <f>B14</f>
        <v>111</v>
      </c>
      <c r="C74" s="554"/>
      <c r="D74" s="554"/>
      <c r="E74" s="554"/>
      <c r="F74" s="554"/>
      <c r="G74" s="523"/>
      <c r="H74" s="564"/>
      <c r="I74" s="564"/>
      <c r="J74" s="564"/>
      <c r="K74" s="564"/>
      <c r="L74" s="565"/>
      <c r="M74" s="566"/>
      <c r="N74" s="1151"/>
      <c r="O74" s="1151"/>
      <c r="P74" s="2625"/>
      <c r="Q74" s="559"/>
    </row>
    <row r="75" spans="1:17" s="471" customFormat="1" ht="15.75" thickBot="1">
      <c r="A75" s="568"/>
      <c r="B75" s="569"/>
      <c r="C75" s="570"/>
      <c r="D75" s="570"/>
      <c r="E75" s="570"/>
      <c r="F75" s="570"/>
      <c r="G75" s="570"/>
      <c r="H75" s="571"/>
      <c r="I75" s="571"/>
      <c r="J75" s="571"/>
      <c r="K75" s="571"/>
      <c r="L75" s="571"/>
      <c r="M75" s="572"/>
      <c r="N75" s="1151"/>
      <c r="O75" s="1151"/>
      <c r="P75" s="2623"/>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49"/>
      <c r="O76" s="1149"/>
      <c r="P76" s="262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0"/>
      <c r="O77" s="1150"/>
      <c r="P77" s="2622"/>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49"/>
      <c r="O78" s="1149"/>
      <c r="P78" s="262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0"/>
      <c r="O79" s="1150"/>
      <c r="P79" s="2622"/>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49"/>
      <c r="O80" s="1149"/>
      <c r="P80" s="262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0"/>
      <c r="O81" s="1150"/>
      <c r="P81" s="2622"/>
      <c r="Q81" s="504"/>
    </row>
    <row r="82" spans="1:17" ht="15.75" thickTop="1">
      <c r="A82" s="534"/>
      <c r="B82" s="546" t="s">
        <v>2091</v>
      </c>
      <c r="C82" s="539" t="s">
        <v>2591</v>
      </c>
      <c r="D82" s="539" t="s">
        <v>2592</v>
      </c>
      <c r="E82" s="539" t="s">
        <v>2593</v>
      </c>
      <c r="F82" s="539" t="s">
        <v>2594</v>
      </c>
      <c r="G82" s="539" t="s">
        <v>2595</v>
      </c>
      <c r="H82" s="539"/>
      <c r="I82" s="539"/>
      <c r="J82" s="539"/>
      <c r="K82" s="539"/>
      <c r="L82" s="539"/>
      <c r="M82" s="1379"/>
      <c r="N82" s="1150"/>
      <c r="O82" s="1150"/>
      <c r="P82" s="2622"/>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0"/>
      <c r="O83" s="1150"/>
      <c r="P83" s="2622"/>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49"/>
      <c r="O84" s="1149"/>
      <c r="P84" s="262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0"/>
      <c r="O85" s="1150"/>
      <c r="P85" s="2622"/>
      <c r="Q85" s="504"/>
    </row>
    <row r="86" spans="1:17" s="117" customFormat="1" ht="15.75" thickTop="1">
      <c r="A86" s="579"/>
      <c r="B86" s="538" t="s">
        <v>2597</v>
      </c>
      <c r="C86" s="554"/>
      <c r="D86" s="554"/>
      <c r="E86" s="554"/>
      <c r="F86" s="554"/>
      <c r="G86" s="554"/>
      <c r="H86" s="554"/>
      <c r="I86" s="554"/>
      <c r="J86" s="554"/>
      <c r="K86" s="554"/>
      <c r="L86" s="580"/>
      <c r="M86" s="581"/>
      <c r="N86" s="1148"/>
      <c r="O86" s="1148"/>
      <c r="P86" s="262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2"/>
      <c r="Q87" s="504"/>
    </row>
    <row r="88" spans="1:17" s="117" customFormat="1" ht="15.75" thickTop="1">
      <c r="A88" s="579"/>
      <c r="B88" s="538" t="s">
        <v>2598</v>
      </c>
      <c r="C88" s="554"/>
      <c r="D88" s="554"/>
      <c r="E88" s="554"/>
      <c r="F88" s="2627"/>
      <c r="G88" s="554"/>
      <c r="H88" s="554"/>
      <c r="I88" s="554"/>
      <c r="J88" s="554"/>
      <c r="K88" s="554"/>
      <c r="L88" s="554"/>
      <c r="M88" s="581"/>
      <c r="N88" s="1148"/>
      <c r="O88" s="1148"/>
      <c r="P88" s="262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2"/>
      <c r="Q89" s="504"/>
    </row>
    <row r="90" spans="1:17" s="471" customFormat="1" ht="15.75" thickTop="1">
      <c r="A90" s="553"/>
      <c r="B90" s="538">
        <f>B27</f>
        <v>111</v>
      </c>
      <c r="C90" s="554"/>
      <c r="D90" s="554"/>
      <c r="E90" s="554"/>
      <c r="F90" s="554"/>
      <c r="G90" s="554"/>
      <c r="H90" s="555"/>
      <c r="I90" s="555"/>
      <c r="J90" s="555"/>
      <c r="K90" s="555"/>
      <c r="L90" s="556"/>
      <c r="M90" s="557"/>
      <c r="N90" s="1151"/>
      <c r="O90" s="1151"/>
      <c r="P90" s="2623"/>
      <c r="Q90" s="559"/>
    </row>
    <row r="91" spans="1:17" s="471" customFormat="1" ht="15.75" thickBot="1">
      <c r="A91" s="553"/>
      <c r="B91" s="543"/>
      <c r="C91" s="560"/>
      <c r="D91" s="560"/>
      <c r="E91" s="560"/>
      <c r="F91" s="560"/>
      <c r="G91" s="560"/>
      <c r="H91" s="562"/>
      <c r="I91" s="562"/>
      <c r="J91" s="562"/>
      <c r="K91" s="562"/>
      <c r="L91" s="562"/>
      <c r="M91" s="563"/>
      <c r="N91" s="1151"/>
      <c r="O91" s="1151"/>
      <c r="P91" s="2623"/>
      <c r="Q91" s="559"/>
    </row>
    <row r="92" spans="1:17" ht="15.75" thickTop="1">
      <c r="A92" s="534"/>
      <c r="B92" s="538">
        <f>B28</f>
        <v>111</v>
      </c>
      <c r="C92" s="554"/>
      <c r="D92" s="554"/>
      <c r="E92" s="554"/>
      <c r="F92" s="554"/>
      <c r="G92" s="583"/>
      <c r="H92" s="583"/>
      <c r="I92" s="583"/>
      <c r="J92" s="583"/>
      <c r="K92" s="584"/>
      <c r="L92" s="585"/>
      <c r="M92" s="586"/>
      <c r="N92" s="1149"/>
      <c r="O92" s="1149"/>
      <c r="P92" s="2622"/>
      <c r="Q92" s="504"/>
    </row>
    <row r="93" spans="1:17" ht="15.75" thickBot="1">
      <c r="A93" s="534"/>
      <c r="B93" s="543"/>
      <c r="C93" s="560"/>
      <c r="D93" s="536"/>
      <c r="E93" s="536"/>
      <c r="F93" s="536"/>
      <c r="G93" s="536"/>
      <c r="H93" s="536"/>
      <c r="I93" s="536"/>
      <c r="J93" s="536"/>
      <c r="K93" s="536"/>
      <c r="L93" s="536"/>
      <c r="M93" s="537"/>
      <c r="N93" s="1150"/>
      <c r="O93" s="1150"/>
      <c r="P93" s="2622"/>
      <c r="Q93" s="504"/>
    </row>
    <row r="94" spans="1:17" ht="15.75" thickTop="1">
      <c r="A94" s="534"/>
      <c r="B94" s="538">
        <f>B29</f>
        <v>111</v>
      </c>
      <c r="C94" s="554"/>
      <c r="D94" s="554"/>
      <c r="E94" s="554"/>
      <c r="F94" s="554"/>
      <c r="G94" s="583"/>
      <c r="H94" s="583"/>
      <c r="I94" s="583"/>
      <c r="J94" s="583"/>
      <c r="K94" s="584"/>
      <c r="L94" s="585"/>
      <c r="M94" s="586"/>
      <c r="N94" s="1149"/>
      <c r="O94" s="1149"/>
      <c r="P94" s="2622"/>
      <c r="Q94" s="504"/>
    </row>
    <row r="95" spans="1:17" ht="15.75" thickBot="1">
      <c r="A95" s="534"/>
      <c r="B95" s="543"/>
      <c r="C95" s="560"/>
      <c r="D95" s="560"/>
      <c r="E95" s="560"/>
      <c r="F95" s="560"/>
      <c r="G95" s="536"/>
      <c r="H95" s="536"/>
      <c r="I95" s="536"/>
      <c r="J95" s="536"/>
      <c r="K95" s="536"/>
      <c r="L95" s="536"/>
      <c r="M95" s="537"/>
      <c r="N95" s="1150"/>
      <c r="O95" s="1150"/>
      <c r="P95" s="2622"/>
      <c r="Q95" s="504"/>
    </row>
    <row r="96" spans="1:17" ht="15.75" thickTop="1">
      <c r="A96" s="534"/>
      <c r="B96" s="538">
        <f>B30</f>
        <v>111</v>
      </c>
      <c r="C96" s="554"/>
      <c r="D96" s="554"/>
      <c r="E96" s="554"/>
      <c r="F96" s="554"/>
      <c r="G96" s="583"/>
      <c r="H96" s="583"/>
      <c r="I96" s="583"/>
      <c r="J96" s="583"/>
      <c r="K96" s="584"/>
      <c r="L96" s="585"/>
      <c r="M96" s="586"/>
      <c r="N96" s="1149"/>
      <c r="O96" s="1149"/>
      <c r="P96" s="2622"/>
      <c r="Q96" s="504"/>
    </row>
    <row r="97" spans="1:17" ht="15.75" thickBot="1">
      <c r="A97" s="534"/>
      <c r="B97" s="543"/>
      <c r="C97" s="570"/>
      <c r="D97" s="570"/>
      <c r="E97" s="570"/>
      <c r="F97" s="570"/>
      <c r="G97" s="536"/>
      <c r="H97" s="536"/>
      <c r="I97" s="536"/>
      <c r="J97" s="536"/>
      <c r="K97" s="536"/>
      <c r="L97" s="536"/>
      <c r="M97" s="537"/>
      <c r="N97" s="1150"/>
      <c r="O97" s="1150"/>
      <c r="P97" s="2622"/>
      <c r="Q97" s="504"/>
    </row>
    <row r="98" spans="1:17" ht="15.75" thickTop="1">
      <c r="A98" s="534"/>
      <c r="B98" s="546">
        <f>B31</f>
        <v>111</v>
      </c>
      <c r="C98" s="587"/>
      <c r="D98" s="587"/>
      <c r="E98" s="587"/>
      <c r="F98" s="587"/>
      <c r="G98" s="587"/>
      <c r="H98" s="587"/>
      <c r="I98" s="587"/>
      <c r="J98" s="587"/>
      <c r="K98" s="588"/>
      <c r="L98" s="589"/>
      <c r="M98" s="590"/>
      <c r="N98" s="1149"/>
      <c r="O98" s="1149"/>
      <c r="P98" s="2622"/>
      <c r="Q98" s="504"/>
    </row>
    <row r="99" spans="1:17" ht="15.75" thickBot="1">
      <c r="A99" s="2628"/>
      <c r="B99" s="569"/>
      <c r="C99" s="591"/>
      <c r="D99" s="591"/>
      <c r="E99" s="591"/>
      <c r="F99" s="591"/>
      <c r="G99" s="591"/>
      <c r="H99" s="591"/>
      <c r="I99" s="591"/>
      <c r="J99" s="591"/>
      <c r="K99" s="591"/>
      <c r="L99" s="591"/>
      <c r="M99" s="592"/>
      <c r="N99" s="1150"/>
      <c r="O99" s="1150"/>
      <c r="P99" s="2622"/>
      <c r="Q99" s="504"/>
    </row>
    <row r="100" spans="1:17">
      <c r="A100" s="527" t="s">
        <v>2550</v>
      </c>
      <c r="B100" s="528" t="s">
        <v>2599</v>
      </c>
      <c r="C100" s="530"/>
      <c r="D100" s="530"/>
      <c r="E100" s="530"/>
      <c r="F100" s="530"/>
      <c r="G100" s="530"/>
      <c r="H100" s="530"/>
      <c r="I100" s="530"/>
      <c r="J100" s="530"/>
      <c r="K100" s="531"/>
      <c r="L100" s="532"/>
      <c r="M100" s="533"/>
      <c r="N100" s="1149"/>
      <c r="O100" s="1149"/>
      <c r="P100" s="2622"/>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0"/>
      <c r="O101" s="1150"/>
      <c r="P101" s="2622"/>
      <c r="Q101" s="504"/>
    </row>
    <row r="102" spans="1:17" ht="29.25" thickTop="1">
      <c r="A102" s="534"/>
      <c r="B102" s="538" t="s">
        <v>2600</v>
      </c>
      <c r="C102" s="578" t="str">
        <f>C103&amp;"(含)"&amp;"-"&amp;D103</f>
        <v>0(含)-50000</v>
      </c>
      <c r="D102" s="578" t="str">
        <f t="shared" ref="D102:L102" si="27">D103&amp;"(含)"&amp;"-"&amp;E103</f>
        <v>50000(含)-100000</v>
      </c>
      <c r="E102" s="578" t="str">
        <f t="shared" si="27"/>
        <v>100000(含)-200000</v>
      </c>
      <c r="F102" s="578" t="str">
        <f t="shared" si="27"/>
        <v>200000(含)-500000</v>
      </c>
      <c r="G102" s="578" t="str">
        <f t="shared" si="27"/>
        <v>500000(含)-1000000</v>
      </c>
      <c r="H102" s="578" t="str">
        <f t="shared" si="27"/>
        <v>1000000(含)-</v>
      </c>
      <c r="I102" s="578" t="str">
        <f t="shared" si="27"/>
        <v>(含)-</v>
      </c>
      <c r="J102" s="578" t="str">
        <f t="shared" si="27"/>
        <v>(含)-</v>
      </c>
      <c r="K102" s="578" t="str">
        <f>K103&amp;"(含)"&amp;"-"&amp;L103</f>
        <v>(含)-</v>
      </c>
      <c r="L102" s="578" t="str">
        <f t="shared" si="27"/>
        <v>(含)-</v>
      </c>
      <c r="M102" s="578" t="str">
        <f>M103&amp;"(含)"&amp;"-"&amp;P103</f>
        <v>(含)-</v>
      </c>
      <c r="N102" s="1148"/>
      <c r="O102" s="1148"/>
      <c r="P102" s="2622"/>
      <c r="Q102" s="504"/>
    </row>
    <row r="103" spans="1:17" s="471" customFormat="1">
      <c r="A103" s="593"/>
      <c r="B103" s="594"/>
      <c r="C103" s="595">
        <v>0</v>
      </c>
      <c r="D103" s="595">
        <v>50000</v>
      </c>
      <c r="E103" s="595">
        <v>100000</v>
      </c>
      <c r="F103" s="595">
        <v>200000</v>
      </c>
      <c r="G103" s="595">
        <v>500000</v>
      </c>
      <c r="H103" s="595">
        <v>1000000</v>
      </c>
      <c r="I103" s="595"/>
      <c r="J103" s="596"/>
      <c r="K103" s="596"/>
      <c r="L103" s="597"/>
      <c r="M103" s="598"/>
      <c r="N103" s="1151"/>
      <c r="O103" s="1151"/>
      <c r="P103" s="2623"/>
      <c r="Q103" s="559"/>
    </row>
    <row r="104" spans="1:17" s="471" customFormat="1" ht="15.75" thickBot="1">
      <c r="A104" s="553"/>
      <c r="B104" s="543"/>
      <c r="C104" s="560">
        <v>100</v>
      </c>
      <c r="D104" s="536">
        <v>101</v>
      </c>
      <c r="E104" s="536">
        <v>102</v>
      </c>
      <c r="F104" s="536">
        <v>103</v>
      </c>
      <c r="G104" s="536">
        <v>104</v>
      </c>
      <c r="H104" s="536">
        <v>105</v>
      </c>
      <c r="I104" s="536"/>
      <c r="J104" s="536"/>
      <c r="K104" s="536"/>
      <c r="L104" s="536"/>
      <c r="M104" s="536"/>
      <c r="N104" s="1150"/>
      <c r="O104" s="1150"/>
      <c r="P104" s="2623"/>
      <c r="Q104" s="559"/>
    </row>
    <row r="105" spans="1:17" ht="15" thickTop="1">
      <c r="A105" s="599"/>
      <c r="B105" s="538" t="s">
        <v>2601</v>
      </c>
      <c r="C105" s="554" t="s">
        <v>3066</v>
      </c>
      <c r="D105" s="554" t="s">
        <v>3158</v>
      </c>
      <c r="E105" s="583"/>
      <c r="F105" s="583"/>
      <c r="G105" s="583"/>
      <c r="H105" s="583"/>
      <c r="I105" s="583"/>
      <c r="J105" s="583"/>
      <c r="K105" s="584"/>
      <c r="L105" s="585"/>
      <c r="M105" s="586"/>
      <c r="N105" s="1149"/>
      <c r="O105" s="1149"/>
      <c r="P105" s="2622"/>
      <c r="Q105" s="504"/>
    </row>
    <row r="106" spans="1:17" ht="15.75" thickBot="1">
      <c r="A106" s="534"/>
      <c r="B106" s="543"/>
      <c r="C106" s="544">
        <v>100</v>
      </c>
      <c r="D106" s="544">
        <f t="shared" ref="D106:M106" si="28">C106-$K34</f>
        <v>95</v>
      </c>
      <c r="E106" s="544">
        <f t="shared" si="28"/>
        <v>90</v>
      </c>
      <c r="F106" s="544">
        <f t="shared" si="28"/>
        <v>85</v>
      </c>
      <c r="G106" s="544">
        <f t="shared" si="28"/>
        <v>80</v>
      </c>
      <c r="H106" s="544">
        <f t="shared" si="28"/>
        <v>75</v>
      </c>
      <c r="I106" s="544">
        <f t="shared" si="28"/>
        <v>70</v>
      </c>
      <c r="J106" s="544">
        <f t="shared" si="28"/>
        <v>65</v>
      </c>
      <c r="K106" s="544">
        <f t="shared" si="28"/>
        <v>60</v>
      </c>
      <c r="L106" s="544">
        <f t="shared" si="28"/>
        <v>55</v>
      </c>
      <c r="M106" s="544">
        <f t="shared" si="28"/>
        <v>50</v>
      </c>
      <c r="N106" s="1150"/>
      <c r="O106" s="1150"/>
      <c r="P106" s="2622"/>
      <c r="Q106" s="504"/>
    </row>
    <row r="107" spans="1:17" ht="15" thickTop="1">
      <c r="A107" s="599"/>
      <c r="B107" s="538" t="s">
        <v>2602</v>
      </c>
      <c r="C107" s="583" t="s">
        <v>3159</v>
      </c>
      <c r="D107" s="583" t="s">
        <v>3153</v>
      </c>
      <c r="E107" s="583"/>
      <c r="F107" s="583"/>
      <c r="G107" s="583"/>
      <c r="H107" s="583"/>
      <c r="I107" s="583"/>
      <c r="J107" s="583"/>
      <c r="K107" s="584"/>
      <c r="L107" s="585"/>
      <c r="M107" s="586"/>
      <c r="N107" s="1149"/>
      <c r="O107" s="1149"/>
      <c r="P107" s="2622"/>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0"/>
      <c r="O108" s="1150"/>
      <c r="P108" s="2622"/>
      <c r="Q108" s="504"/>
    </row>
    <row r="109" spans="1:17" ht="15" thickTop="1">
      <c r="A109" s="599"/>
      <c r="B109" s="538" t="s">
        <v>2603</v>
      </c>
      <c r="C109" s="554" t="s">
        <v>3160</v>
      </c>
      <c r="D109" s="554" t="s">
        <v>3154</v>
      </c>
      <c r="E109" s="554" t="s">
        <v>3161</v>
      </c>
      <c r="F109" s="583" t="s">
        <v>3157</v>
      </c>
      <c r="G109" s="583"/>
      <c r="H109" s="583"/>
      <c r="I109" s="583"/>
      <c r="J109" s="583"/>
      <c r="K109" s="584"/>
      <c r="L109" s="585"/>
      <c r="M109" s="586"/>
      <c r="N109" s="1149"/>
      <c r="O109" s="1149"/>
      <c r="P109" s="2622"/>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0"/>
      <c r="O110" s="1150"/>
      <c r="P110" s="262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3"/>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3"/>
      <c r="Q113" s="559"/>
    </row>
    <row r="114" spans="1:17" ht="15" thickTop="1">
      <c r="A114" s="599"/>
      <c r="B114" s="538" t="s">
        <v>2604</v>
      </c>
      <c r="C114" s="554" t="s">
        <v>3155</v>
      </c>
      <c r="D114" s="554" t="s">
        <v>3162</v>
      </c>
      <c r="E114" s="583"/>
      <c r="F114" s="583"/>
      <c r="G114" s="583"/>
      <c r="H114" s="583"/>
      <c r="I114" s="583"/>
      <c r="J114" s="583"/>
      <c r="K114" s="584"/>
      <c r="L114" s="585"/>
      <c r="M114" s="586"/>
      <c r="N114" s="1149"/>
      <c r="O114" s="1149"/>
      <c r="P114" s="2622"/>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0"/>
      <c r="O115" s="1150"/>
      <c r="P115" s="2622"/>
      <c r="Q115" s="504"/>
    </row>
    <row r="116" spans="1:17" ht="15" thickTop="1">
      <c r="A116" s="599"/>
      <c r="B116" s="538" t="s">
        <v>2605</v>
      </c>
      <c r="C116" s="554" t="s">
        <v>3095</v>
      </c>
      <c r="D116" s="554" t="s">
        <v>3163</v>
      </c>
      <c r="E116" s="554" t="s">
        <v>3164</v>
      </c>
      <c r="F116" s="554" t="s">
        <v>3165</v>
      </c>
      <c r="G116" s="554" t="s">
        <v>3166</v>
      </c>
      <c r="H116" s="583"/>
      <c r="I116" s="583"/>
      <c r="J116" s="583"/>
      <c r="K116" s="584"/>
      <c r="L116" s="585"/>
      <c r="M116" s="586"/>
      <c r="N116" s="1149"/>
      <c r="O116" s="1149"/>
      <c r="P116" s="2622"/>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2"/>
      <c r="Q117" s="504"/>
    </row>
    <row r="118" spans="1:17" ht="15" thickTop="1">
      <c r="A118" s="599"/>
      <c r="B118" s="538" t="s">
        <v>2606</v>
      </c>
      <c r="C118" s="583" t="s">
        <v>3167</v>
      </c>
      <c r="D118" s="583" t="s">
        <v>3156</v>
      </c>
      <c r="E118" s="583"/>
      <c r="F118" s="583"/>
      <c r="G118" s="583"/>
      <c r="H118" s="583"/>
      <c r="I118" s="583"/>
      <c r="J118" s="583"/>
      <c r="K118" s="584"/>
      <c r="L118" s="585"/>
      <c r="M118" s="586"/>
      <c r="N118" s="1149"/>
      <c r="O118" s="1149"/>
      <c r="P118" s="2622"/>
      <c r="Q118" s="504"/>
    </row>
    <row r="119" spans="1:17" ht="15.75"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0"/>
      <c r="O119" s="1150"/>
      <c r="P119" s="2622"/>
      <c r="Q119" s="504"/>
    </row>
    <row r="120" spans="1:17" s="471" customFormat="1" ht="28.5" thickTop="1">
      <c r="A120" s="593"/>
      <c r="B120" s="538" t="s">
        <v>2561</v>
      </c>
      <c r="C120" s="554"/>
      <c r="D120" s="554"/>
      <c r="E120" s="554"/>
      <c r="F120" s="554"/>
      <c r="G120" s="554"/>
      <c r="H120" s="554"/>
      <c r="I120" s="554"/>
      <c r="J120" s="554"/>
      <c r="K120" s="554"/>
      <c r="L120" s="580"/>
      <c r="M120" s="581"/>
      <c r="N120" s="1151"/>
      <c r="O120" s="1151"/>
      <c r="P120" s="2623"/>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3"/>
      <c r="Q121" s="559"/>
    </row>
    <row r="122" spans="1:17" ht="15" thickTop="1">
      <c r="A122" s="599"/>
      <c r="B122" s="538" t="s">
        <v>2607</v>
      </c>
      <c r="C122" s="554" t="s">
        <v>3160</v>
      </c>
      <c r="D122" s="554" t="s">
        <v>3154</v>
      </c>
      <c r="E122" s="554" t="s">
        <v>3161</v>
      </c>
      <c r="F122" s="583" t="s">
        <v>3157</v>
      </c>
      <c r="G122" s="583"/>
      <c r="H122" s="583"/>
      <c r="I122" s="583"/>
      <c r="J122" s="583"/>
      <c r="K122" s="584"/>
      <c r="L122" s="585"/>
      <c r="M122" s="586"/>
      <c r="N122" s="1149"/>
      <c r="O122" s="1149"/>
      <c r="P122" s="2622"/>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0"/>
      <c r="O123" s="1150"/>
      <c r="P123" s="2622"/>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49"/>
      <c r="O124" s="1149"/>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2"/>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3"/>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3"/>
      <c r="Q127" s="559"/>
    </row>
    <row r="128" spans="1:17" ht="15" thickTop="1">
      <c r="A128" s="599"/>
      <c r="B128" s="538">
        <f>B45</f>
        <v>111</v>
      </c>
      <c r="C128" s="554"/>
      <c r="D128" s="554"/>
      <c r="E128" s="554"/>
      <c r="F128" s="554"/>
      <c r="G128" s="583"/>
      <c r="H128" s="583"/>
      <c r="I128" s="583"/>
      <c r="J128" s="583"/>
      <c r="K128" s="584"/>
      <c r="L128" s="585"/>
      <c r="M128" s="586"/>
      <c r="N128" s="1149"/>
      <c r="O128" s="1149"/>
      <c r="P128" s="2622"/>
      <c r="Q128" s="504"/>
    </row>
    <row r="129" spans="1:17" ht="15.75" thickBot="1">
      <c r="A129" s="534"/>
      <c r="B129" s="543"/>
      <c r="C129" s="560"/>
      <c r="D129" s="560"/>
      <c r="E129" s="560"/>
      <c r="F129" s="560"/>
      <c r="G129" s="536"/>
      <c r="H129" s="536"/>
      <c r="I129" s="536"/>
      <c r="J129" s="536"/>
      <c r="K129" s="536"/>
      <c r="L129" s="536"/>
      <c r="M129" s="537"/>
      <c r="N129" s="1150"/>
      <c r="O129" s="1150"/>
      <c r="P129" s="2622"/>
      <c r="Q129" s="504"/>
    </row>
    <row r="130" spans="1:17" ht="15" thickTop="1">
      <c r="A130" s="599"/>
      <c r="B130" s="546">
        <f>B46</f>
        <v>111</v>
      </c>
      <c r="C130" s="554"/>
      <c r="D130" s="554"/>
      <c r="E130" s="554"/>
      <c r="F130" s="554"/>
      <c r="G130" s="587"/>
      <c r="H130" s="587"/>
      <c r="I130" s="587"/>
      <c r="J130" s="587"/>
      <c r="K130" s="523"/>
      <c r="L130" s="524"/>
      <c r="M130" s="590"/>
      <c r="N130" s="1149"/>
      <c r="O130" s="1149"/>
      <c r="P130" s="2622"/>
      <c r="Q130" s="504"/>
    </row>
    <row r="131" spans="1:17" ht="15.75" thickBot="1">
      <c r="A131" s="2628"/>
      <c r="B131" s="569"/>
      <c r="C131" s="570"/>
      <c r="D131" s="570"/>
      <c r="E131" s="570"/>
      <c r="F131" s="570"/>
      <c r="G131" s="591"/>
      <c r="H131" s="591"/>
      <c r="I131" s="591"/>
      <c r="J131" s="591"/>
      <c r="K131" s="591"/>
      <c r="L131" s="591"/>
      <c r="M131" s="592"/>
      <c r="N131" s="1150"/>
      <c r="O131" s="1150"/>
      <c r="P131" s="2622"/>
      <c r="Q131" s="504"/>
    </row>
    <row r="136" spans="1:17" ht="15" thickBot="1">
      <c r="B136" s="2629" t="s">
        <v>2609</v>
      </c>
    </row>
    <row r="137" spans="1:17" ht="15">
      <c r="B137" s="2630" t="s">
        <v>2610</v>
      </c>
      <c r="C137" s="2631"/>
      <c r="D137" s="2631"/>
      <c r="E137" s="2631"/>
      <c r="F137" s="2631"/>
      <c r="G137" s="2632"/>
      <c r="H137" s="2633"/>
      <c r="I137" s="2634" t="s">
        <v>2611</v>
      </c>
      <c r="J137" s="2631"/>
      <c r="K137" s="2635"/>
    </row>
    <row r="138" spans="1:17" ht="15">
      <c r="B138" s="2636"/>
      <c r="C138" s="146" t="s">
        <v>2612</v>
      </c>
      <c r="D138" s="146" t="s">
        <v>2613</v>
      </c>
      <c r="E138" s="2637" t="s">
        <v>2614</v>
      </c>
      <c r="F138" s="2638" t="s">
        <v>2615</v>
      </c>
      <c r="G138" s="146" t="s">
        <v>2613</v>
      </c>
      <c r="H138" s="147" t="s">
        <v>2614</v>
      </c>
      <c r="I138" s="2639"/>
      <c r="J138" s="146" t="s">
        <v>2616</v>
      </c>
      <c r="K138" s="147" t="s">
        <v>2617</v>
      </c>
    </row>
    <row r="139" spans="1:17" ht="15">
      <c r="B139" s="1081">
        <v>6</v>
      </c>
      <c r="C139" s="1082">
        <v>96</v>
      </c>
      <c r="D139" s="2640" t="s">
        <v>2618</v>
      </c>
      <c r="E139" s="1083">
        <v>100</v>
      </c>
      <c r="F139" s="1084">
        <v>102.5</v>
      </c>
      <c r="G139" s="2640" t="s">
        <v>2618</v>
      </c>
      <c r="H139" s="1085">
        <v>105</v>
      </c>
      <c r="I139" s="2641" t="s">
        <v>2619</v>
      </c>
      <c r="J139" s="1082">
        <v>20</v>
      </c>
      <c r="K139" s="1086">
        <f>C145/(J139-2)</f>
        <v>4.0555555555555553E-3</v>
      </c>
    </row>
    <row r="140" spans="1:17" ht="15">
      <c r="B140" s="1087">
        <v>5</v>
      </c>
      <c r="C140" s="1088">
        <v>100</v>
      </c>
      <c r="D140" s="1088"/>
      <c r="E140" s="1089"/>
      <c r="F140" s="1090">
        <v>102</v>
      </c>
      <c r="G140" s="1088"/>
      <c r="H140" s="1091"/>
      <c r="I140" s="2642" t="s">
        <v>2620</v>
      </c>
      <c r="J140" s="315">
        <f>ROUNDUP((J139-1)/2,0)</f>
        <v>10</v>
      </c>
      <c r="K140" s="1092">
        <v>100</v>
      </c>
    </row>
    <row r="141" spans="1:17" ht="15">
      <c r="B141" s="1087">
        <v>4</v>
      </c>
      <c r="C141" s="1088">
        <v>102</v>
      </c>
      <c r="D141" s="1088"/>
      <c r="E141" s="1089"/>
      <c r="F141" s="1090">
        <v>101.5</v>
      </c>
      <c r="G141" s="1088"/>
      <c r="H141" s="1091"/>
      <c r="I141" s="2642" t="s">
        <v>2621</v>
      </c>
      <c r="J141" s="315">
        <v>1</v>
      </c>
      <c r="K141" s="1093">
        <f>ROUND(100+(J141-J140)*K139*100,1)</f>
        <v>96.4</v>
      </c>
    </row>
    <row r="142" spans="1:17" ht="15">
      <c r="B142" s="1087">
        <v>3</v>
      </c>
      <c r="C142" s="1088">
        <v>103</v>
      </c>
      <c r="D142" s="1088"/>
      <c r="E142" s="1089"/>
      <c r="F142" s="1090">
        <v>101</v>
      </c>
      <c r="G142" s="1088"/>
      <c r="H142" s="1091"/>
      <c r="I142" s="2642" t="s">
        <v>2622</v>
      </c>
      <c r="J142" s="315">
        <f>J139</f>
        <v>20</v>
      </c>
      <c r="K142" s="1094">
        <v>95</v>
      </c>
    </row>
    <row r="143" spans="1:17" ht="15">
      <c r="B143" s="1087">
        <v>2</v>
      </c>
      <c r="C143" s="1088">
        <v>100</v>
      </c>
      <c r="D143" s="1088"/>
      <c r="E143" s="1089"/>
      <c r="F143" s="1090">
        <v>100.5</v>
      </c>
      <c r="G143" s="1088"/>
      <c r="H143" s="1091"/>
      <c r="I143" s="2642" t="s">
        <v>2623</v>
      </c>
      <c r="J143" s="1088">
        <v>15</v>
      </c>
      <c r="K143" s="1093">
        <f>ROUND(100+(J143-J140)*K139*100,1)</f>
        <v>102</v>
      </c>
    </row>
    <row r="144" spans="1:17" ht="15">
      <c r="B144" s="1087">
        <v>1</v>
      </c>
      <c r="C144" s="1088">
        <v>98</v>
      </c>
      <c r="D144" s="2643" t="s">
        <v>2624</v>
      </c>
      <c r="E144" s="1089">
        <v>102</v>
      </c>
      <c r="F144" s="1095">
        <v>100</v>
      </c>
      <c r="G144" s="2643" t="s">
        <v>2624</v>
      </c>
      <c r="H144" s="1091">
        <v>105</v>
      </c>
      <c r="I144" s="2642" t="s">
        <v>2623</v>
      </c>
      <c r="J144" s="1088">
        <v>18</v>
      </c>
      <c r="K144" s="1093">
        <f>ROUND(100+(J144-J140)*K139*100,1)</f>
        <v>103.2</v>
      </c>
    </row>
    <row r="145" spans="2:11" ht="15.75" thickBot="1">
      <c r="B145" s="2644" t="s">
        <v>2625</v>
      </c>
      <c r="C145" s="1096">
        <f>ROUND(MAX(C139:C144)/MIN(C139:C144)-1,3)</f>
        <v>7.2999999999999995E-2</v>
      </c>
      <c r="D145" s="1097"/>
      <c r="E145" s="1097"/>
      <c r="F145" s="2645" t="s">
        <v>2626</v>
      </c>
      <c r="G145" s="2646"/>
      <c r="H145" s="2647"/>
      <c r="I145" s="2648" t="s">
        <v>2623</v>
      </c>
      <c r="J145" s="1098">
        <v>8</v>
      </c>
      <c r="K145" s="1099">
        <f>ROUND(100+(J145-J140)*K139*100,1)</f>
        <v>99.2</v>
      </c>
    </row>
    <row r="147" spans="2:11">
      <c r="B147" s="2629" t="s">
        <v>2627</v>
      </c>
    </row>
    <row r="148" spans="2:11">
      <c r="B148" s="2629" t="s">
        <v>2628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J50" sqref="J5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6.875" style="403" customWidth="1"/>
    <col min="6" max="6" width="12.25" style="403" customWidth="1"/>
    <col min="7" max="7" width="16" style="403" customWidth="1"/>
    <col min="8" max="8" width="12.25" style="403" customWidth="1"/>
    <col min="9" max="9" width="15.7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2515</v>
      </c>
      <c r="B1" s="2574" t="s">
        <v>2516</v>
      </c>
      <c r="C1" s="1631" t="s">
        <v>2517</v>
      </c>
      <c r="D1" s="1618" t="s">
        <v>3141</v>
      </c>
      <c r="E1" s="2575"/>
      <c r="F1" s="2576" t="s">
        <v>2518</v>
      </c>
      <c r="G1" s="1628" t="s">
        <v>2519</v>
      </c>
      <c r="H1" s="1627"/>
      <c r="I1" s="1627"/>
      <c r="J1" s="1627"/>
      <c r="K1" s="1629"/>
      <c r="L1" s="1630"/>
      <c r="M1" s="1631"/>
      <c r="N1" s="1631"/>
      <c r="O1" s="1631"/>
      <c r="P1" s="2577"/>
      <c r="Q1" s="1617"/>
      <c r="R1" s="1617"/>
      <c r="S1" s="1617"/>
      <c r="T1" s="1617"/>
      <c r="U1" s="1617"/>
      <c r="V1" s="1617"/>
      <c r="W1" s="1617"/>
      <c r="X1" s="1617"/>
      <c r="Y1" s="1617"/>
      <c r="Z1" s="1617"/>
      <c r="AA1" s="1617"/>
      <c r="AB1" s="1617"/>
      <c r="AC1" s="1625"/>
    </row>
    <row r="2" spans="1:29" s="393" customFormat="1" ht="28.5" customHeight="1" thickTop="1">
      <c r="A2" s="2979" t="s">
        <v>1388</v>
      </c>
      <c r="B2" s="1415">
        <f>IF(C2="——",ROUND(C49*D3/10000,0),ROUND(C49*D3/10000,0)-D2)</f>
        <v>129211</v>
      </c>
      <c r="C2" s="2980" t="s">
        <v>70</v>
      </c>
      <c r="D2" s="1362" t="e">
        <f ca="1">SUMIF(INDIRECT("'"&amp;F2&amp;"'"&amp;"!A:A"),"承租人权益价值",INDIRECT("'"&amp;F2&amp;"'"&amp;"!c:c"))</f>
        <v>#REF!</v>
      </c>
      <c r="E2" s="2981" t="s">
        <v>2318</v>
      </c>
      <c r="F2" s="2982"/>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978" t="s">
        <v>1389</v>
      </c>
      <c r="B3" s="399">
        <f>IF(C2="——",C49,ROUND(B2*10000/D3,0))</f>
        <v>14502</v>
      </c>
      <c r="C3" s="400" t="s">
        <v>2521</v>
      </c>
      <c r="D3" s="399">
        <f>IF(D1="",'数据-汇总表'!E3,SUMIF('数据-汇总表'!$C19:$C33,D1,'数据-汇总表'!$E19:$E33))</f>
        <v>89098.739999999991</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5">
      <c r="A4" s="401" t="s">
        <v>2522</v>
      </c>
      <c r="B4" s="402"/>
      <c r="C4" s="3294" t="s">
        <v>2523</v>
      </c>
      <c r="D4" s="3295"/>
      <c r="E4" s="3296" t="s">
        <v>2524</v>
      </c>
      <c r="F4" s="3297"/>
      <c r="G4" s="3294" t="s">
        <v>2525</v>
      </c>
      <c r="H4" s="3295"/>
      <c r="I4" s="3294" t="s">
        <v>2526</v>
      </c>
      <c r="J4" s="3295"/>
      <c r="K4" s="2588" t="s">
        <v>2527</v>
      </c>
      <c r="L4" s="1127"/>
      <c r="M4" s="1128"/>
      <c r="N4" s="1128"/>
      <c r="O4" s="1128"/>
      <c r="P4" s="3298" t="s">
        <v>2528</v>
      </c>
      <c r="Q4" s="3299"/>
      <c r="R4" s="3284" t="s">
        <v>2524</v>
      </c>
      <c r="S4" s="3285"/>
      <c r="T4" s="3284" t="s">
        <v>2525</v>
      </c>
      <c r="U4" s="3285"/>
      <c r="V4" s="3306" t="s">
        <v>2526</v>
      </c>
      <c r="W4" s="3306"/>
      <c r="X4" s="2951"/>
      <c r="Y4" s="3284" t="s">
        <v>2528</v>
      </c>
      <c r="Z4" s="3285"/>
      <c r="AA4" s="3279" t="s">
        <v>2524</v>
      </c>
      <c r="AB4" s="3279" t="s">
        <v>2525</v>
      </c>
      <c r="AC4" s="3279" t="s">
        <v>2526</v>
      </c>
    </row>
    <row r="5" spans="1:29" ht="13.9" customHeight="1" thickBot="1">
      <c r="A5" s="404"/>
      <c r="B5" s="405"/>
      <c r="C5" s="3321" t="s">
        <v>2529</v>
      </c>
      <c r="D5" s="3322"/>
      <c r="E5" s="3319" t="s">
        <v>3301</v>
      </c>
      <c r="F5" s="3320"/>
      <c r="G5" s="3325" t="s">
        <v>3302</v>
      </c>
      <c r="H5" s="3322"/>
      <c r="I5" s="3325" t="s">
        <v>3303</v>
      </c>
      <c r="J5" s="3322"/>
      <c r="K5" s="2589"/>
      <c r="L5" s="1127"/>
      <c r="M5" s="1128"/>
      <c r="N5" s="1128"/>
      <c r="O5" s="1128"/>
      <c r="P5" s="3300"/>
      <c r="Q5" s="3301"/>
      <c r="R5" s="3286"/>
      <c r="S5" s="3287"/>
      <c r="T5" s="3286"/>
      <c r="U5" s="3287"/>
      <c r="V5" s="3306"/>
      <c r="W5" s="3306"/>
      <c r="X5" s="2951"/>
      <c r="Y5" s="3286"/>
      <c r="Z5" s="3287"/>
      <c r="AA5" s="3280"/>
      <c r="AB5" s="3280"/>
      <c r="AC5" s="3280"/>
    </row>
    <row r="6" spans="1:29" ht="15.75" hidden="1" thickBot="1">
      <c r="A6" s="406"/>
      <c r="B6" s="407"/>
      <c r="C6" s="3323" t="s">
        <v>2533</v>
      </c>
      <c r="D6" s="3324"/>
      <c r="E6" s="3326" t="s">
        <v>2533</v>
      </c>
      <c r="F6" s="3327"/>
      <c r="G6" s="3323" t="s">
        <v>2533</v>
      </c>
      <c r="H6" s="3324"/>
      <c r="I6" s="3323" t="s">
        <v>2533</v>
      </c>
      <c r="J6" s="3324"/>
      <c r="K6" s="2589" t="s">
        <v>2534</v>
      </c>
      <c r="L6" s="1127"/>
      <c r="M6" s="1128"/>
      <c r="N6" s="1128"/>
      <c r="O6" s="1128"/>
      <c r="P6" s="3302"/>
      <c r="Q6" s="3303"/>
      <c r="R6" s="3286"/>
      <c r="S6" s="3287"/>
      <c r="T6" s="3304"/>
      <c r="U6" s="3305"/>
      <c r="V6" s="3306"/>
      <c r="W6" s="3306"/>
      <c r="X6" s="2951"/>
      <c r="Y6" s="3304"/>
      <c r="Z6" s="3305"/>
      <c r="AA6" s="3281"/>
      <c r="AB6" s="3281"/>
      <c r="AC6" s="3281"/>
    </row>
    <row r="7" spans="1:29" s="117" customFormat="1" ht="15.75" thickBot="1">
      <c r="A7" s="408" t="s">
        <v>2535</v>
      </c>
      <c r="B7" s="409"/>
      <c r="C7" s="410">
        <f>'数据-取费表'!B2</f>
        <v>43951</v>
      </c>
      <c r="D7" s="411">
        <v>100</v>
      </c>
      <c r="E7" s="412">
        <f>C7</f>
        <v>43951</v>
      </c>
      <c r="F7" s="413">
        <f>SUMIF(58:58,YEAR(E7)&amp;"-"&amp;MONTH(E7),59:59)</f>
        <v>100</v>
      </c>
      <c r="G7" s="412">
        <f>E7</f>
        <v>43951</v>
      </c>
      <c r="H7" s="411">
        <f>SUMIF(58:58,YEAR(G7)&amp;"-"&amp;MONTH(G7),59:59)</f>
        <v>100</v>
      </c>
      <c r="I7" s="412">
        <f>E7</f>
        <v>43951</v>
      </c>
      <c r="J7" s="411">
        <f>SUMIF(58:58,YEAR(I7)&amp;"-"&amp;MONTH(I7),59:59)</f>
        <v>100</v>
      </c>
      <c r="K7" s="2590"/>
      <c r="L7" s="1129"/>
      <c r="M7" s="1130"/>
      <c r="N7" s="1130"/>
      <c r="O7" s="1130"/>
      <c r="P7" s="3282" t="s">
        <v>2536</v>
      </c>
      <c r="Q7" s="3307"/>
      <c r="R7" s="770" t="s">
        <v>17</v>
      </c>
      <c r="S7" s="771">
        <f t="shared" ref="S7:S15" si="0">F7</f>
        <v>100</v>
      </c>
      <c r="T7" s="770" t="s">
        <v>17</v>
      </c>
      <c r="U7" s="771">
        <f t="shared" ref="U7:U15" si="1">H7</f>
        <v>100</v>
      </c>
      <c r="V7" s="770" t="s">
        <v>17</v>
      </c>
      <c r="W7" s="771">
        <f t="shared" ref="W7:W15" si="2">J7</f>
        <v>100</v>
      </c>
      <c r="X7" s="772"/>
      <c r="Y7" s="3282" t="s">
        <v>2536</v>
      </c>
      <c r="Z7" s="3283"/>
      <c r="AA7" s="773">
        <f>D7/F7</f>
        <v>1</v>
      </c>
      <c r="AB7" s="773">
        <f>D7/H7</f>
        <v>1</v>
      </c>
      <c r="AC7" s="773">
        <f>D7/J7</f>
        <v>1</v>
      </c>
    </row>
    <row r="8" spans="1:29" s="117" customFormat="1" ht="15.75" thickBot="1">
      <c r="A8" s="408" t="s">
        <v>2537</v>
      </c>
      <c r="B8" s="409"/>
      <c r="C8" s="414" t="s">
        <v>2538</v>
      </c>
      <c r="D8" s="411">
        <v>100</v>
      </c>
      <c r="E8" s="2591" t="s">
        <v>3091</v>
      </c>
      <c r="F8" s="413">
        <f>SUMIF(61:61,E8,62:62)-SUMIF(61:61,C8,62:62)+100</f>
        <v>100</v>
      </c>
      <c r="G8" s="414" t="s">
        <v>3091</v>
      </c>
      <c r="H8" s="411">
        <f>SUMIF(61:61,G8,62:62)-SUMIF(61:61,C8,62:62)+100</f>
        <v>100</v>
      </c>
      <c r="I8" s="414" t="s">
        <v>3091</v>
      </c>
      <c r="J8" s="411">
        <f>SUMIF(61:61,I8,62:62)-SUMIF(61:61,C8,62:62)+100</f>
        <v>100</v>
      </c>
      <c r="K8" s="2590"/>
      <c r="L8" s="1129"/>
      <c r="M8" s="1130"/>
      <c r="N8" s="1130"/>
      <c r="O8" s="1130"/>
      <c r="P8" s="3282" t="s">
        <v>2539</v>
      </c>
      <c r="Q8" s="3283"/>
      <c r="R8" s="770" t="s">
        <v>17</v>
      </c>
      <c r="S8" s="771">
        <f t="shared" si="0"/>
        <v>100</v>
      </c>
      <c r="T8" s="770" t="s">
        <v>17</v>
      </c>
      <c r="U8" s="771">
        <f t="shared" si="1"/>
        <v>100</v>
      </c>
      <c r="V8" s="770" t="s">
        <v>17</v>
      </c>
      <c r="W8" s="771">
        <f t="shared" si="2"/>
        <v>100</v>
      </c>
      <c r="X8" s="772"/>
      <c r="Y8" s="3282" t="s">
        <v>2539</v>
      </c>
      <c r="Z8" s="3283"/>
      <c r="AA8" s="773">
        <f t="shared" ref="AA8:AA19" si="3">D8/F8</f>
        <v>1</v>
      </c>
      <c r="AB8" s="773">
        <f t="shared" ref="AB8:AB19" si="4">D8/H8</f>
        <v>1</v>
      </c>
      <c r="AC8" s="773">
        <f t="shared" ref="AC8:AC19" si="5">D8/J8</f>
        <v>1</v>
      </c>
    </row>
    <row r="9" spans="1:29" s="117" customFormat="1">
      <c r="A9" s="415" t="s">
        <v>2540</v>
      </c>
      <c r="B9" s="71" t="s">
        <v>2541</v>
      </c>
      <c r="C9" s="416" t="s">
        <v>3141</v>
      </c>
      <c r="D9" s="135">
        <v>100</v>
      </c>
      <c r="E9" s="417" t="s">
        <v>3141</v>
      </c>
      <c r="F9" s="418">
        <f>SUMIF(63:63,E9,64:64)-SUMIF(63:63,C9,64:64)+100</f>
        <v>100</v>
      </c>
      <c r="G9" s="419" t="s">
        <v>3141</v>
      </c>
      <c r="H9" s="135">
        <f>SUMIF(63:63,G9,64:64)-SUMIF(63:63,C9,64:64)+100</f>
        <v>100</v>
      </c>
      <c r="I9" s="419" t="s">
        <v>3141</v>
      </c>
      <c r="J9" s="135">
        <f>SUMIF(63:63,I9,64:64)-SUMIF(63:63,C9,64:64)+100</f>
        <v>100</v>
      </c>
      <c r="K9" s="2590"/>
      <c r="L9" s="1129"/>
      <c r="M9" s="1130"/>
      <c r="N9" s="1130"/>
      <c r="O9" s="1130"/>
      <c r="P9" s="3317" t="s">
        <v>2542</v>
      </c>
      <c r="Q9" s="2945" t="str">
        <f t="shared" ref="Q9:Q15" si="6">B9</f>
        <v>用途</v>
      </c>
      <c r="R9" s="770" t="s">
        <v>17</v>
      </c>
      <c r="S9" s="771">
        <f t="shared" si="0"/>
        <v>100</v>
      </c>
      <c r="T9" s="770" t="s">
        <v>17</v>
      </c>
      <c r="U9" s="771">
        <f t="shared" si="1"/>
        <v>100</v>
      </c>
      <c r="V9" s="770" t="s">
        <v>17</v>
      </c>
      <c r="W9" s="771">
        <f t="shared" si="2"/>
        <v>100</v>
      </c>
      <c r="X9" s="772"/>
      <c r="Y9" s="3125" t="s">
        <v>2543</v>
      </c>
      <c r="Z9" s="2947" t="str">
        <f t="shared" ref="Z9:Z15" si="7">Q9</f>
        <v>用途</v>
      </c>
      <c r="AA9" s="773">
        <f t="shared" si="3"/>
        <v>1</v>
      </c>
      <c r="AB9" s="773">
        <f t="shared" si="4"/>
        <v>1</v>
      </c>
      <c r="AC9" s="773">
        <f t="shared" si="5"/>
        <v>1</v>
      </c>
    </row>
    <row r="10" spans="1:29" s="427" customFormat="1" ht="27">
      <c r="A10" s="421"/>
      <c r="B10" s="2948" t="s">
        <v>2544</v>
      </c>
      <c r="C10" s="423" t="s">
        <v>3173</v>
      </c>
      <c r="D10" s="136">
        <v>100</v>
      </c>
      <c r="E10" s="424" t="s">
        <v>3173</v>
      </c>
      <c r="F10" s="425">
        <f>SUMIF(65:65,E10,66:66)-SUMIF(65:65,C10,66:66)+100</f>
        <v>100</v>
      </c>
      <c r="G10" s="423" t="s">
        <v>3173</v>
      </c>
      <c r="H10" s="136">
        <f>SUMIF(65:65,G10,66:66)-SUMIF(65:65,C10,66:66)+100</f>
        <v>100</v>
      </c>
      <c r="I10" s="423" t="s">
        <v>3173</v>
      </c>
      <c r="J10" s="136">
        <f>SUMIF(65:65,I10,66:66)-SUMIF(65:65,C10,66:66)+100</f>
        <v>100</v>
      </c>
      <c r="K10" s="426">
        <v>2</v>
      </c>
      <c r="L10" s="1132"/>
      <c r="M10" s="1133"/>
      <c r="N10" s="1133"/>
      <c r="O10" s="1133"/>
      <c r="P10" s="3317"/>
      <c r="Q10" s="2945" t="str">
        <f t="shared" si="6"/>
        <v>土地使用年限（年）</v>
      </c>
      <c r="R10" s="770" t="s">
        <v>17</v>
      </c>
      <c r="S10" s="771">
        <f t="shared" si="0"/>
        <v>100</v>
      </c>
      <c r="T10" s="770" t="s">
        <v>17</v>
      </c>
      <c r="U10" s="771">
        <f t="shared" si="1"/>
        <v>100</v>
      </c>
      <c r="V10" s="770" t="s">
        <v>17</v>
      </c>
      <c r="W10" s="771">
        <f t="shared" si="2"/>
        <v>100</v>
      </c>
      <c r="X10" s="772"/>
      <c r="Y10" s="3125"/>
      <c r="Z10" s="2947" t="str">
        <f t="shared" si="7"/>
        <v>土地使用年限（年）</v>
      </c>
      <c r="AA10" s="773">
        <f t="shared" si="3"/>
        <v>1</v>
      </c>
      <c r="AB10" s="773">
        <f t="shared" si="4"/>
        <v>1</v>
      </c>
      <c r="AC10" s="773">
        <f t="shared" si="5"/>
        <v>1</v>
      </c>
    </row>
    <row r="11" spans="1:29" ht="15.75" thickBot="1">
      <c r="A11" s="428"/>
      <c r="B11" s="2948" t="s">
        <v>2545</v>
      </c>
      <c r="C11" s="429">
        <v>5.84</v>
      </c>
      <c r="D11" s="136">
        <v>100</v>
      </c>
      <c r="E11" s="430">
        <v>3.57</v>
      </c>
      <c r="F11" s="425">
        <f>LOOKUP(E11,68:68,69:69)-LOOKUP(C11,68:68,69:69)+100</f>
        <v>104</v>
      </c>
      <c r="G11" s="429">
        <v>5.96</v>
      </c>
      <c r="H11" s="136">
        <f>LOOKUP(G11,68:68,69:69)-LOOKUP(C11,68:68,69:69)+100</f>
        <v>100</v>
      </c>
      <c r="I11" s="429">
        <v>3.47</v>
      </c>
      <c r="J11" s="136">
        <f>LOOKUP(I11,68:68,69:69)-LOOKUP(C11,68:68,69:69)+100</f>
        <v>104</v>
      </c>
      <c r="K11" s="426">
        <v>2</v>
      </c>
      <c r="L11" s="1135"/>
      <c r="M11" s="1128"/>
      <c r="N11" s="1128"/>
      <c r="O11" s="1128"/>
      <c r="P11" s="3317"/>
      <c r="Q11" s="2945" t="str">
        <f t="shared" si="6"/>
        <v>容积率</v>
      </c>
      <c r="R11" s="770" t="s">
        <v>17</v>
      </c>
      <c r="S11" s="771">
        <f t="shared" si="0"/>
        <v>104</v>
      </c>
      <c r="T11" s="770" t="s">
        <v>17</v>
      </c>
      <c r="U11" s="771">
        <f t="shared" si="1"/>
        <v>100</v>
      </c>
      <c r="V11" s="770" t="s">
        <v>17</v>
      </c>
      <c r="W11" s="771">
        <f t="shared" si="2"/>
        <v>104</v>
      </c>
      <c r="X11" s="772"/>
      <c r="Y11" s="3125"/>
      <c r="Z11" s="2947" t="str">
        <f t="shared" si="7"/>
        <v>容积率</v>
      </c>
      <c r="AA11" s="773">
        <f t="shared" si="3"/>
        <v>0.96153846153846156</v>
      </c>
      <c r="AB11" s="773">
        <f t="shared" si="4"/>
        <v>1</v>
      </c>
      <c r="AC11" s="773">
        <f t="shared" si="5"/>
        <v>0.96153846153846156</v>
      </c>
    </row>
    <row r="12" spans="1:29" s="117" customFormat="1" ht="15.75" hidden="1" thickBot="1">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29"/>
      <c r="M12" s="1130"/>
      <c r="N12" s="1130"/>
      <c r="O12" s="1130"/>
      <c r="P12" s="3317"/>
      <c r="Q12" s="2945">
        <f t="shared" si="6"/>
        <v>111</v>
      </c>
      <c r="R12" s="770" t="s">
        <v>17</v>
      </c>
      <c r="S12" s="771">
        <f t="shared" si="0"/>
        <v>100</v>
      </c>
      <c r="T12" s="770" t="s">
        <v>17</v>
      </c>
      <c r="U12" s="771">
        <f t="shared" si="1"/>
        <v>100</v>
      </c>
      <c r="V12" s="770" t="s">
        <v>17</v>
      </c>
      <c r="W12" s="771">
        <f t="shared" si="2"/>
        <v>100</v>
      </c>
      <c r="X12" s="772"/>
      <c r="Y12" s="3125"/>
      <c r="Z12" s="2947">
        <f t="shared" si="7"/>
        <v>111</v>
      </c>
      <c r="AA12" s="773">
        <f>D12/F12</f>
        <v>1</v>
      </c>
      <c r="AB12" s="773">
        <f>D12/H12</f>
        <v>1</v>
      </c>
      <c r="AC12" s="773">
        <f>D12/J12</f>
        <v>1</v>
      </c>
    </row>
    <row r="13" spans="1:29" ht="15.75" hidden="1" thickBot="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7"/>
      <c r="M13" s="1128"/>
      <c r="N13" s="1128"/>
      <c r="O13" s="1128"/>
      <c r="P13" s="3317"/>
      <c r="Q13" s="2945">
        <f t="shared" si="6"/>
        <v>111</v>
      </c>
      <c r="R13" s="770" t="s">
        <v>17</v>
      </c>
      <c r="S13" s="771">
        <f t="shared" si="0"/>
        <v>100</v>
      </c>
      <c r="T13" s="770" t="s">
        <v>17</v>
      </c>
      <c r="U13" s="771">
        <f t="shared" si="1"/>
        <v>100</v>
      </c>
      <c r="V13" s="770" t="s">
        <v>17</v>
      </c>
      <c r="W13" s="771">
        <f t="shared" si="2"/>
        <v>100</v>
      </c>
      <c r="X13" s="772"/>
      <c r="Y13" s="3125"/>
      <c r="Z13" s="2947">
        <f t="shared" si="7"/>
        <v>111</v>
      </c>
      <c r="AA13" s="773">
        <f t="shared" si="3"/>
        <v>1</v>
      </c>
      <c r="AB13" s="773">
        <f t="shared" si="4"/>
        <v>1</v>
      </c>
      <c r="AC13" s="773">
        <f t="shared" si="5"/>
        <v>1</v>
      </c>
    </row>
    <row r="14" spans="1:29" ht="15.75" hidden="1"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7"/>
      <c r="M14" s="1128"/>
      <c r="N14" s="1128"/>
      <c r="O14" s="1128"/>
      <c r="P14" s="3317"/>
      <c r="Q14" s="2945">
        <f t="shared" si="6"/>
        <v>111</v>
      </c>
      <c r="R14" s="770" t="s">
        <v>17</v>
      </c>
      <c r="S14" s="771">
        <f t="shared" si="0"/>
        <v>100</v>
      </c>
      <c r="T14" s="770" t="s">
        <v>17</v>
      </c>
      <c r="U14" s="771">
        <f t="shared" si="1"/>
        <v>100</v>
      </c>
      <c r="V14" s="770" t="s">
        <v>17</v>
      </c>
      <c r="W14" s="771">
        <f t="shared" si="2"/>
        <v>100</v>
      </c>
      <c r="X14" s="772"/>
      <c r="Y14" s="3125"/>
      <c r="Z14" s="2947">
        <f t="shared" si="7"/>
        <v>111</v>
      </c>
      <c r="AA14" s="773">
        <f t="shared" si="3"/>
        <v>1</v>
      </c>
      <c r="AB14" s="773">
        <f t="shared" si="4"/>
        <v>1</v>
      </c>
      <c r="AC14" s="773">
        <f t="shared" si="5"/>
        <v>1</v>
      </c>
    </row>
    <row r="15" spans="1:29" ht="15">
      <c r="A15" s="440" t="s">
        <v>2546</v>
      </c>
      <c r="B15" s="69" t="s">
        <v>2084</v>
      </c>
      <c r="C15" s="2595">
        <f>估价对象房地状况!C3</f>
        <v>0</v>
      </c>
      <c r="D15" s="441">
        <v>100</v>
      </c>
      <c r="E15" s="444"/>
      <c r="F15" s="441">
        <f>SUMIF(76:76,E16,77:77)-SUMIF(76:76,C16,77:77)+100</f>
        <v>100</v>
      </c>
      <c r="G15" s="442"/>
      <c r="H15" s="441">
        <f>SUMIF(76:76,G16,77:77)-SUMIF(76:76,C16,77:77)+100</f>
        <v>98</v>
      </c>
      <c r="I15" s="442"/>
      <c r="J15" s="441">
        <f>SUMIF(76:76,I16,77:77)-SUMIF(76:76,C16,77:77)+100</f>
        <v>100</v>
      </c>
      <c r="K15" s="445">
        <v>2</v>
      </c>
      <c r="L15" s="1137"/>
      <c r="M15" s="1128"/>
      <c r="N15" s="1128"/>
      <c r="O15" s="1128"/>
      <c r="P15" s="3334" t="s">
        <v>2547</v>
      </c>
      <c r="Q15" s="2949" t="str">
        <f t="shared" si="6"/>
        <v>居住社区成熟度</v>
      </c>
      <c r="R15" s="774" t="s">
        <v>17</v>
      </c>
      <c r="S15" s="775">
        <f t="shared" si="0"/>
        <v>100</v>
      </c>
      <c r="T15" s="774" t="s">
        <v>17</v>
      </c>
      <c r="U15" s="775">
        <f t="shared" si="1"/>
        <v>98</v>
      </c>
      <c r="V15" s="774" t="s">
        <v>17</v>
      </c>
      <c r="W15" s="775">
        <f t="shared" si="2"/>
        <v>100</v>
      </c>
      <c r="X15" s="2951"/>
      <c r="Y15" s="3308" t="s">
        <v>2547</v>
      </c>
      <c r="Z15" s="2952" t="str">
        <f t="shared" si="7"/>
        <v>居住社区成熟度</v>
      </c>
      <c r="AA15" s="2950">
        <f t="shared" si="3"/>
        <v>1</v>
      </c>
      <c r="AB15" s="2950">
        <f t="shared" si="4"/>
        <v>1.0204081632653061</v>
      </c>
      <c r="AC15" s="2950">
        <f t="shared" si="5"/>
        <v>1</v>
      </c>
    </row>
    <row r="16" spans="1:29" ht="15">
      <c r="A16" s="428"/>
      <c r="B16" s="446"/>
      <c r="C16" s="447" t="s">
        <v>3094</v>
      </c>
      <c r="D16" s="448"/>
      <c r="E16" s="2596" t="s">
        <v>3094</v>
      </c>
      <c r="F16" s="448"/>
      <c r="G16" s="2597" t="s">
        <v>3093</v>
      </c>
      <c r="H16" s="450"/>
      <c r="I16" s="2596" t="s">
        <v>3094</v>
      </c>
      <c r="J16" s="448"/>
      <c r="K16" s="2598"/>
      <c r="L16" s="1137"/>
      <c r="M16" s="1128"/>
      <c r="N16" s="1128"/>
      <c r="O16" s="1128"/>
      <c r="P16" s="3335"/>
      <c r="Q16" s="2949"/>
      <c r="R16" s="774"/>
      <c r="S16" s="775"/>
      <c r="T16" s="774"/>
      <c r="U16" s="775"/>
      <c r="V16" s="774"/>
      <c r="W16" s="775"/>
      <c r="X16" s="2951"/>
      <c r="Y16" s="3309"/>
      <c r="Z16" s="2952"/>
      <c r="AA16" s="2950">
        <v>1</v>
      </c>
      <c r="AB16" s="2950">
        <v>1</v>
      </c>
      <c r="AC16" s="2950">
        <v>1</v>
      </c>
    </row>
    <row r="17" spans="1:29" ht="15">
      <c r="A17" s="428"/>
      <c r="B17" s="451" t="s">
        <v>2090</v>
      </c>
      <c r="C17" s="2599">
        <f>估价对象房地状况!C6</f>
        <v>0</v>
      </c>
      <c r="D17" s="450">
        <v>100</v>
      </c>
      <c r="E17" s="454"/>
      <c r="F17" s="450">
        <f>SUMIF(78:78,E18,79:79)-SUMIF(78:78,C18,79:79)+100</f>
        <v>98</v>
      </c>
      <c r="G17" s="452"/>
      <c r="H17" s="455">
        <f>SUMIF(78:78,G18,79:79)-SUMIF(78:78,C18,79:79)+100</f>
        <v>98</v>
      </c>
      <c r="I17" s="454"/>
      <c r="J17" s="455">
        <f>SUMIF(78:78,I18,79:79)-SUMIF(78:78,C18,79:79)+100</f>
        <v>98</v>
      </c>
      <c r="K17" s="445">
        <v>2</v>
      </c>
      <c r="L17" s="1137"/>
      <c r="M17" s="1128"/>
      <c r="N17" s="1128"/>
      <c r="O17" s="1128"/>
      <c r="P17" s="3335"/>
      <c r="Q17" s="2949" t="str">
        <f>B17</f>
        <v>交通便捷度</v>
      </c>
      <c r="R17" s="774" t="s">
        <v>17</v>
      </c>
      <c r="S17" s="775">
        <f>F17</f>
        <v>98</v>
      </c>
      <c r="T17" s="774" t="s">
        <v>17</v>
      </c>
      <c r="U17" s="775">
        <f>H17</f>
        <v>98</v>
      </c>
      <c r="V17" s="774" t="s">
        <v>17</v>
      </c>
      <c r="W17" s="775">
        <f>J17</f>
        <v>98</v>
      </c>
      <c r="X17" s="2951"/>
      <c r="Y17" s="3309"/>
      <c r="Z17" s="2952" t="str">
        <f>Q17</f>
        <v>交通便捷度</v>
      </c>
      <c r="AA17" s="2950">
        <f t="shared" si="3"/>
        <v>1.0204081632653061</v>
      </c>
      <c r="AB17" s="2950">
        <f t="shared" si="4"/>
        <v>1.0204081632653061</v>
      </c>
      <c r="AC17" s="2950">
        <f t="shared" si="5"/>
        <v>1.0204081632653061</v>
      </c>
    </row>
    <row r="18" spans="1:29" ht="15">
      <c r="A18" s="428"/>
      <c r="B18" s="456"/>
      <c r="C18" s="2600" t="s">
        <v>3094</v>
      </c>
      <c r="D18" s="450"/>
      <c r="E18" s="2601" t="s">
        <v>3093</v>
      </c>
      <c r="F18" s="450"/>
      <c r="G18" s="2602" t="s">
        <v>3093</v>
      </c>
      <c r="H18" s="448"/>
      <c r="I18" s="2601" t="s">
        <v>3093</v>
      </c>
      <c r="J18" s="448"/>
      <c r="K18" s="2598"/>
      <c r="L18" s="1137"/>
      <c r="M18" s="1128"/>
      <c r="N18" s="1128"/>
      <c r="O18" s="1128"/>
      <c r="P18" s="3335"/>
      <c r="Q18" s="2949"/>
      <c r="R18" s="774"/>
      <c r="S18" s="775"/>
      <c r="T18" s="774"/>
      <c r="U18" s="775"/>
      <c r="V18" s="774"/>
      <c r="W18" s="775"/>
      <c r="X18" s="2951"/>
      <c r="Y18" s="3309"/>
      <c r="Z18" s="2952"/>
      <c r="AA18" s="2950">
        <v>1</v>
      </c>
      <c r="AB18" s="2950">
        <v>1</v>
      </c>
      <c r="AC18" s="2950">
        <v>1</v>
      </c>
    </row>
    <row r="19" spans="1:29" ht="15">
      <c r="A19" s="428"/>
      <c r="B19" s="451" t="s">
        <v>2089</v>
      </c>
      <c r="C19" s="2599">
        <f>估价对象房地状况!C7</f>
        <v>0</v>
      </c>
      <c r="D19" s="455">
        <v>100</v>
      </c>
      <c r="E19" s="459"/>
      <c r="F19" s="455">
        <f>SUMIF(80:80,E20,81:81)-SUMIF(80:80,C20,81:81)+100</f>
        <v>100</v>
      </c>
      <c r="G19" s="457"/>
      <c r="H19" s="450">
        <f>SUMIF(80:80,G20,81:81)-SUMIF(80:80,C20,81:81)+100</f>
        <v>100</v>
      </c>
      <c r="I19" s="459"/>
      <c r="J19" s="450">
        <f>SUMIF(80:80,I20,81:81)-SUMIF(80:80,C20,81:81)+100</f>
        <v>98</v>
      </c>
      <c r="K19" s="445">
        <v>2</v>
      </c>
      <c r="L19" s="1137"/>
      <c r="M19" s="1128"/>
      <c r="N19" s="1128"/>
      <c r="O19" s="1128"/>
      <c r="P19" s="3335"/>
      <c r="Q19" s="2949" t="str">
        <f>B19</f>
        <v>公共配套设施</v>
      </c>
      <c r="R19" s="774" t="s">
        <v>17</v>
      </c>
      <c r="S19" s="775">
        <f>F19</f>
        <v>100</v>
      </c>
      <c r="T19" s="774" t="s">
        <v>17</v>
      </c>
      <c r="U19" s="775">
        <f>H19</f>
        <v>100</v>
      </c>
      <c r="V19" s="774" t="s">
        <v>17</v>
      </c>
      <c r="W19" s="775">
        <f>J19</f>
        <v>98</v>
      </c>
      <c r="X19" s="2951"/>
      <c r="Y19" s="3309"/>
      <c r="Z19" s="2952" t="str">
        <f>Q19</f>
        <v>公共配套设施</v>
      </c>
      <c r="AA19" s="2950">
        <f t="shared" si="3"/>
        <v>1</v>
      </c>
      <c r="AB19" s="2950">
        <f t="shared" si="4"/>
        <v>1</v>
      </c>
      <c r="AC19" s="2950">
        <f t="shared" si="5"/>
        <v>1.0204081632653061</v>
      </c>
    </row>
    <row r="20" spans="1:29" ht="15">
      <c r="A20" s="428"/>
      <c r="B20" s="456"/>
      <c r="C20" s="447" t="s">
        <v>3094</v>
      </c>
      <c r="D20" s="448"/>
      <c r="E20" s="2596" t="s">
        <v>3094</v>
      </c>
      <c r="F20" s="448"/>
      <c r="G20" s="2597" t="s">
        <v>3094</v>
      </c>
      <c r="H20" s="448"/>
      <c r="I20" s="2596" t="s">
        <v>3093</v>
      </c>
      <c r="J20" s="448"/>
      <c r="K20" s="2598"/>
      <c r="L20" s="1137"/>
      <c r="M20" s="1128"/>
      <c r="N20" s="1128"/>
      <c r="O20" s="1128"/>
      <c r="P20" s="3335"/>
      <c r="Q20" s="2949"/>
      <c r="R20" s="774"/>
      <c r="S20" s="775"/>
      <c r="T20" s="774"/>
      <c r="U20" s="775"/>
      <c r="V20" s="774"/>
      <c r="W20" s="775"/>
      <c r="X20" s="2951"/>
      <c r="Y20" s="3309"/>
      <c r="Z20" s="2952"/>
      <c r="AA20" s="2950">
        <v>1</v>
      </c>
      <c r="AB20" s="2950">
        <v>1</v>
      </c>
      <c r="AC20" s="2950">
        <v>1</v>
      </c>
    </row>
    <row r="21" spans="1:29" ht="15">
      <c r="A21" s="428"/>
      <c r="B21" s="1381" t="s">
        <v>2091</v>
      </c>
      <c r="C21" s="2599">
        <f>估价对象房地状况!C8</f>
        <v>0</v>
      </c>
      <c r="D21" s="450">
        <v>100</v>
      </c>
      <c r="E21" s="459"/>
      <c r="F21" s="455">
        <f>SUMIF(82:82,E22,83:83)-SUMIF(82:82,C22,83:83)+100</f>
        <v>100</v>
      </c>
      <c r="G21" s="457"/>
      <c r="H21" s="450">
        <f>SUMIF(82:82,G22,83:83)-SUMIF(82:82,C22,83:83)+100</f>
        <v>100</v>
      </c>
      <c r="I21" s="459"/>
      <c r="J21" s="450">
        <f>SUMIF(82:82,I22,83:83)-SUMIF(82:82,C22,83:83)+100</f>
        <v>100</v>
      </c>
      <c r="K21" s="445">
        <v>2</v>
      </c>
      <c r="L21" s="1137"/>
      <c r="M21" s="1128"/>
      <c r="N21" s="1128"/>
      <c r="O21" s="1128"/>
      <c r="P21" s="3335"/>
      <c r="Q21" s="2949" t="str">
        <f>B21</f>
        <v>基础设施水平</v>
      </c>
      <c r="R21" s="774" t="s">
        <v>17</v>
      </c>
      <c r="S21" s="775">
        <f>F21</f>
        <v>100</v>
      </c>
      <c r="T21" s="774" t="s">
        <v>17</v>
      </c>
      <c r="U21" s="775">
        <f>H21</f>
        <v>100</v>
      </c>
      <c r="V21" s="774" t="s">
        <v>17</v>
      </c>
      <c r="W21" s="775">
        <f>J21</f>
        <v>100</v>
      </c>
      <c r="X21" s="2951"/>
      <c r="Y21" s="3309"/>
      <c r="Z21" s="2952" t="str">
        <f>Q21</f>
        <v>基础设施水平</v>
      </c>
      <c r="AA21" s="2950">
        <f t="shared" ref="AA21" si="8">D21/F21</f>
        <v>1</v>
      </c>
      <c r="AB21" s="2950">
        <f t="shared" ref="AB21" si="9">D21/H21</f>
        <v>1</v>
      </c>
      <c r="AC21" s="2950">
        <f t="shared" ref="AC21" si="10">D21/J21</f>
        <v>1</v>
      </c>
    </row>
    <row r="22" spans="1:29" ht="15">
      <c r="A22" s="428"/>
      <c r="B22" s="1381"/>
      <c r="C22" s="2600" t="s">
        <v>3095</v>
      </c>
      <c r="D22" s="448"/>
      <c r="E22" s="447" t="s">
        <v>3095</v>
      </c>
      <c r="F22" s="448"/>
      <c r="G22" s="2603" t="s">
        <v>3095</v>
      </c>
      <c r="H22" s="448"/>
      <c r="I22" s="447" t="s">
        <v>3095</v>
      </c>
      <c r="J22" s="448"/>
      <c r="K22" s="2604"/>
      <c r="L22" s="1137"/>
      <c r="M22" s="1128"/>
      <c r="N22" s="1128"/>
      <c r="O22" s="1128"/>
      <c r="P22" s="3335"/>
      <c r="Q22" s="2949"/>
      <c r="R22" s="774"/>
      <c r="S22" s="775"/>
      <c r="T22" s="774"/>
      <c r="U22" s="775"/>
      <c r="V22" s="774"/>
      <c r="W22" s="775"/>
      <c r="X22" s="2951"/>
      <c r="Y22" s="3309"/>
      <c r="Z22" s="2952"/>
      <c r="AA22" s="2950">
        <v>1</v>
      </c>
      <c r="AB22" s="2950">
        <v>1</v>
      </c>
      <c r="AC22" s="2950">
        <v>1</v>
      </c>
    </row>
    <row r="23" spans="1:29" ht="15">
      <c r="A23" s="428"/>
      <c r="B23" s="451" t="s">
        <v>2093</v>
      </c>
      <c r="C23" s="2599">
        <f>估价对象房地状况!C9</f>
        <v>0</v>
      </c>
      <c r="D23" s="450">
        <v>100</v>
      </c>
      <c r="E23" s="454"/>
      <c r="F23" s="450">
        <f>SUMIF(84:84,E24,85:85)-SUMIF(84:84,C24,85:85)+100</f>
        <v>100</v>
      </c>
      <c r="G23" s="452"/>
      <c r="H23" s="450">
        <f>SUMIF(84:84,G24,85:85)-SUMIF(84:84,C24,85:85)+100</f>
        <v>98</v>
      </c>
      <c r="I23" s="454"/>
      <c r="J23" s="450">
        <f>SUMIF(84:84,I24,85:85)-SUMIF(84:84,C24,85:85)+100</f>
        <v>98</v>
      </c>
      <c r="K23" s="445">
        <v>2</v>
      </c>
      <c r="L23" s="1137"/>
      <c r="M23" s="1128"/>
      <c r="N23" s="1128"/>
      <c r="O23" s="1128"/>
      <c r="P23" s="3335"/>
      <c r="Q23" s="2949" t="str">
        <f>B23</f>
        <v>自然及人文环境</v>
      </c>
      <c r="R23" s="774" t="s">
        <v>17</v>
      </c>
      <c r="S23" s="775">
        <f>F23</f>
        <v>100</v>
      </c>
      <c r="T23" s="774" t="s">
        <v>17</v>
      </c>
      <c r="U23" s="775">
        <f>H23</f>
        <v>98</v>
      </c>
      <c r="V23" s="774" t="s">
        <v>17</v>
      </c>
      <c r="W23" s="775">
        <f>J23</f>
        <v>98</v>
      </c>
      <c r="X23" s="2951"/>
      <c r="Y23" s="3309"/>
      <c r="Z23" s="2952" t="str">
        <f>Q23</f>
        <v>自然及人文环境</v>
      </c>
      <c r="AA23" s="2950">
        <f>D23/F23</f>
        <v>1</v>
      </c>
      <c r="AB23" s="2950">
        <f>D23/H23</f>
        <v>1.0204081632653061</v>
      </c>
      <c r="AC23" s="2950">
        <f>D23/J23</f>
        <v>1.0204081632653061</v>
      </c>
    </row>
    <row r="24" spans="1:29" ht="15.75" thickBot="1">
      <c r="A24" s="428"/>
      <c r="B24" s="456"/>
      <c r="C24" s="447" t="s">
        <v>3094</v>
      </c>
      <c r="D24" s="448"/>
      <c r="E24" s="2596" t="s">
        <v>3094</v>
      </c>
      <c r="F24" s="448"/>
      <c r="G24" s="2597" t="s">
        <v>3093</v>
      </c>
      <c r="H24" s="448"/>
      <c r="I24" s="2596" t="s">
        <v>3093</v>
      </c>
      <c r="J24" s="448"/>
      <c r="K24" s="2598"/>
      <c r="L24" s="1137"/>
      <c r="M24" s="1128"/>
      <c r="N24" s="1128"/>
      <c r="O24" s="1128"/>
      <c r="P24" s="3335"/>
      <c r="Q24" s="2949"/>
      <c r="R24" s="774"/>
      <c r="S24" s="775"/>
      <c r="T24" s="774"/>
      <c r="U24" s="775"/>
      <c r="V24" s="774"/>
      <c r="W24" s="775"/>
      <c r="X24" s="2951"/>
      <c r="Y24" s="3309"/>
      <c r="Z24" s="2952"/>
      <c r="AA24" s="2950">
        <v>1</v>
      </c>
      <c r="AB24" s="2950">
        <v>1</v>
      </c>
      <c r="AC24" s="2950">
        <v>1</v>
      </c>
    </row>
    <row r="25" spans="1:29" ht="15.75" hidden="1" thickBot="1">
      <c r="A25" s="428"/>
      <c r="B25" s="2948" t="s">
        <v>2548</v>
      </c>
      <c r="C25" s="460"/>
      <c r="D25" s="435">
        <v>100</v>
      </c>
      <c r="E25" s="2605"/>
      <c r="F25" s="435">
        <f>SUMIF(86:86,E25,87:87)-SUMIF(86:86,C25,87:87)+100</f>
        <v>100</v>
      </c>
      <c r="G25" s="2606"/>
      <c r="H25" s="435">
        <f>SUMIF(86:86,G25,87:87)-SUMIF(86:86,C25,87:87)+100</f>
        <v>100</v>
      </c>
      <c r="I25" s="2606"/>
      <c r="J25" s="435">
        <f>SUMIF(86:86,I25,87:87)-SUMIF(86:86,C25,87:87)+100</f>
        <v>100</v>
      </c>
      <c r="K25" s="426"/>
      <c r="L25" s="1137"/>
      <c r="M25" s="1128"/>
      <c r="N25" s="1128"/>
      <c r="O25" s="1128"/>
      <c r="P25" s="3335"/>
      <c r="Q25" s="2949" t="str">
        <f t="shared" ref="Q25:Q46" si="11">B25</f>
        <v>楼层-1</v>
      </c>
      <c r="R25" s="774" t="s">
        <v>17</v>
      </c>
      <c r="S25" s="775">
        <f t="shared" ref="S25:S46" si="12">F25</f>
        <v>100</v>
      </c>
      <c r="T25" s="774" t="s">
        <v>17</v>
      </c>
      <c r="U25" s="775">
        <f t="shared" ref="U25:U46" si="13">H25</f>
        <v>100</v>
      </c>
      <c r="V25" s="774" t="s">
        <v>17</v>
      </c>
      <c r="W25" s="775">
        <f t="shared" ref="W25:W46" si="14">J25</f>
        <v>100</v>
      </c>
      <c r="X25" s="2951"/>
      <c r="Y25" s="3309"/>
      <c r="Z25" s="2952" t="str">
        <f>Q25</f>
        <v>楼层-1</v>
      </c>
      <c r="AA25" s="2950">
        <f t="shared" ref="AA25:AA46" si="15">D25/F25</f>
        <v>1</v>
      </c>
      <c r="AB25" s="2950">
        <f t="shared" ref="AB25:AB46" si="16">D25/H25</f>
        <v>1</v>
      </c>
      <c r="AC25" s="2950">
        <f t="shared" ref="AC25:AC46" si="17">D25/J25</f>
        <v>1</v>
      </c>
    </row>
    <row r="26" spans="1:29" ht="15.75" hidden="1" thickBot="1">
      <c r="A26" s="428"/>
      <c r="B26" s="2948" t="s">
        <v>2549</v>
      </c>
      <c r="C26" s="460"/>
      <c r="D26" s="435">
        <v>100</v>
      </c>
      <c r="E26" s="2605"/>
      <c r="F26" s="435">
        <f>SUMIF(88:88,E26,89:89)-SUMIF(88:88,C26,89:89)+100</f>
        <v>100</v>
      </c>
      <c r="G26" s="2606"/>
      <c r="H26" s="435">
        <f>SUMIF(88:88,G26,89:89)-SUMIF(88:88,C26,89:89)+100</f>
        <v>100</v>
      </c>
      <c r="I26" s="2606"/>
      <c r="J26" s="435">
        <f>SUMIF(88:88,I26,89:89)-SUMIF(88:88,C26,89:89)+100</f>
        <v>100</v>
      </c>
      <c r="K26" s="426"/>
      <c r="L26" s="1137"/>
      <c r="M26" s="1128"/>
      <c r="N26" s="1128"/>
      <c r="O26" s="1128"/>
      <c r="P26" s="3335"/>
      <c r="Q26" s="2949" t="str">
        <f t="shared" si="11"/>
        <v>朝向</v>
      </c>
      <c r="R26" s="774" t="s">
        <v>17</v>
      </c>
      <c r="S26" s="775">
        <f t="shared" si="12"/>
        <v>100</v>
      </c>
      <c r="T26" s="774" t="s">
        <v>17</v>
      </c>
      <c r="U26" s="775">
        <f t="shared" si="13"/>
        <v>100</v>
      </c>
      <c r="V26" s="774" t="s">
        <v>17</v>
      </c>
      <c r="W26" s="775">
        <f t="shared" si="14"/>
        <v>100</v>
      </c>
      <c r="X26" s="2951"/>
      <c r="Y26" s="3309"/>
      <c r="Z26" s="2952" t="str">
        <f>Q26</f>
        <v>朝向</v>
      </c>
      <c r="AA26" s="2950">
        <f t="shared" si="15"/>
        <v>1</v>
      </c>
      <c r="AB26" s="2950">
        <f t="shared" si="16"/>
        <v>1</v>
      </c>
      <c r="AC26" s="2950">
        <f t="shared" si="17"/>
        <v>1</v>
      </c>
    </row>
    <row r="27" spans="1:29" s="117" customFormat="1" ht="15.75" hidden="1" thickBot="1">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3"/>
      <c r="L27" s="1129"/>
      <c r="M27" s="1130"/>
      <c r="N27" s="1130"/>
      <c r="O27" s="1130"/>
      <c r="P27" s="3335"/>
      <c r="Q27" s="2945">
        <f t="shared" si="11"/>
        <v>111</v>
      </c>
      <c r="R27" s="770" t="s">
        <v>17</v>
      </c>
      <c r="S27" s="771">
        <f t="shared" si="12"/>
        <v>100</v>
      </c>
      <c r="T27" s="770" t="s">
        <v>17</v>
      </c>
      <c r="U27" s="771">
        <f t="shared" si="13"/>
        <v>100</v>
      </c>
      <c r="V27" s="770" t="s">
        <v>17</v>
      </c>
      <c r="W27" s="771">
        <f t="shared" si="14"/>
        <v>100</v>
      </c>
      <c r="X27" s="772"/>
      <c r="Y27" s="3309"/>
      <c r="Z27" s="2947">
        <f>Q27</f>
        <v>111</v>
      </c>
      <c r="AA27" s="2950">
        <f t="shared" si="15"/>
        <v>1</v>
      </c>
      <c r="AB27" s="2950">
        <f t="shared" si="16"/>
        <v>1</v>
      </c>
      <c r="AC27" s="2950">
        <f t="shared" si="17"/>
        <v>1</v>
      </c>
    </row>
    <row r="28" spans="1:29" ht="15.75" hidden="1" thickBot="1">
      <c r="A28" s="428"/>
      <c r="B28" s="1383">
        <v>111</v>
      </c>
      <c r="C28" s="434"/>
      <c r="D28" s="435">
        <v>100</v>
      </c>
      <c r="E28" s="434"/>
      <c r="F28" s="435">
        <f>SUMIF(92:92,E28,93:93)-SUMIF(92:92,C28,93:93)+100</f>
        <v>100</v>
      </c>
      <c r="G28" s="2607"/>
      <c r="H28" s="435">
        <f>SUMIF(92:92,G28,93:93)-SUMIF(92:92,C28,93:93)+100</f>
        <v>100</v>
      </c>
      <c r="I28" s="434"/>
      <c r="J28" s="435">
        <f>SUMIF(92:92,I28,93:93)-SUMIF(92:92,C28,93:93)+100</f>
        <v>100</v>
      </c>
      <c r="K28" s="2593"/>
      <c r="L28" s="1137"/>
      <c r="M28" s="1128"/>
      <c r="N28" s="1128"/>
      <c r="O28" s="1128"/>
      <c r="P28" s="3335"/>
      <c r="Q28" s="2949">
        <f t="shared" si="11"/>
        <v>111</v>
      </c>
      <c r="R28" s="774" t="s">
        <v>17</v>
      </c>
      <c r="S28" s="775">
        <f t="shared" si="12"/>
        <v>100</v>
      </c>
      <c r="T28" s="774" t="s">
        <v>17</v>
      </c>
      <c r="U28" s="775">
        <f t="shared" si="13"/>
        <v>100</v>
      </c>
      <c r="V28" s="774" t="s">
        <v>17</v>
      </c>
      <c r="W28" s="775">
        <f t="shared" si="14"/>
        <v>100</v>
      </c>
      <c r="X28" s="2951"/>
      <c r="Y28" s="3309"/>
      <c r="Z28" s="2952">
        <f t="shared" ref="Z28:Z46" si="18">Q28</f>
        <v>111</v>
      </c>
      <c r="AA28" s="2950">
        <f t="shared" si="15"/>
        <v>1</v>
      </c>
      <c r="AB28" s="2950">
        <f t="shared" si="16"/>
        <v>1</v>
      </c>
      <c r="AC28" s="2950">
        <f t="shared" si="17"/>
        <v>1</v>
      </c>
    </row>
    <row r="29" spans="1:29" ht="15.75" hidden="1" thickBot="1">
      <c r="A29" s="428"/>
      <c r="B29" s="1383">
        <v>111</v>
      </c>
      <c r="C29" s="434"/>
      <c r="D29" s="435">
        <v>100</v>
      </c>
      <c r="E29" s="434"/>
      <c r="F29" s="435">
        <f>SUMIF(94:94,E29,95:95)-SUMIF(94:94,C29,95:95)+100</f>
        <v>100</v>
      </c>
      <c r="G29" s="2607"/>
      <c r="H29" s="435">
        <f>SUMIF(94:94,G29,95:95)-SUMIF(94:94,C29,95:95)+100</f>
        <v>100</v>
      </c>
      <c r="I29" s="434"/>
      <c r="J29" s="435">
        <f>SUMIF(94:94,I29,95:95)-SUMIF(94:94,C29,95:95)+100</f>
        <v>100</v>
      </c>
      <c r="K29" s="2593"/>
      <c r="L29" s="1137"/>
      <c r="M29" s="1128"/>
      <c r="N29" s="1128"/>
      <c r="O29" s="1128"/>
      <c r="P29" s="3335"/>
      <c r="Q29" s="2949">
        <f t="shared" si="11"/>
        <v>111</v>
      </c>
      <c r="R29" s="774" t="s">
        <v>17</v>
      </c>
      <c r="S29" s="775">
        <f t="shared" si="12"/>
        <v>100</v>
      </c>
      <c r="T29" s="774" t="s">
        <v>17</v>
      </c>
      <c r="U29" s="775">
        <f t="shared" si="13"/>
        <v>100</v>
      </c>
      <c r="V29" s="774" t="s">
        <v>17</v>
      </c>
      <c r="W29" s="775">
        <f t="shared" si="14"/>
        <v>100</v>
      </c>
      <c r="X29" s="2951"/>
      <c r="Y29" s="3309"/>
      <c r="Z29" s="2952">
        <f t="shared" si="18"/>
        <v>111</v>
      </c>
      <c r="AA29" s="2950">
        <f t="shared" si="15"/>
        <v>1</v>
      </c>
      <c r="AB29" s="2950">
        <f t="shared" si="16"/>
        <v>1</v>
      </c>
      <c r="AC29" s="2950">
        <f t="shared" si="17"/>
        <v>1</v>
      </c>
    </row>
    <row r="30" spans="1:29" ht="15.75" hidden="1" thickBot="1">
      <c r="A30" s="428"/>
      <c r="B30" s="1383">
        <v>111</v>
      </c>
      <c r="C30" s="434"/>
      <c r="D30" s="435">
        <v>100</v>
      </c>
      <c r="E30" s="434"/>
      <c r="F30" s="435">
        <f>SUMIF(96:96,E30,97:97)-SUMIF(96:96,C30,97:97)+100</f>
        <v>100</v>
      </c>
      <c r="G30" s="2607"/>
      <c r="H30" s="435">
        <f>SUMIF(96:96,G30,97:97)-SUMIF(96:96,C30,97:97)+100</f>
        <v>100</v>
      </c>
      <c r="I30" s="434"/>
      <c r="J30" s="435">
        <f>SUMIF(96:96,I30,97:97)-SUMIF(96:96,C30,97:97)+100</f>
        <v>100</v>
      </c>
      <c r="K30" s="2593"/>
      <c r="L30" s="1137"/>
      <c r="M30" s="1128"/>
      <c r="N30" s="1128"/>
      <c r="O30" s="1128"/>
      <c r="P30" s="3335"/>
      <c r="Q30" s="2949">
        <f t="shared" si="11"/>
        <v>111</v>
      </c>
      <c r="R30" s="774" t="s">
        <v>17</v>
      </c>
      <c r="S30" s="775">
        <f t="shared" si="12"/>
        <v>100</v>
      </c>
      <c r="T30" s="774" t="s">
        <v>17</v>
      </c>
      <c r="U30" s="775">
        <f t="shared" si="13"/>
        <v>100</v>
      </c>
      <c r="V30" s="774" t="s">
        <v>17</v>
      </c>
      <c r="W30" s="775">
        <f t="shared" si="14"/>
        <v>100</v>
      </c>
      <c r="X30" s="2951"/>
      <c r="Y30" s="3309"/>
      <c r="Z30" s="2952">
        <f t="shared" si="18"/>
        <v>111</v>
      </c>
      <c r="AA30" s="2950">
        <f t="shared" si="15"/>
        <v>1</v>
      </c>
      <c r="AB30" s="2950">
        <f t="shared" si="16"/>
        <v>1</v>
      </c>
      <c r="AC30" s="2950">
        <f t="shared" si="17"/>
        <v>1</v>
      </c>
    </row>
    <row r="31" spans="1:29" ht="15.75" hidden="1" thickBot="1">
      <c r="A31" s="436"/>
      <c r="B31" s="1383">
        <v>111</v>
      </c>
      <c r="C31" s="437"/>
      <c r="D31" s="438">
        <v>100</v>
      </c>
      <c r="E31" s="437"/>
      <c r="F31" s="438">
        <f>SUMIF(98:98,E31,99:99)-SUMIF(98:98,C31,99:99)+100</f>
        <v>100</v>
      </c>
      <c r="G31" s="2608"/>
      <c r="H31" s="438">
        <f>SUMIF(98:98,G31,99:99)-SUMIF(98:98,C31,99:99)+100</f>
        <v>100</v>
      </c>
      <c r="I31" s="437"/>
      <c r="J31" s="438">
        <f>SUMIF(98:98,I31,99:99)-SUMIF(98:98,C31,99:99)+100</f>
        <v>100</v>
      </c>
      <c r="K31" s="2593"/>
      <c r="L31" s="1137"/>
      <c r="M31" s="1128"/>
      <c r="N31" s="1128"/>
      <c r="O31" s="1128"/>
      <c r="P31" s="3335"/>
      <c r="Q31" s="2949">
        <f t="shared" si="11"/>
        <v>111</v>
      </c>
      <c r="R31" s="774" t="s">
        <v>17</v>
      </c>
      <c r="S31" s="775">
        <f t="shared" si="12"/>
        <v>100</v>
      </c>
      <c r="T31" s="774" t="s">
        <v>17</v>
      </c>
      <c r="U31" s="775">
        <f t="shared" si="13"/>
        <v>100</v>
      </c>
      <c r="V31" s="774" t="s">
        <v>17</v>
      </c>
      <c r="W31" s="775">
        <f t="shared" si="14"/>
        <v>100</v>
      </c>
      <c r="X31" s="2951"/>
      <c r="Y31" s="3309"/>
      <c r="Z31" s="2952">
        <f t="shared" si="18"/>
        <v>111</v>
      </c>
      <c r="AA31" s="2950">
        <f t="shared" si="15"/>
        <v>1</v>
      </c>
      <c r="AB31" s="2950">
        <f t="shared" si="16"/>
        <v>1</v>
      </c>
      <c r="AC31" s="2950">
        <f t="shared" si="17"/>
        <v>1</v>
      </c>
    </row>
    <row r="32" spans="1:29" ht="15">
      <c r="A32" s="440" t="s">
        <v>2550</v>
      </c>
      <c r="B32" s="71" t="s">
        <v>2551</v>
      </c>
      <c r="C32" s="2972" t="s">
        <v>3171</v>
      </c>
      <c r="D32" s="467">
        <v>100</v>
      </c>
      <c r="E32" s="2610" t="s">
        <v>3170</v>
      </c>
      <c r="F32" s="461">
        <f>SUMIF(100:100,E32,101:101)-SUMIF(100:100,C32,101:101)+100</f>
        <v>100</v>
      </c>
      <c r="G32" s="2610" t="s">
        <v>3170</v>
      </c>
      <c r="H32" s="467">
        <f>SUMIF(100:100,G32,101:101)-SUMIF(100:100,C32,101:101)+100</f>
        <v>100</v>
      </c>
      <c r="I32" s="2610" t="s">
        <v>3170</v>
      </c>
      <c r="J32" s="435">
        <f>SUMIF(100:100,I32,101:101)-SUMIF(100:100,C32,101:101)+100</f>
        <v>100</v>
      </c>
      <c r="K32" s="426">
        <v>10</v>
      </c>
      <c r="L32" s="1137"/>
      <c r="M32" s="1128"/>
      <c r="N32" s="1128"/>
      <c r="O32" s="1128"/>
      <c r="P32" s="3330" t="s">
        <v>2552</v>
      </c>
      <c r="Q32" s="2949" t="str">
        <f t="shared" si="11"/>
        <v>建筑类型</v>
      </c>
      <c r="R32" s="774" t="s">
        <v>17</v>
      </c>
      <c r="S32" s="775">
        <f t="shared" si="12"/>
        <v>100</v>
      </c>
      <c r="T32" s="774" t="s">
        <v>17</v>
      </c>
      <c r="U32" s="775">
        <f t="shared" si="13"/>
        <v>100</v>
      </c>
      <c r="V32" s="774" t="s">
        <v>17</v>
      </c>
      <c r="W32" s="775">
        <f t="shared" si="14"/>
        <v>100</v>
      </c>
      <c r="X32" s="2951"/>
      <c r="Y32" s="3311" t="s">
        <v>2552</v>
      </c>
      <c r="Z32" s="2952" t="str">
        <f t="shared" si="18"/>
        <v>建筑类型</v>
      </c>
      <c r="AA32" s="2950">
        <f t="shared" si="15"/>
        <v>1</v>
      </c>
      <c r="AB32" s="2950">
        <f t="shared" si="16"/>
        <v>1</v>
      </c>
      <c r="AC32" s="2950">
        <f t="shared" si="17"/>
        <v>1</v>
      </c>
    </row>
    <row r="33" spans="1:29" s="471" customFormat="1" ht="15">
      <c r="A33" s="468"/>
      <c r="B33" s="2948" t="s">
        <v>2553</v>
      </c>
      <c r="C33" s="469">
        <v>504820.77</v>
      </c>
      <c r="D33" s="136">
        <v>100</v>
      </c>
      <c r="E33" s="430">
        <v>31972</v>
      </c>
      <c r="F33" s="425">
        <f>LOOKUP(E33,103:103,104:104)-LOOKUP(C33,103:103,104:104)+100</f>
        <v>96</v>
      </c>
      <c r="G33" s="429">
        <v>316000</v>
      </c>
      <c r="H33" s="136">
        <f>LOOKUP(G33,103:103,104:104)-LOOKUP(C33,103:103,104:104)+100</f>
        <v>99</v>
      </c>
      <c r="I33" s="429">
        <v>2200000</v>
      </c>
      <c r="J33" s="136">
        <f>LOOKUP(I33,103:103,104:104)-LOOKUP(C33,103:103,104:104)+100</f>
        <v>101</v>
      </c>
      <c r="K33" s="2593"/>
      <c r="L33" s="1135"/>
      <c r="M33" s="1138"/>
      <c r="N33" s="1138"/>
      <c r="O33" s="1138"/>
      <c r="P33" s="3331"/>
      <c r="Q33" s="776" t="str">
        <f t="shared" si="11"/>
        <v>项目建筑规模</v>
      </c>
      <c r="R33" s="777" t="s">
        <v>17</v>
      </c>
      <c r="S33" s="778">
        <f t="shared" si="12"/>
        <v>96</v>
      </c>
      <c r="T33" s="777" t="s">
        <v>17</v>
      </c>
      <c r="U33" s="778">
        <f t="shared" si="13"/>
        <v>99</v>
      </c>
      <c r="V33" s="777" t="s">
        <v>17</v>
      </c>
      <c r="W33" s="778">
        <f t="shared" si="14"/>
        <v>101</v>
      </c>
      <c r="X33" s="779"/>
      <c r="Y33" s="3311"/>
      <c r="Z33" s="780" t="str">
        <f t="shared" si="18"/>
        <v>项目建筑规模</v>
      </c>
      <c r="AA33" s="2950">
        <f t="shared" si="15"/>
        <v>1.0416666666666667</v>
      </c>
      <c r="AB33" s="2950">
        <f t="shared" si="16"/>
        <v>1.0101010101010102</v>
      </c>
      <c r="AC33" s="2950">
        <f t="shared" si="17"/>
        <v>0.99009900990099009</v>
      </c>
    </row>
    <row r="34" spans="1:29" ht="15">
      <c r="A34" s="472"/>
      <c r="B34" s="2948" t="s">
        <v>2554</v>
      </c>
      <c r="C34" s="2611" t="s">
        <v>3066</v>
      </c>
      <c r="D34" s="435">
        <v>100</v>
      </c>
      <c r="E34" s="2612" t="s">
        <v>3066</v>
      </c>
      <c r="F34" s="461">
        <f>SUMIF(105:105,E34,106:106)-SUMIF(105:105,C34,106:106)+100</f>
        <v>100</v>
      </c>
      <c r="G34" s="2611" t="s">
        <v>3066</v>
      </c>
      <c r="H34" s="435">
        <f>SUMIF(105:105,G34,106:106)-SUMIF(105:105,C34,106:106)+100</f>
        <v>100</v>
      </c>
      <c r="I34" s="2611" t="s">
        <v>3066</v>
      </c>
      <c r="J34" s="435">
        <f>SUMIF(105:105,I34,106:106)-SUMIF(105:105,C34,106:106)+100</f>
        <v>100</v>
      </c>
      <c r="K34" s="426">
        <v>5</v>
      </c>
      <c r="L34" s="1137"/>
      <c r="M34" s="1128"/>
      <c r="N34" s="1128"/>
      <c r="O34" s="1128"/>
      <c r="P34" s="3331"/>
      <c r="Q34" s="2949" t="str">
        <f t="shared" si="11"/>
        <v>建筑结构</v>
      </c>
      <c r="R34" s="774" t="s">
        <v>17</v>
      </c>
      <c r="S34" s="775">
        <f t="shared" si="12"/>
        <v>100</v>
      </c>
      <c r="T34" s="774" t="s">
        <v>17</v>
      </c>
      <c r="U34" s="775">
        <f t="shared" si="13"/>
        <v>100</v>
      </c>
      <c r="V34" s="774" t="s">
        <v>17</v>
      </c>
      <c r="W34" s="775">
        <f t="shared" si="14"/>
        <v>100</v>
      </c>
      <c r="X34" s="2951"/>
      <c r="Y34" s="3311"/>
      <c r="Z34" s="2952" t="str">
        <f t="shared" si="18"/>
        <v>建筑结构</v>
      </c>
      <c r="AA34" s="2950">
        <f t="shared" si="15"/>
        <v>1</v>
      </c>
      <c r="AB34" s="2950">
        <f t="shared" si="16"/>
        <v>1</v>
      </c>
      <c r="AC34" s="2950">
        <f t="shared" si="17"/>
        <v>1</v>
      </c>
    </row>
    <row r="35" spans="1:29" ht="15">
      <c r="A35" s="472"/>
      <c r="B35" s="2948" t="s">
        <v>2555</v>
      </c>
      <c r="C35" s="2605" t="s">
        <v>3153</v>
      </c>
      <c r="D35" s="435">
        <v>100</v>
      </c>
      <c r="E35" s="2606" t="s">
        <v>3153</v>
      </c>
      <c r="F35" s="461">
        <f>SUMIF(107:107,E35,108:108)-SUMIF(107:107,C35,108:108)+100</f>
        <v>100</v>
      </c>
      <c r="G35" s="2605" t="s">
        <v>3153</v>
      </c>
      <c r="H35" s="435">
        <f>SUMIF(107:107,G35,108:108)-SUMIF(107:107,C35,108:108)+100</f>
        <v>100</v>
      </c>
      <c r="I35" s="2605" t="s">
        <v>3153</v>
      </c>
      <c r="J35" s="435">
        <f>SUMIF(107:107,I35,108:108)-SUMIF(107:107,C35,108:108)+100</f>
        <v>100</v>
      </c>
      <c r="K35" s="426">
        <v>2</v>
      </c>
      <c r="L35" s="1137"/>
      <c r="M35" s="1128"/>
      <c r="N35" s="1128"/>
      <c r="O35" s="1128"/>
      <c r="P35" s="3331"/>
      <c r="Q35" s="2949" t="str">
        <f t="shared" si="11"/>
        <v>建筑品质</v>
      </c>
      <c r="R35" s="774" t="s">
        <v>17</v>
      </c>
      <c r="S35" s="775">
        <f t="shared" si="12"/>
        <v>100</v>
      </c>
      <c r="T35" s="774" t="s">
        <v>17</v>
      </c>
      <c r="U35" s="775">
        <f t="shared" si="13"/>
        <v>100</v>
      </c>
      <c r="V35" s="774" t="s">
        <v>17</v>
      </c>
      <c r="W35" s="775">
        <f t="shared" si="14"/>
        <v>100</v>
      </c>
      <c r="X35" s="2951"/>
      <c r="Y35" s="3311"/>
      <c r="Z35" s="2952" t="str">
        <f t="shared" si="18"/>
        <v>建筑品质</v>
      </c>
      <c r="AA35" s="2950">
        <f t="shared" si="15"/>
        <v>1</v>
      </c>
      <c r="AB35" s="2950">
        <f t="shared" si="16"/>
        <v>1</v>
      </c>
      <c r="AC35" s="2950">
        <f t="shared" si="17"/>
        <v>1</v>
      </c>
    </row>
    <row r="36" spans="1:29" ht="15">
      <c r="A36" s="472"/>
      <c r="B36" s="2948" t="s">
        <v>2556</v>
      </c>
      <c r="C36" s="2605" t="s">
        <v>3154</v>
      </c>
      <c r="D36" s="435">
        <v>100</v>
      </c>
      <c r="E36" s="2606" t="s">
        <v>3154</v>
      </c>
      <c r="F36" s="461">
        <f>SUMIF(109:109,E36,110:110)-SUMIF(109:109,C36,110:110)+100</f>
        <v>100</v>
      </c>
      <c r="G36" s="2605" t="s">
        <v>3154</v>
      </c>
      <c r="H36" s="435">
        <f>SUMIF(109:109,G36,110:110)-SUMIF(109:109,C36,110:110)+100</f>
        <v>100</v>
      </c>
      <c r="I36" s="2605" t="s">
        <v>3154</v>
      </c>
      <c r="J36" s="435">
        <f>SUMIF(109:109,I36,110:110)-SUMIF(109:109,C36,110:110)+100</f>
        <v>100</v>
      </c>
      <c r="K36" s="426">
        <v>1</v>
      </c>
      <c r="L36" s="1137"/>
      <c r="M36" s="1128"/>
      <c r="N36" s="1128"/>
      <c r="O36" s="1128"/>
      <c r="P36" s="3331"/>
      <c r="Q36" s="2949" t="str">
        <f t="shared" si="11"/>
        <v>公共部分装修</v>
      </c>
      <c r="R36" s="774" t="s">
        <v>17</v>
      </c>
      <c r="S36" s="775">
        <f t="shared" si="12"/>
        <v>100</v>
      </c>
      <c r="T36" s="774" t="s">
        <v>17</v>
      </c>
      <c r="U36" s="775">
        <f t="shared" si="13"/>
        <v>100</v>
      </c>
      <c r="V36" s="774" t="s">
        <v>17</v>
      </c>
      <c r="W36" s="775">
        <f t="shared" si="14"/>
        <v>100</v>
      </c>
      <c r="X36" s="2951"/>
      <c r="Y36" s="3311"/>
      <c r="Z36" s="2952" t="str">
        <f t="shared" si="18"/>
        <v>公共部分装修</v>
      </c>
      <c r="AA36" s="2950">
        <f t="shared" si="15"/>
        <v>1</v>
      </c>
      <c r="AB36" s="2950">
        <f t="shared" si="16"/>
        <v>1</v>
      </c>
      <c r="AC36" s="2950">
        <f t="shared" si="17"/>
        <v>1</v>
      </c>
    </row>
    <row r="37" spans="1:29" s="117" customFormat="1" ht="15">
      <c r="A37" s="473"/>
      <c r="B37" s="2948" t="s">
        <v>2557</v>
      </c>
      <c r="C37" s="474">
        <v>1</v>
      </c>
      <c r="D37" s="136">
        <v>100</v>
      </c>
      <c r="E37" s="474">
        <v>1</v>
      </c>
      <c r="F37" s="425">
        <f>LOOKUP(E37,112:112,113:113)-LOOKUP(C37,112:112,113:113)+100</f>
        <v>100</v>
      </c>
      <c r="G37" s="476">
        <v>1</v>
      </c>
      <c r="H37" s="136">
        <f>LOOKUP(G37,112:112,113:113)-LOOKUP(C37,112:112,113:113)+100</f>
        <v>100</v>
      </c>
      <c r="I37" s="476">
        <v>1</v>
      </c>
      <c r="J37" s="136">
        <f>LOOKUP(I37,112:112,113:113)-LOOKUP(C37,112:112,113:113)+100</f>
        <v>100</v>
      </c>
      <c r="K37" s="426">
        <v>1</v>
      </c>
      <c r="L37" s="1129"/>
      <c r="M37" s="1130"/>
      <c r="N37" s="1130"/>
      <c r="O37" s="1130"/>
      <c r="P37" s="3331"/>
      <c r="Q37" s="2945" t="str">
        <f t="shared" si="11"/>
        <v>成新度</v>
      </c>
      <c r="R37" s="770" t="s">
        <v>17</v>
      </c>
      <c r="S37" s="771">
        <f t="shared" si="12"/>
        <v>100</v>
      </c>
      <c r="T37" s="770" t="s">
        <v>17</v>
      </c>
      <c r="U37" s="771">
        <f t="shared" si="13"/>
        <v>100</v>
      </c>
      <c r="V37" s="770" t="s">
        <v>17</v>
      </c>
      <c r="W37" s="771">
        <f t="shared" si="14"/>
        <v>100</v>
      </c>
      <c r="X37" s="772"/>
      <c r="Y37" s="3311"/>
      <c r="Z37" s="2947" t="str">
        <f t="shared" si="18"/>
        <v>成新度</v>
      </c>
      <c r="AA37" s="773">
        <f t="shared" si="15"/>
        <v>1</v>
      </c>
      <c r="AB37" s="773">
        <f t="shared" si="16"/>
        <v>1</v>
      </c>
      <c r="AC37" s="773">
        <f t="shared" si="17"/>
        <v>1</v>
      </c>
    </row>
    <row r="38" spans="1:29" ht="15">
      <c r="A38" s="472"/>
      <c r="B38" s="2948" t="s">
        <v>2558</v>
      </c>
      <c r="C38" s="2605" t="s">
        <v>3155</v>
      </c>
      <c r="D38" s="435">
        <v>100</v>
      </c>
      <c r="E38" s="2606" t="s">
        <v>3155</v>
      </c>
      <c r="F38" s="461">
        <f>SUMIF(114:114,E38,115:115)-SUMIF(114:114,C38,115:115)+100</f>
        <v>100</v>
      </c>
      <c r="G38" s="2605" t="s">
        <v>3155</v>
      </c>
      <c r="H38" s="435">
        <f>SUMIF(114:114,G38,115:115)-SUMIF(114:114,C38,115:115)+100</f>
        <v>100</v>
      </c>
      <c r="I38" s="2605" t="s">
        <v>3155</v>
      </c>
      <c r="J38" s="435">
        <f>SUMIF(114:114,I38,115:115)-SUMIF(114:114,C38,115:115)+100</f>
        <v>100</v>
      </c>
      <c r="K38" s="426">
        <v>2</v>
      </c>
      <c r="L38" s="1137"/>
      <c r="M38" s="1128"/>
      <c r="N38" s="1128"/>
      <c r="O38" s="1128"/>
      <c r="P38" s="3331" t="s">
        <v>2552</v>
      </c>
      <c r="Q38" s="2949" t="str">
        <f t="shared" si="11"/>
        <v>物业管理</v>
      </c>
      <c r="R38" s="774" t="s">
        <v>17</v>
      </c>
      <c r="S38" s="775">
        <f t="shared" si="12"/>
        <v>100</v>
      </c>
      <c r="T38" s="774" t="s">
        <v>17</v>
      </c>
      <c r="U38" s="775">
        <f t="shared" si="13"/>
        <v>100</v>
      </c>
      <c r="V38" s="774" t="s">
        <v>17</v>
      </c>
      <c r="W38" s="775">
        <f t="shared" si="14"/>
        <v>100</v>
      </c>
      <c r="X38" s="2951"/>
      <c r="Y38" s="3311" t="s">
        <v>2552</v>
      </c>
      <c r="Z38" s="2952" t="str">
        <f t="shared" si="18"/>
        <v>物业管理</v>
      </c>
      <c r="AA38" s="2950">
        <f t="shared" si="15"/>
        <v>1</v>
      </c>
      <c r="AB38" s="2950">
        <f t="shared" si="16"/>
        <v>1</v>
      </c>
      <c r="AC38" s="2950">
        <f t="shared" si="17"/>
        <v>1</v>
      </c>
    </row>
    <row r="39" spans="1:29" ht="15">
      <c r="A39" s="472"/>
      <c r="B39" s="2948" t="s">
        <v>2559</v>
      </c>
      <c r="C39" s="2605" t="s">
        <v>3095</v>
      </c>
      <c r="D39" s="435">
        <v>100</v>
      </c>
      <c r="E39" s="2606" t="s">
        <v>3095</v>
      </c>
      <c r="F39" s="461">
        <f>SUMIF(116:116,E39,117:117)-SUMIF(116:116,C39,117:117)+100</f>
        <v>100</v>
      </c>
      <c r="G39" s="2605" t="s">
        <v>3095</v>
      </c>
      <c r="H39" s="435">
        <f>SUMIF(116:116,G39,117:117)-SUMIF(116:116,C39,117:117)+100</f>
        <v>100</v>
      </c>
      <c r="I39" s="2605" t="s">
        <v>3095</v>
      </c>
      <c r="J39" s="435">
        <f>SUMIF(116:116,I39,117:117)-SUMIF(116:116,C39,117:117)+100</f>
        <v>100</v>
      </c>
      <c r="K39" s="426">
        <v>1</v>
      </c>
      <c r="L39" s="1137"/>
      <c r="M39" s="1128"/>
      <c r="N39" s="1128"/>
      <c r="O39" s="1128"/>
      <c r="P39" s="3331"/>
      <c r="Q39" s="2949" t="str">
        <f t="shared" si="11"/>
        <v>市政基础设施</v>
      </c>
      <c r="R39" s="774" t="s">
        <v>17</v>
      </c>
      <c r="S39" s="775">
        <f t="shared" si="12"/>
        <v>100</v>
      </c>
      <c r="T39" s="774" t="s">
        <v>17</v>
      </c>
      <c r="U39" s="775">
        <f t="shared" si="13"/>
        <v>100</v>
      </c>
      <c r="V39" s="774" t="s">
        <v>17</v>
      </c>
      <c r="W39" s="775">
        <f t="shared" si="14"/>
        <v>100</v>
      </c>
      <c r="X39" s="2951"/>
      <c r="Y39" s="3311"/>
      <c r="Z39" s="2952" t="str">
        <f t="shared" si="18"/>
        <v>市政基础设施</v>
      </c>
      <c r="AA39" s="2950">
        <f t="shared" si="15"/>
        <v>1</v>
      </c>
      <c r="AB39" s="2950">
        <f t="shared" si="16"/>
        <v>1</v>
      </c>
      <c r="AC39" s="2950">
        <f t="shared" si="17"/>
        <v>1</v>
      </c>
    </row>
    <row r="40" spans="1:29" ht="15">
      <c r="A40" s="472"/>
      <c r="B40" s="2948" t="s">
        <v>2560</v>
      </c>
      <c r="C40" s="2605" t="s">
        <v>3156</v>
      </c>
      <c r="D40" s="435">
        <v>100</v>
      </c>
      <c r="E40" s="2606" t="s">
        <v>3156</v>
      </c>
      <c r="F40" s="461">
        <f>SUMIF(118:118,E40,119:119)-SUMIF(118:118,C40,119:119)+100</f>
        <v>100</v>
      </c>
      <c r="G40" s="2605" t="s">
        <v>3156</v>
      </c>
      <c r="H40" s="435">
        <f>SUMIF(118:118,G40,119:119)-SUMIF(118:118,C40,119:119)+100</f>
        <v>100</v>
      </c>
      <c r="I40" s="2605" t="s">
        <v>3156</v>
      </c>
      <c r="J40" s="435">
        <f>SUMIF(118:118,I40,119:119)-SUMIF(118:118,C40,119:119)+100</f>
        <v>100</v>
      </c>
      <c r="K40" s="426">
        <v>5</v>
      </c>
      <c r="L40" s="1137"/>
      <c r="M40" s="1128"/>
      <c r="N40" s="1128"/>
      <c r="O40" s="1128"/>
      <c r="P40" s="3331"/>
      <c r="Q40" s="2949" t="str">
        <f t="shared" si="11"/>
        <v>房型</v>
      </c>
      <c r="R40" s="774" t="s">
        <v>17</v>
      </c>
      <c r="S40" s="775">
        <f t="shared" si="12"/>
        <v>100</v>
      </c>
      <c r="T40" s="774" t="s">
        <v>17</v>
      </c>
      <c r="U40" s="775">
        <f t="shared" si="13"/>
        <v>100</v>
      </c>
      <c r="V40" s="774" t="s">
        <v>17</v>
      </c>
      <c r="W40" s="775">
        <f t="shared" si="14"/>
        <v>100</v>
      </c>
      <c r="X40" s="2951"/>
      <c r="Y40" s="3311"/>
      <c r="Z40" s="2952" t="str">
        <f t="shared" si="18"/>
        <v>房型</v>
      </c>
      <c r="AA40" s="2950">
        <f t="shared" si="15"/>
        <v>1</v>
      </c>
      <c r="AB40" s="2950">
        <f t="shared" si="16"/>
        <v>1</v>
      </c>
      <c r="AC40" s="2950">
        <f t="shared" si="17"/>
        <v>1</v>
      </c>
    </row>
    <row r="41" spans="1:29" s="471" customFormat="1" ht="28.5" hidden="1">
      <c r="A41" s="468"/>
      <c r="B41" s="2948" t="s">
        <v>2561</v>
      </c>
      <c r="C41" s="469"/>
      <c r="D41" s="136">
        <v>100</v>
      </c>
      <c r="E41" s="430"/>
      <c r="F41" s="425">
        <f>SUMIF(120:120,E41,121:121)-SUMIF(120:120,C41,121:121)+100</f>
        <v>100</v>
      </c>
      <c r="G41" s="429"/>
      <c r="H41" s="136">
        <f>SUMIF(120:120,G41,121:121)-SUMIF(120:120,C41,121:121)+100</f>
        <v>100</v>
      </c>
      <c r="I41" s="429"/>
      <c r="J41" s="435">
        <f>SUMIF(120:120,I41,121:121)-SUMIF(120:120,C41,121:121)+100</f>
        <v>100</v>
      </c>
      <c r="K41" s="2593"/>
      <c r="L41" s="1135"/>
      <c r="M41" s="1138"/>
      <c r="N41" s="1138"/>
      <c r="O41" s="1138"/>
      <c r="P41" s="3331"/>
      <c r="Q41" s="776" t="str">
        <f t="shared" si="11"/>
        <v>单套/主力户型建筑面积</v>
      </c>
      <c r="R41" s="777" t="s">
        <v>17</v>
      </c>
      <c r="S41" s="778">
        <f t="shared" si="12"/>
        <v>100</v>
      </c>
      <c r="T41" s="777" t="s">
        <v>17</v>
      </c>
      <c r="U41" s="778">
        <f t="shared" si="13"/>
        <v>100</v>
      </c>
      <c r="V41" s="777" t="s">
        <v>17</v>
      </c>
      <c r="W41" s="778">
        <f t="shared" si="14"/>
        <v>100</v>
      </c>
      <c r="X41" s="779"/>
      <c r="Y41" s="3311"/>
      <c r="Z41" s="780" t="str">
        <f t="shared" si="18"/>
        <v>单套/主力户型建筑面积</v>
      </c>
      <c r="AA41" s="2950">
        <f t="shared" si="15"/>
        <v>1</v>
      </c>
      <c r="AB41" s="2950">
        <f t="shared" si="16"/>
        <v>1</v>
      </c>
      <c r="AC41" s="2950">
        <f t="shared" si="17"/>
        <v>1</v>
      </c>
    </row>
    <row r="42" spans="1:29" ht="15.75" thickBot="1">
      <c r="A42" s="472"/>
      <c r="B42" s="2948" t="s">
        <v>2562</v>
      </c>
      <c r="C42" s="2605" t="s">
        <v>3157</v>
      </c>
      <c r="D42" s="435">
        <v>100</v>
      </c>
      <c r="E42" s="2606" t="s">
        <v>3157</v>
      </c>
      <c r="F42" s="461">
        <f>SUMIF(122:122,E42,123:123)-SUMIF(122:122,C42,123:123)+100</f>
        <v>100</v>
      </c>
      <c r="G42" s="2605" t="s">
        <v>3157</v>
      </c>
      <c r="H42" s="435">
        <f>SUMIF(122:122,G42,123:123)-SUMIF(122:122,C42,123:123)+100</f>
        <v>100</v>
      </c>
      <c r="I42" s="2605" t="s">
        <v>3157</v>
      </c>
      <c r="J42" s="435">
        <f>SUMIF(122:122,I42,123:123)-SUMIF(122:122,C42,123:123)+100</f>
        <v>100</v>
      </c>
      <c r="K42" s="426">
        <v>2</v>
      </c>
      <c r="L42" s="1137"/>
      <c r="M42" s="1128"/>
      <c r="N42" s="1128"/>
      <c r="O42" s="1128"/>
      <c r="P42" s="3331"/>
      <c r="Q42" s="2949" t="str">
        <f t="shared" si="11"/>
        <v>内部装修</v>
      </c>
      <c r="R42" s="774" t="s">
        <v>17</v>
      </c>
      <c r="S42" s="775">
        <f t="shared" si="12"/>
        <v>100</v>
      </c>
      <c r="T42" s="774" t="s">
        <v>17</v>
      </c>
      <c r="U42" s="775">
        <f t="shared" si="13"/>
        <v>100</v>
      </c>
      <c r="V42" s="774" t="s">
        <v>17</v>
      </c>
      <c r="W42" s="775">
        <f t="shared" si="14"/>
        <v>100</v>
      </c>
      <c r="X42" s="2951"/>
      <c r="Y42" s="3311"/>
      <c r="Z42" s="2952" t="str">
        <f t="shared" si="18"/>
        <v>内部装修</v>
      </c>
      <c r="AA42" s="2950">
        <f t="shared" si="15"/>
        <v>1</v>
      </c>
      <c r="AB42" s="2950">
        <f t="shared" si="16"/>
        <v>1</v>
      </c>
      <c r="AC42" s="2950">
        <f t="shared" si="17"/>
        <v>1</v>
      </c>
    </row>
    <row r="43" spans="1:29" ht="15.75" hidden="1" thickBot="1">
      <c r="A43" s="472"/>
      <c r="B43" s="2948" t="s">
        <v>2563</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37"/>
      <c r="M43" s="1128"/>
      <c r="N43" s="1128"/>
      <c r="O43" s="1128"/>
      <c r="P43" s="3331"/>
      <c r="Q43" s="2949" t="str">
        <f t="shared" si="11"/>
        <v>内部装修维护情况</v>
      </c>
      <c r="R43" s="774" t="s">
        <v>17</v>
      </c>
      <c r="S43" s="775">
        <f t="shared" si="12"/>
        <v>100</v>
      </c>
      <c r="T43" s="774" t="s">
        <v>17</v>
      </c>
      <c r="U43" s="775">
        <f t="shared" si="13"/>
        <v>100</v>
      </c>
      <c r="V43" s="774" t="s">
        <v>17</v>
      </c>
      <c r="W43" s="775">
        <f t="shared" si="14"/>
        <v>100</v>
      </c>
      <c r="X43" s="2951"/>
      <c r="Y43" s="3311"/>
      <c r="Z43" s="2952" t="str">
        <f t="shared" si="18"/>
        <v>内部装修维护情况</v>
      </c>
      <c r="AA43" s="2950">
        <f t="shared" si="15"/>
        <v>1</v>
      </c>
      <c r="AB43" s="2950">
        <f t="shared" si="16"/>
        <v>1</v>
      </c>
      <c r="AC43" s="2950">
        <f t="shared" si="17"/>
        <v>1</v>
      </c>
    </row>
    <row r="44" spans="1:29" s="117" customFormat="1" ht="15.75" hidden="1" thickBot="1">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29"/>
      <c r="M44" s="1130"/>
      <c r="N44" s="1130"/>
      <c r="O44" s="1130"/>
      <c r="P44" s="3331"/>
      <c r="Q44" s="2945">
        <f t="shared" si="11"/>
        <v>111</v>
      </c>
      <c r="R44" s="770" t="s">
        <v>17</v>
      </c>
      <c r="S44" s="771">
        <f t="shared" si="12"/>
        <v>100</v>
      </c>
      <c r="T44" s="770" t="s">
        <v>17</v>
      </c>
      <c r="U44" s="771">
        <f t="shared" si="13"/>
        <v>100</v>
      </c>
      <c r="V44" s="770" t="s">
        <v>17</v>
      </c>
      <c r="W44" s="771">
        <f t="shared" si="14"/>
        <v>100</v>
      </c>
      <c r="X44" s="772"/>
      <c r="Y44" s="3311"/>
      <c r="Z44" s="2947">
        <f t="shared" si="18"/>
        <v>111</v>
      </c>
      <c r="AA44" s="773">
        <f t="shared" si="15"/>
        <v>1</v>
      </c>
      <c r="AB44" s="773">
        <f t="shared" si="16"/>
        <v>1</v>
      </c>
      <c r="AC44" s="773">
        <f t="shared" si="17"/>
        <v>1</v>
      </c>
    </row>
    <row r="45" spans="1:29" ht="15.75" hidden="1" thickBot="1">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7"/>
      <c r="M45" s="1128"/>
      <c r="N45" s="1128"/>
      <c r="O45" s="1128"/>
      <c r="P45" s="3331"/>
      <c r="Q45" s="2949">
        <f t="shared" si="11"/>
        <v>111</v>
      </c>
      <c r="R45" s="774" t="s">
        <v>17</v>
      </c>
      <c r="S45" s="775">
        <f t="shared" si="12"/>
        <v>100</v>
      </c>
      <c r="T45" s="774" t="s">
        <v>17</v>
      </c>
      <c r="U45" s="775">
        <f t="shared" si="13"/>
        <v>100</v>
      </c>
      <c r="V45" s="774" t="s">
        <v>17</v>
      </c>
      <c r="W45" s="775">
        <f t="shared" si="14"/>
        <v>100</v>
      </c>
      <c r="X45" s="2951"/>
      <c r="Y45" s="3311"/>
      <c r="Z45" s="2952">
        <f t="shared" si="18"/>
        <v>111</v>
      </c>
      <c r="AA45" s="2950">
        <f t="shared" si="15"/>
        <v>1</v>
      </c>
      <c r="AB45" s="2950">
        <f t="shared" si="16"/>
        <v>1</v>
      </c>
      <c r="AC45" s="2950">
        <f t="shared" si="17"/>
        <v>1</v>
      </c>
    </row>
    <row r="46" spans="1:29" ht="15.75" hidden="1"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7"/>
      <c r="M46" s="1128"/>
      <c r="N46" s="1128"/>
      <c r="O46" s="1128"/>
      <c r="P46" s="3332"/>
      <c r="Q46" s="2949">
        <f t="shared" si="11"/>
        <v>111</v>
      </c>
      <c r="R46" s="774" t="s">
        <v>20</v>
      </c>
      <c r="S46" s="775">
        <f t="shared" si="12"/>
        <v>100</v>
      </c>
      <c r="T46" s="774" t="s">
        <v>20</v>
      </c>
      <c r="U46" s="775">
        <f t="shared" si="13"/>
        <v>100</v>
      </c>
      <c r="V46" s="774" t="s">
        <v>20</v>
      </c>
      <c r="W46" s="775">
        <f t="shared" si="14"/>
        <v>100</v>
      </c>
      <c r="X46" s="2951"/>
      <c r="Y46" s="3333"/>
      <c r="Z46" s="2952">
        <f t="shared" si="18"/>
        <v>111</v>
      </c>
      <c r="AA46" s="2950">
        <f t="shared" si="15"/>
        <v>1</v>
      </c>
      <c r="AB46" s="2950">
        <f t="shared" si="16"/>
        <v>1</v>
      </c>
      <c r="AC46" s="2950">
        <f t="shared" si="17"/>
        <v>1</v>
      </c>
    </row>
    <row r="47" spans="1:29" ht="15">
      <c r="A47" s="479" t="s">
        <v>2564</v>
      </c>
      <c r="B47" s="480"/>
      <c r="C47" s="1404" t="s">
        <v>1</v>
      </c>
      <c r="D47" s="1405"/>
      <c r="E47" s="1406">
        <v>15000</v>
      </c>
      <c r="F47" s="1407"/>
      <c r="G47" s="1408">
        <v>14000</v>
      </c>
      <c r="H47" s="1409"/>
      <c r="I47" s="1406">
        <v>13000</v>
      </c>
      <c r="J47" s="1409"/>
      <c r="K47" s="2613"/>
      <c r="L47" s="1140"/>
      <c r="M47" s="1141"/>
      <c r="N47" s="1128"/>
      <c r="O47" s="1141"/>
      <c r="P47" s="3293" t="str">
        <f>A47</f>
        <v>成交单价（元/平方米）</v>
      </c>
      <c r="Q47" s="3293"/>
      <c r="R47" s="3329">
        <f>E47</f>
        <v>15000</v>
      </c>
      <c r="S47" s="3329"/>
      <c r="T47" s="3329">
        <f>G47</f>
        <v>14000</v>
      </c>
      <c r="U47" s="3329"/>
      <c r="V47" s="3329">
        <f>I47</f>
        <v>13000</v>
      </c>
      <c r="W47" s="3329"/>
      <c r="X47" s="759"/>
      <c r="Y47" s="781"/>
      <c r="Z47" s="759"/>
      <c r="AA47" s="759"/>
      <c r="AB47" s="759"/>
      <c r="AC47" s="759"/>
    </row>
    <row r="48" spans="1:29" ht="15.75" thickBot="1">
      <c r="A48" s="486" t="s">
        <v>2565</v>
      </c>
      <c r="B48" s="487"/>
      <c r="C48" s="1410">
        <f>R49</f>
        <v>14502</v>
      </c>
      <c r="D48" s="1411"/>
      <c r="E48" s="1412">
        <f>R48</f>
        <v>15331</v>
      </c>
      <c r="F48" s="1412"/>
      <c r="G48" s="1410">
        <f>T48</f>
        <v>15025</v>
      </c>
      <c r="H48" s="1411"/>
      <c r="I48" s="1412">
        <f>V48</f>
        <v>13150</v>
      </c>
      <c r="J48" s="1411"/>
      <c r="K48" s="2614"/>
      <c r="L48" s="1140"/>
      <c r="M48" s="1141"/>
      <c r="N48" s="1141"/>
      <c r="O48" s="1141"/>
      <c r="P48" s="3293" t="str">
        <f>A48</f>
        <v>比较价值（元/平方米）</v>
      </c>
      <c r="Q48" s="3293"/>
      <c r="R48" s="3329">
        <f>IF(F1="售价",ROUND(PRODUCT(R47,AA7:AA46),0),ROUND(PRODUCT(R47,AA7:AA46),1))</f>
        <v>15331</v>
      </c>
      <c r="S48" s="3329"/>
      <c r="T48" s="3329">
        <f>IF(F1="售价",ROUND(PRODUCT(T47,AB7:AB46),0),ROUND(PRODUCT(T47,AB7:AB46),1))</f>
        <v>15025</v>
      </c>
      <c r="U48" s="3329"/>
      <c r="V48" s="3329">
        <f>IF(F1="售价",ROUND(PRODUCT(V47,AC7:AC46),0),ROUND(PRODUCT(V47,AC7:AC46),1))</f>
        <v>13150</v>
      </c>
      <c r="W48" s="3329"/>
      <c r="X48" s="759"/>
      <c r="Y48" s="759"/>
      <c r="Z48" s="759"/>
      <c r="AA48" s="759"/>
      <c r="AB48" s="759"/>
      <c r="AC48" s="759"/>
    </row>
    <row r="49" spans="1:29" ht="15.75" thickBot="1">
      <c r="A49" s="492" t="s">
        <v>2566</v>
      </c>
      <c r="B49" s="493"/>
      <c r="C49" s="1413">
        <f>R49</f>
        <v>14502</v>
      </c>
      <c r="D49" s="1414"/>
      <c r="E49" s="1414"/>
      <c r="F49" s="1414"/>
      <c r="G49" s="1414"/>
      <c r="H49" s="1414"/>
      <c r="I49" s="1414"/>
      <c r="J49" s="1414"/>
      <c r="K49" s="2615"/>
      <c r="L49" s="1140"/>
      <c r="M49" s="1141"/>
      <c r="N49" s="1141"/>
      <c r="O49" s="1141"/>
      <c r="P49" s="3313" t="str">
        <f>A49</f>
        <v>估价对象XX用房的比较价值（楼面单价，元/平方米）</v>
      </c>
      <c r="Q49" s="3314"/>
      <c r="R49" s="3328">
        <f>IF(F1="售价",ROUND(AVERAGE(R48:V48),0),ROUND(AVERAGE(R48:V48),1))</f>
        <v>14502</v>
      </c>
      <c r="S49" s="3328"/>
      <c r="T49" s="3328"/>
      <c r="U49" s="3328"/>
      <c r="V49" s="3328"/>
      <c r="W49" s="3328"/>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2567</v>
      </c>
      <c r="D52" s="498"/>
      <c r="E52" s="499">
        <f>IF(E47&lt;E48,E48/E47-1,E47/E48-1)</f>
        <v>2.2066666666666679E-2</v>
      </c>
      <c r="F52" s="500" t="str">
        <f>IF(OR(E52&gt;=0.3,E52&lt;=-0.3),"超过30%","")</f>
        <v/>
      </c>
      <c r="G52" s="499">
        <f>IF(G47&lt;G48,G48/G47-1,G47/G48-1)</f>
        <v>7.3214285714285676E-2</v>
      </c>
      <c r="H52" s="500" t="str">
        <f>IF(OR(G52&gt;=0.3,G52&lt;=-0.3),"超过30%","")</f>
        <v/>
      </c>
      <c r="I52" s="499">
        <f>IF(I47&lt;I48,I48/I47-1,I47/I48-1)</f>
        <v>1.1538461538461497E-2</v>
      </c>
      <c r="J52" s="500" t="str">
        <f>IF(OR(I52&gt;=0.3,I52&lt;=-0.3),"超过30%","")</f>
        <v/>
      </c>
      <c r="K52" s="1102"/>
      <c r="L52" s="1103"/>
      <c r="M52" s="1141"/>
      <c r="N52" s="1141"/>
      <c r="O52" s="1141"/>
    </row>
    <row r="53" spans="1:29" ht="13.5" customHeight="1">
      <c r="A53" s="1141"/>
      <c r="B53" s="1141"/>
      <c r="C53" s="497" t="s">
        <v>2568</v>
      </c>
      <c r="D53" s="501"/>
      <c r="E53" s="499">
        <f>IF(E48&lt;G48,G48/E48-1,E48/G48-1)</f>
        <v>2.0366056572379332E-2</v>
      </c>
      <c r="F53" s="500" t="str">
        <f>IF(OR(E53&gt;=0.2,E53&lt;=-0.2),"超过20%","")</f>
        <v/>
      </c>
      <c r="G53" s="499">
        <f>IF(G48&lt;I48,I48/G48-1,G48/I48-1)</f>
        <v>0.14258555133079853</v>
      </c>
      <c r="H53" s="500" t="str">
        <f>IF(OR(G53&gt;=0.2,G53&lt;=-0.2),"超过20%","")</f>
        <v/>
      </c>
      <c r="I53" s="499">
        <f>IF(I48&lt;E48,E48/I48-1,I48/E48-1)</f>
        <v>0.16585551330798487</v>
      </c>
      <c r="J53" s="500" t="str">
        <f>IF(OR(I53&gt;=0.2,I53&lt;=-0.2),"超过20%","")</f>
        <v/>
      </c>
      <c r="K53" s="1102"/>
      <c r="L53" s="1103"/>
      <c r="M53" s="1141"/>
      <c r="N53" s="1141"/>
      <c r="O53" s="1141"/>
    </row>
    <row r="54" spans="1:29" s="502" customFormat="1" ht="13.5" customHeight="1">
      <c r="A54" s="1142"/>
      <c r="B54" s="1142"/>
      <c r="C54" s="497" t="s">
        <v>2569</v>
      </c>
      <c r="D54" s="501"/>
      <c r="E54" s="499">
        <f>IF(E47&lt;G47,G47/E47-1,E47/G47-1)</f>
        <v>7.1428571428571397E-2</v>
      </c>
      <c r="F54" s="500" t="str">
        <f>IF(OR(E54&gt;=0.3,E54&lt;=-0.3),"超过30%","")</f>
        <v/>
      </c>
      <c r="G54" s="499">
        <f>IF(G47&lt;I47,I47/G47-1,G47/I47-1)</f>
        <v>7.6923076923076872E-2</v>
      </c>
      <c r="H54" s="500" t="str">
        <f>IF(OR(G54&gt;=0.3,G54&lt;=-0.3),"超过30%","")</f>
        <v/>
      </c>
      <c r="I54" s="499">
        <f>IF(I47&lt;E47,E47/I47-1,I47/E47-1)</f>
        <v>0.15384615384615374</v>
      </c>
      <c r="J54" s="500" t="str">
        <f>IF(OR(I54&gt;=0.3,I54&lt;=-0.3),"超过30%","")</f>
        <v/>
      </c>
      <c r="K54" s="1145"/>
      <c r="L54" s="1146"/>
      <c r="M54" s="1142"/>
      <c r="N54" s="1142"/>
      <c r="O54" s="1142"/>
      <c r="P54" s="2617"/>
    </row>
    <row r="55" spans="1:29" s="502" customFormat="1">
      <c r="A55" s="1142"/>
      <c r="B55" s="1143"/>
      <c r="C55" s="1147"/>
      <c r="D55" s="1142"/>
      <c r="E55" s="1142"/>
      <c r="F55" s="1142"/>
      <c r="G55" s="1142"/>
      <c r="H55" s="1142"/>
      <c r="I55" s="1142"/>
      <c r="J55" s="1142"/>
      <c r="K55" s="1145"/>
      <c r="L55" s="1146"/>
      <c r="M55" s="1142"/>
      <c r="N55" s="1142"/>
      <c r="O55" s="1142"/>
      <c r="P55" s="2617"/>
    </row>
    <row r="56" spans="1:29">
      <c r="A56" s="1141"/>
      <c r="B56" s="1143"/>
      <c r="C56" s="1147"/>
      <c r="D56" s="1141"/>
      <c r="E56" s="1141"/>
      <c r="F56" s="1141"/>
      <c r="G56" s="1141"/>
      <c r="H56" s="1141"/>
      <c r="I56" s="1141"/>
      <c r="J56" s="1141"/>
      <c r="K56" s="1102"/>
      <c r="L56" s="1103"/>
      <c r="M56" s="1141"/>
      <c r="N56" s="1141"/>
      <c r="O56" s="1141"/>
    </row>
    <row r="57" spans="1:29" ht="21.75" thickBot="1">
      <c r="A57" s="763" t="s">
        <v>2570</v>
      </c>
      <c r="B57" s="759"/>
      <c r="C57" s="764"/>
      <c r="D57" s="764"/>
      <c r="E57" s="764"/>
      <c r="F57" s="765"/>
      <c r="G57" s="765"/>
      <c r="H57" s="764"/>
      <c r="I57" s="764"/>
      <c r="J57" s="764"/>
      <c r="K57" s="1157"/>
      <c r="L57" s="1158"/>
      <c r="M57" s="1156"/>
      <c r="N57" s="1156"/>
      <c r="O57" s="1156"/>
      <c r="P57" s="2618"/>
      <c r="Q57" s="504"/>
    </row>
    <row r="58" spans="1:29" s="508" customFormat="1" ht="15">
      <c r="A58" s="505" t="s">
        <v>2571</v>
      </c>
      <c r="B58" s="506"/>
      <c r="C58" s="1573" t="str">
        <f>YEAR(C7)&amp;"-"&amp;MONTH(C7)</f>
        <v>2020-4</v>
      </c>
      <c r="D58" s="1572">
        <f>EDATE(C58,-1)</f>
        <v>43891</v>
      </c>
      <c r="E58" s="1572">
        <f>EDATE(D58,-1)</f>
        <v>43862</v>
      </c>
      <c r="F58" s="1572">
        <f t="shared" ref="F58:O58" si="19">EDATE(E58,-1)</f>
        <v>43831</v>
      </c>
      <c r="G58" s="1572">
        <f t="shared" si="19"/>
        <v>43800</v>
      </c>
      <c r="H58" s="1572">
        <f t="shared" si="19"/>
        <v>43770</v>
      </c>
      <c r="I58" s="1572">
        <f t="shared" si="19"/>
        <v>43739</v>
      </c>
      <c r="J58" s="1572">
        <f t="shared" si="19"/>
        <v>43709</v>
      </c>
      <c r="K58" s="1572">
        <f t="shared" si="19"/>
        <v>43678</v>
      </c>
      <c r="L58" s="1572">
        <f t="shared" si="19"/>
        <v>43647</v>
      </c>
      <c r="M58" s="1572">
        <f t="shared" si="19"/>
        <v>43617</v>
      </c>
      <c r="N58" s="1572">
        <f t="shared" si="19"/>
        <v>43586</v>
      </c>
      <c r="O58" s="1572">
        <f t="shared" si="19"/>
        <v>43556</v>
      </c>
      <c r="P58" s="1567"/>
    </row>
    <row r="59" spans="1:29" s="117" customFormat="1" ht="15">
      <c r="A59" s="509"/>
      <c r="B59" s="2619"/>
      <c r="C59" s="1570">
        <v>100</v>
      </c>
      <c r="D59" s="511"/>
      <c r="E59" s="512"/>
      <c r="F59" s="512"/>
      <c r="G59" s="512"/>
      <c r="H59" s="512"/>
      <c r="I59" s="512"/>
      <c r="J59" s="512"/>
      <c r="K59" s="512"/>
      <c r="L59" s="512"/>
      <c r="M59" s="513"/>
      <c r="N59" s="512"/>
      <c r="O59" s="513"/>
      <c r="P59" s="2620"/>
    </row>
    <row r="60" spans="1:29" s="117" customFormat="1" ht="15.75" thickBot="1">
      <c r="A60" s="515" t="s">
        <v>2572</v>
      </c>
      <c r="B60" s="516"/>
      <c r="C60" s="517"/>
      <c r="D60" s="518"/>
      <c r="E60" s="518"/>
      <c r="F60" s="518"/>
      <c r="G60" s="518"/>
      <c r="H60" s="518"/>
      <c r="I60" s="518"/>
      <c r="J60" s="518"/>
      <c r="K60" s="518"/>
      <c r="L60" s="518"/>
      <c r="M60" s="519"/>
      <c r="N60" s="518"/>
      <c r="O60" s="519"/>
      <c r="P60" s="2620"/>
      <c r="Q60" s="504"/>
    </row>
    <row r="61" spans="1:29" s="117" customFormat="1" ht="15">
      <c r="A61" s="521" t="s">
        <v>2537</v>
      </c>
      <c r="B61" s="510"/>
      <c r="C61" s="522" t="s">
        <v>2574</v>
      </c>
      <c r="D61" s="523"/>
      <c r="E61" s="523"/>
      <c r="F61" s="523"/>
      <c r="G61" s="523"/>
      <c r="H61" s="523"/>
      <c r="I61" s="523"/>
      <c r="J61" s="523"/>
      <c r="K61" s="523"/>
      <c r="L61" s="524"/>
      <c r="M61" s="525"/>
      <c r="N61" s="1148"/>
      <c r="O61" s="1148"/>
      <c r="P61" s="2621"/>
      <c r="Q61" s="504"/>
    </row>
    <row r="62" spans="1:29" s="117" customFormat="1" ht="15.75" thickBot="1">
      <c r="A62" s="521"/>
      <c r="B62" s="510"/>
      <c r="C62" s="511">
        <v>100</v>
      </c>
      <c r="D62" s="512"/>
      <c r="E62" s="512"/>
      <c r="F62" s="512"/>
      <c r="G62" s="512"/>
      <c r="H62" s="512"/>
      <c r="I62" s="512"/>
      <c r="J62" s="512"/>
      <c r="K62" s="512"/>
      <c r="L62" s="512"/>
      <c r="M62" s="514"/>
      <c r="N62" s="1148"/>
      <c r="O62" s="1148"/>
      <c r="P62" s="2620"/>
      <c r="Q62" s="504"/>
    </row>
    <row r="63" spans="1:29">
      <c r="A63" s="527" t="s">
        <v>2575</v>
      </c>
      <c r="B63" s="528" t="s">
        <v>2541</v>
      </c>
      <c r="C63" s="529" t="str">
        <f>C9</f>
        <v>公寓</v>
      </c>
      <c r="D63" s="530"/>
      <c r="E63" s="530"/>
      <c r="F63" s="530"/>
      <c r="G63" s="530"/>
      <c r="H63" s="530"/>
      <c r="I63" s="530"/>
      <c r="J63" s="530"/>
      <c r="K63" s="531"/>
      <c r="L63" s="532"/>
      <c r="M63" s="533"/>
      <c r="N63" s="1149"/>
      <c r="O63" s="1149"/>
      <c r="P63" s="2622"/>
      <c r="Q63" s="504"/>
    </row>
    <row r="64" spans="1:29" ht="15.75" thickBot="1">
      <c r="A64" s="534"/>
      <c r="B64" s="535"/>
      <c r="C64" s="536">
        <v>100</v>
      </c>
      <c r="D64" s="536"/>
      <c r="E64" s="536"/>
      <c r="F64" s="536"/>
      <c r="G64" s="536"/>
      <c r="H64" s="536"/>
      <c r="I64" s="536"/>
      <c r="J64" s="536"/>
      <c r="K64" s="536"/>
      <c r="L64" s="536"/>
      <c r="M64" s="537"/>
      <c r="N64" s="1150"/>
      <c r="O64" s="1150"/>
      <c r="P64" s="2622"/>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49"/>
      <c r="O65" s="1149"/>
      <c r="P65" s="2622"/>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0"/>
      <c r="O66" s="1150"/>
      <c r="P66" s="2622"/>
      <c r="Q66" s="504"/>
    </row>
    <row r="67" spans="1:17" ht="15.75" thickTop="1">
      <c r="A67" s="534"/>
      <c r="B67" s="546" t="s">
        <v>2545</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v>
      </c>
      <c r="J67" s="547" t="str">
        <f t="shared" si="21"/>
        <v>（含）-</v>
      </c>
      <c r="K67" s="547" t="str">
        <f>K68&amp;"（含）"&amp;"-"&amp;L68</f>
        <v>（含）-</v>
      </c>
      <c r="L67" s="547" t="str">
        <f t="shared" si="21"/>
        <v>（含）-</v>
      </c>
      <c r="M67" s="448" t="str">
        <f>M68&amp;"（含）"&amp;"-"&amp;P68</f>
        <v>（含）-</v>
      </c>
      <c r="N67" s="1150"/>
      <c r="O67" s="1150"/>
      <c r="P67" s="2622"/>
      <c r="Q67" s="504"/>
    </row>
    <row r="68" spans="1:17" ht="15">
      <c r="A68" s="534"/>
      <c r="B68" s="548"/>
      <c r="C68" s="549">
        <v>0</v>
      </c>
      <c r="D68" s="549">
        <v>1</v>
      </c>
      <c r="E68" s="549">
        <v>2</v>
      </c>
      <c r="F68" s="549">
        <v>3</v>
      </c>
      <c r="G68" s="549">
        <v>4</v>
      </c>
      <c r="H68" s="549">
        <v>5</v>
      </c>
      <c r="I68" s="549">
        <v>6</v>
      </c>
      <c r="J68" s="549"/>
      <c r="K68" s="550"/>
      <c r="L68" s="551"/>
      <c r="M68" s="552"/>
      <c r="N68" s="1149"/>
      <c r="O68" s="1149"/>
      <c r="P68" s="2622"/>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0"/>
      <c r="O69" s="1150"/>
      <c r="P69" s="2622"/>
      <c r="Q69" s="504"/>
    </row>
    <row r="70" spans="1:17" s="471" customFormat="1" ht="15.75" thickTop="1">
      <c r="A70" s="553"/>
      <c r="B70" s="538">
        <f>B12</f>
        <v>111</v>
      </c>
      <c r="C70" s="554"/>
      <c r="D70" s="554"/>
      <c r="E70" s="554"/>
      <c r="F70" s="554"/>
      <c r="G70" s="554"/>
      <c r="H70" s="555"/>
      <c r="I70" s="555"/>
      <c r="J70" s="555"/>
      <c r="K70" s="555"/>
      <c r="L70" s="556"/>
      <c r="M70" s="557"/>
      <c r="N70" s="1151"/>
      <c r="O70" s="1151"/>
      <c r="P70" s="2623"/>
      <c r="Q70" s="559"/>
    </row>
    <row r="71" spans="1:17" s="471" customFormat="1" ht="15.75" thickBot="1">
      <c r="A71" s="553"/>
      <c r="B71" s="543"/>
      <c r="C71" s="560"/>
      <c r="D71" s="536"/>
      <c r="E71" s="536"/>
      <c r="F71" s="536"/>
      <c r="G71" s="536"/>
      <c r="H71" s="536"/>
      <c r="I71" s="536"/>
      <c r="J71" s="536"/>
      <c r="K71" s="536"/>
      <c r="L71" s="536"/>
      <c r="M71" s="537"/>
      <c r="N71" s="1150"/>
      <c r="O71" s="1150"/>
      <c r="P71" s="2623"/>
      <c r="Q71" s="559"/>
    </row>
    <row r="72" spans="1:17" s="471" customFormat="1" ht="15.75" thickTop="1">
      <c r="A72" s="553"/>
      <c r="B72" s="538">
        <f>B13</f>
        <v>111</v>
      </c>
      <c r="C72" s="554"/>
      <c r="D72" s="554"/>
      <c r="E72" s="554"/>
      <c r="F72" s="554"/>
      <c r="G72" s="554"/>
      <c r="H72" s="555"/>
      <c r="I72" s="555"/>
      <c r="J72" s="555"/>
      <c r="K72" s="555"/>
      <c r="L72" s="556"/>
      <c r="M72" s="557"/>
      <c r="N72" s="1151"/>
      <c r="O72" s="1151"/>
      <c r="P72" s="2624"/>
      <c r="Q72" s="561"/>
    </row>
    <row r="73" spans="1:17" s="471" customFormat="1" ht="15.75" thickBot="1">
      <c r="A73" s="553"/>
      <c r="B73" s="543"/>
      <c r="C73" s="560"/>
      <c r="D73" s="560"/>
      <c r="E73" s="560"/>
      <c r="F73" s="560"/>
      <c r="G73" s="560"/>
      <c r="H73" s="562"/>
      <c r="I73" s="562"/>
      <c r="J73" s="562"/>
      <c r="K73" s="562"/>
      <c r="L73" s="562"/>
      <c r="M73" s="563"/>
      <c r="N73" s="1151"/>
      <c r="O73" s="1151"/>
      <c r="P73" s="2623"/>
      <c r="Q73" s="559"/>
    </row>
    <row r="74" spans="1:17" s="471" customFormat="1" ht="15.75" thickTop="1">
      <c r="A74" s="553"/>
      <c r="B74" s="546">
        <f>B14</f>
        <v>111</v>
      </c>
      <c r="C74" s="554"/>
      <c r="D74" s="554"/>
      <c r="E74" s="554"/>
      <c r="F74" s="554"/>
      <c r="G74" s="523"/>
      <c r="H74" s="564"/>
      <c r="I74" s="564"/>
      <c r="J74" s="564"/>
      <c r="K74" s="564"/>
      <c r="L74" s="565"/>
      <c r="M74" s="566"/>
      <c r="N74" s="1151"/>
      <c r="O74" s="1151"/>
      <c r="P74" s="2625"/>
      <c r="Q74" s="559"/>
    </row>
    <row r="75" spans="1:17" s="471" customFormat="1" ht="15.75" thickBot="1">
      <c r="A75" s="568"/>
      <c r="B75" s="569"/>
      <c r="C75" s="570"/>
      <c r="D75" s="570"/>
      <c r="E75" s="570"/>
      <c r="F75" s="570"/>
      <c r="G75" s="570"/>
      <c r="H75" s="571"/>
      <c r="I75" s="571"/>
      <c r="J75" s="571"/>
      <c r="K75" s="571"/>
      <c r="L75" s="571"/>
      <c r="M75" s="572"/>
      <c r="N75" s="1151"/>
      <c r="O75" s="1151"/>
      <c r="P75" s="2623"/>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49"/>
      <c r="O76" s="1149"/>
      <c r="P76" s="262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0"/>
      <c r="O77" s="1150"/>
      <c r="P77" s="2622"/>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49"/>
      <c r="O78" s="1149"/>
      <c r="P78" s="262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0"/>
      <c r="O79" s="1150"/>
      <c r="P79" s="2622"/>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49"/>
      <c r="O80" s="1149"/>
      <c r="P80" s="262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0"/>
      <c r="O81" s="1150"/>
      <c r="P81" s="2622"/>
      <c r="Q81" s="504"/>
    </row>
    <row r="82" spans="1:17" ht="15.75" thickTop="1">
      <c r="A82" s="534"/>
      <c r="B82" s="546" t="s">
        <v>2091</v>
      </c>
      <c r="C82" s="539" t="s">
        <v>2591</v>
      </c>
      <c r="D82" s="539" t="s">
        <v>2592</v>
      </c>
      <c r="E82" s="539" t="s">
        <v>2593</v>
      </c>
      <c r="F82" s="539" t="s">
        <v>2594</v>
      </c>
      <c r="G82" s="539" t="s">
        <v>2595</v>
      </c>
      <c r="H82" s="539"/>
      <c r="I82" s="539"/>
      <c r="J82" s="539"/>
      <c r="K82" s="539"/>
      <c r="L82" s="539"/>
      <c r="M82" s="1379"/>
      <c r="N82" s="1150"/>
      <c r="O82" s="1150"/>
      <c r="P82" s="2622"/>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0"/>
      <c r="O83" s="1150"/>
      <c r="P83" s="2622"/>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49"/>
      <c r="O84" s="1149"/>
      <c r="P84" s="262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0"/>
      <c r="O85" s="1150"/>
      <c r="P85" s="2622"/>
      <c r="Q85" s="504"/>
    </row>
    <row r="86" spans="1:17" s="117" customFormat="1" ht="15.75" thickTop="1">
      <c r="A86" s="579"/>
      <c r="B86" s="538" t="s">
        <v>2597</v>
      </c>
      <c r="C86" s="554"/>
      <c r="D86" s="554"/>
      <c r="E86" s="554"/>
      <c r="F86" s="554"/>
      <c r="G86" s="554"/>
      <c r="H86" s="554"/>
      <c r="I86" s="554"/>
      <c r="J86" s="554"/>
      <c r="K86" s="554"/>
      <c r="L86" s="580"/>
      <c r="M86" s="581"/>
      <c r="N86" s="1148"/>
      <c r="O86" s="1148"/>
      <c r="P86" s="262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2"/>
      <c r="Q87" s="504"/>
    </row>
    <row r="88" spans="1:17" s="117" customFormat="1" ht="15.75" thickTop="1">
      <c r="A88" s="579"/>
      <c r="B88" s="538" t="s">
        <v>2598</v>
      </c>
      <c r="C88" s="554"/>
      <c r="D88" s="554"/>
      <c r="E88" s="554"/>
      <c r="F88" s="2627"/>
      <c r="G88" s="554"/>
      <c r="H88" s="554"/>
      <c r="I88" s="554"/>
      <c r="J88" s="554"/>
      <c r="K88" s="554"/>
      <c r="L88" s="554"/>
      <c r="M88" s="581"/>
      <c r="N88" s="1148"/>
      <c r="O88" s="1148"/>
      <c r="P88" s="262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2"/>
      <c r="Q89" s="504"/>
    </row>
    <row r="90" spans="1:17" s="471" customFormat="1" ht="15.75" thickTop="1">
      <c r="A90" s="553"/>
      <c r="B90" s="538">
        <f>B27</f>
        <v>111</v>
      </c>
      <c r="C90" s="554"/>
      <c r="D90" s="554"/>
      <c r="E90" s="554"/>
      <c r="F90" s="554"/>
      <c r="G90" s="554"/>
      <c r="H90" s="555"/>
      <c r="I90" s="555"/>
      <c r="J90" s="555"/>
      <c r="K90" s="555"/>
      <c r="L90" s="556"/>
      <c r="M90" s="557"/>
      <c r="N90" s="1151"/>
      <c r="O90" s="1151"/>
      <c r="P90" s="2623"/>
      <c r="Q90" s="559"/>
    </row>
    <row r="91" spans="1:17" s="471" customFormat="1" ht="15.75" thickBot="1">
      <c r="A91" s="553"/>
      <c r="B91" s="543"/>
      <c r="C91" s="560"/>
      <c r="D91" s="560"/>
      <c r="E91" s="560"/>
      <c r="F91" s="560"/>
      <c r="G91" s="560"/>
      <c r="H91" s="562"/>
      <c r="I91" s="562"/>
      <c r="J91" s="562"/>
      <c r="K91" s="562"/>
      <c r="L91" s="562"/>
      <c r="M91" s="563"/>
      <c r="N91" s="1151"/>
      <c r="O91" s="1151"/>
      <c r="P91" s="2623"/>
      <c r="Q91" s="559"/>
    </row>
    <row r="92" spans="1:17" ht="15.75" thickTop="1">
      <c r="A92" s="534"/>
      <c r="B92" s="538">
        <f>B28</f>
        <v>111</v>
      </c>
      <c r="C92" s="554"/>
      <c r="D92" s="554"/>
      <c r="E92" s="554"/>
      <c r="F92" s="554"/>
      <c r="G92" s="583"/>
      <c r="H92" s="583"/>
      <c r="I92" s="583"/>
      <c r="J92" s="583"/>
      <c r="K92" s="584"/>
      <c r="L92" s="585"/>
      <c r="M92" s="586"/>
      <c r="N92" s="1149"/>
      <c r="O92" s="1149"/>
      <c r="P92" s="2622"/>
      <c r="Q92" s="504"/>
    </row>
    <row r="93" spans="1:17" ht="15.75" thickBot="1">
      <c r="A93" s="534"/>
      <c r="B93" s="543"/>
      <c r="C93" s="560"/>
      <c r="D93" s="536"/>
      <c r="E93" s="536"/>
      <c r="F93" s="536"/>
      <c r="G93" s="536"/>
      <c r="H93" s="536"/>
      <c r="I93" s="536"/>
      <c r="J93" s="536"/>
      <c r="K93" s="536"/>
      <c r="L93" s="536"/>
      <c r="M93" s="537"/>
      <c r="N93" s="1150"/>
      <c r="O93" s="1150"/>
      <c r="P93" s="2622"/>
      <c r="Q93" s="504"/>
    </row>
    <row r="94" spans="1:17" ht="15.75" thickTop="1">
      <c r="A94" s="534"/>
      <c r="B94" s="538">
        <f>B29</f>
        <v>111</v>
      </c>
      <c r="C94" s="554"/>
      <c r="D94" s="554"/>
      <c r="E94" s="554"/>
      <c r="F94" s="554"/>
      <c r="G94" s="583"/>
      <c r="H94" s="583"/>
      <c r="I94" s="583"/>
      <c r="J94" s="583"/>
      <c r="K94" s="584"/>
      <c r="L94" s="585"/>
      <c r="M94" s="586"/>
      <c r="N94" s="1149"/>
      <c r="O94" s="1149"/>
      <c r="P94" s="2622"/>
      <c r="Q94" s="504"/>
    </row>
    <row r="95" spans="1:17" ht="15.75" thickBot="1">
      <c r="A95" s="534"/>
      <c r="B95" s="543"/>
      <c r="C95" s="560"/>
      <c r="D95" s="560"/>
      <c r="E95" s="560"/>
      <c r="F95" s="560"/>
      <c r="G95" s="536"/>
      <c r="H95" s="536"/>
      <c r="I95" s="536"/>
      <c r="J95" s="536"/>
      <c r="K95" s="536"/>
      <c r="L95" s="536"/>
      <c r="M95" s="537"/>
      <c r="N95" s="1150"/>
      <c r="O95" s="1150"/>
      <c r="P95" s="2622"/>
      <c r="Q95" s="504"/>
    </row>
    <row r="96" spans="1:17" ht="15.75" thickTop="1">
      <c r="A96" s="534"/>
      <c r="B96" s="538">
        <f>B30</f>
        <v>111</v>
      </c>
      <c r="C96" s="554"/>
      <c r="D96" s="554"/>
      <c r="E96" s="554"/>
      <c r="F96" s="554"/>
      <c r="G96" s="583"/>
      <c r="H96" s="583"/>
      <c r="I96" s="583"/>
      <c r="J96" s="583"/>
      <c r="K96" s="584"/>
      <c r="L96" s="585"/>
      <c r="M96" s="586"/>
      <c r="N96" s="1149"/>
      <c r="O96" s="1149"/>
      <c r="P96" s="2622"/>
      <c r="Q96" s="504"/>
    </row>
    <row r="97" spans="1:17" ht="15.75" thickBot="1">
      <c r="A97" s="534"/>
      <c r="B97" s="543"/>
      <c r="C97" s="570"/>
      <c r="D97" s="570"/>
      <c r="E97" s="570"/>
      <c r="F97" s="570"/>
      <c r="G97" s="536"/>
      <c r="H97" s="536"/>
      <c r="I97" s="536"/>
      <c r="J97" s="536"/>
      <c r="K97" s="536"/>
      <c r="L97" s="536"/>
      <c r="M97" s="537"/>
      <c r="N97" s="1150"/>
      <c r="O97" s="1150"/>
      <c r="P97" s="2622"/>
      <c r="Q97" s="504"/>
    </row>
    <row r="98" spans="1:17" ht="15.75" thickTop="1">
      <c r="A98" s="534"/>
      <c r="B98" s="546">
        <f>B31</f>
        <v>111</v>
      </c>
      <c r="C98" s="587"/>
      <c r="D98" s="587"/>
      <c r="E98" s="587"/>
      <c r="F98" s="587"/>
      <c r="G98" s="587"/>
      <c r="H98" s="587"/>
      <c r="I98" s="587"/>
      <c r="J98" s="587"/>
      <c r="K98" s="588"/>
      <c r="L98" s="589"/>
      <c r="M98" s="590"/>
      <c r="N98" s="1149"/>
      <c r="O98" s="1149"/>
      <c r="P98" s="2622"/>
      <c r="Q98" s="504"/>
    </row>
    <row r="99" spans="1:17" ht="15.75" thickBot="1">
      <c r="A99" s="2628"/>
      <c r="B99" s="569"/>
      <c r="C99" s="591"/>
      <c r="D99" s="591"/>
      <c r="E99" s="591"/>
      <c r="F99" s="591"/>
      <c r="G99" s="591"/>
      <c r="H99" s="591"/>
      <c r="I99" s="591"/>
      <c r="J99" s="591"/>
      <c r="K99" s="591"/>
      <c r="L99" s="591"/>
      <c r="M99" s="592"/>
      <c r="N99" s="1150"/>
      <c r="O99" s="1150"/>
      <c r="P99" s="2622"/>
      <c r="Q99" s="504"/>
    </row>
    <row r="100" spans="1:17">
      <c r="A100" s="527" t="s">
        <v>2550</v>
      </c>
      <c r="B100" s="528" t="s">
        <v>2599</v>
      </c>
      <c r="C100" s="530"/>
      <c r="D100" s="530"/>
      <c r="E100" s="530"/>
      <c r="F100" s="530"/>
      <c r="G100" s="530"/>
      <c r="H100" s="530"/>
      <c r="I100" s="530"/>
      <c r="J100" s="530"/>
      <c r="K100" s="531"/>
      <c r="L100" s="532"/>
      <c r="M100" s="533"/>
      <c r="N100" s="1149"/>
      <c r="O100" s="1149"/>
      <c r="P100" s="2622"/>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0"/>
      <c r="O101" s="1150"/>
      <c r="P101" s="2622"/>
      <c r="Q101" s="504"/>
    </row>
    <row r="102" spans="1:17" ht="29.25" thickTop="1">
      <c r="A102" s="534"/>
      <c r="B102" s="538" t="s">
        <v>2600</v>
      </c>
      <c r="C102" s="578" t="str">
        <f>C103&amp;"(含)"&amp;"-"&amp;D103</f>
        <v>0(含)-50000</v>
      </c>
      <c r="D102" s="578" t="str">
        <f t="shared" ref="D102:L102" si="27">D103&amp;"(含)"&amp;"-"&amp;E103</f>
        <v>50000(含)-100000</v>
      </c>
      <c r="E102" s="578" t="str">
        <f t="shared" si="27"/>
        <v>100000(含)-200000</v>
      </c>
      <c r="F102" s="578" t="str">
        <f t="shared" si="27"/>
        <v>200000(含)-500000</v>
      </c>
      <c r="G102" s="578" t="str">
        <f t="shared" si="27"/>
        <v>500000(含)-1000000</v>
      </c>
      <c r="H102" s="578" t="str">
        <f t="shared" si="27"/>
        <v>1000000(含)-</v>
      </c>
      <c r="I102" s="578" t="str">
        <f t="shared" si="27"/>
        <v>(含)-</v>
      </c>
      <c r="J102" s="578" t="str">
        <f t="shared" si="27"/>
        <v>(含)-</v>
      </c>
      <c r="K102" s="578" t="str">
        <f>K103&amp;"(含)"&amp;"-"&amp;L103</f>
        <v>(含)-</v>
      </c>
      <c r="L102" s="578" t="str">
        <f t="shared" si="27"/>
        <v>(含)-</v>
      </c>
      <c r="M102" s="578" t="str">
        <f>M103&amp;"(含)"&amp;"-"&amp;P103</f>
        <v>(含)-</v>
      </c>
      <c r="N102" s="1148"/>
      <c r="O102" s="1148"/>
      <c r="P102" s="2622"/>
      <c r="Q102" s="504"/>
    </row>
    <row r="103" spans="1:17" s="471" customFormat="1">
      <c r="A103" s="593"/>
      <c r="B103" s="594"/>
      <c r="C103" s="595">
        <v>0</v>
      </c>
      <c r="D103" s="595">
        <v>50000</v>
      </c>
      <c r="E103" s="595">
        <v>100000</v>
      </c>
      <c r="F103" s="595">
        <v>200000</v>
      </c>
      <c r="G103" s="595">
        <v>500000</v>
      </c>
      <c r="H103" s="595">
        <v>1000000</v>
      </c>
      <c r="I103" s="595"/>
      <c r="J103" s="596"/>
      <c r="K103" s="596"/>
      <c r="L103" s="597"/>
      <c r="M103" s="598"/>
      <c r="N103" s="1151"/>
      <c r="O103" s="1151"/>
      <c r="P103" s="2623"/>
      <c r="Q103" s="559"/>
    </row>
    <row r="104" spans="1:17" s="471" customFormat="1" ht="15.75" thickBot="1">
      <c r="A104" s="553"/>
      <c r="B104" s="543"/>
      <c r="C104" s="560">
        <v>100</v>
      </c>
      <c r="D104" s="536">
        <v>101</v>
      </c>
      <c r="E104" s="536">
        <v>102</v>
      </c>
      <c r="F104" s="536">
        <v>103</v>
      </c>
      <c r="G104" s="536">
        <v>104</v>
      </c>
      <c r="H104" s="536">
        <v>105</v>
      </c>
      <c r="I104" s="536"/>
      <c r="J104" s="536"/>
      <c r="K104" s="536"/>
      <c r="L104" s="536"/>
      <c r="M104" s="536"/>
      <c r="N104" s="1150"/>
      <c r="O104" s="1150"/>
      <c r="P104" s="2623"/>
      <c r="Q104" s="559"/>
    </row>
    <row r="105" spans="1:17" ht="15" thickTop="1">
      <c r="A105" s="599"/>
      <c r="B105" s="538" t="s">
        <v>2601</v>
      </c>
      <c r="C105" s="554" t="s">
        <v>3066</v>
      </c>
      <c r="D105" s="554" t="s">
        <v>3158</v>
      </c>
      <c r="E105" s="583"/>
      <c r="F105" s="583"/>
      <c r="G105" s="583"/>
      <c r="H105" s="583"/>
      <c r="I105" s="583"/>
      <c r="J105" s="583"/>
      <c r="K105" s="584"/>
      <c r="L105" s="585"/>
      <c r="M105" s="586"/>
      <c r="N105" s="1149"/>
      <c r="O105" s="1149"/>
      <c r="P105" s="2622"/>
      <c r="Q105" s="504"/>
    </row>
    <row r="106" spans="1:17" ht="15.75" thickBot="1">
      <c r="A106" s="534"/>
      <c r="B106" s="543"/>
      <c r="C106" s="544">
        <v>100</v>
      </c>
      <c r="D106" s="544">
        <f t="shared" ref="D106:M106" si="28">C106-$K34</f>
        <v>95</v>
      </c>
      <c r="E106" s="544">
        <f t="shared" si="28"/>
        <v>90</v>
      </c>
      <c r="F106" s="544">
        <f t="shared" si="28"/>
        <v>85</v>
      </c>
      <c r="G106" s="544">
        <f t="shared" si="28"/>
        <v>80</v>
      </c>
      <c r="H106" s="544">
        <f t="shared" si="28"/>
        <v>75</v>
      </c>
      <c r="I106" s="544">
        <f t="shared" si="28"/>
        <v>70</v>
      </c>
      <c r="J106" s="544">
        <f t="shared" si="28"/>
        <v>65</v>
      </c>
      <c r="K106" s="544">
        <f t="shared" si="28"/>
        <v>60</v>
      </c>
      <c r="L106" s="544">
        <f t="shared" si="28"/>
        <v>55</v>
      </c>
      <c r="M106" s="544">
        <f t="shared" si="28"/>
        <v>50</v>
      </c>
      <c r="N106" s="1150"/>
      <c r="O106" s="1150"/>
      <c r="P106" s="2622"/>
      <c r="Q106" s="504"/>
    </row>
    <row r="107" spans="1:17" ht="15" thickTop="1">
      <c r="A107" s="599"/>
      <c r="B107" s="538" t="s">
        <v>2602</v>
      </c>
      <c r="C107" s="583" t="s">
        <v>3159</v>
      </c>
      <c r="D107" s="583" t="s">
        <v>3153</v>
      </c>
      <c r="E107" s="583"/>
      <c r="F107" s="583"/>
      <c r="G107" s="583"/>
      <c r="H107" s="583"/>
      <c r="I107" s="583"/>
      <c r="J107" s="583"/>
      <c r="K107" s="584"/>
      <c r="L107" s="585"/>
      <c r="M107" s="586"/>
      <c r="N107" s="1149"/>
      <c r="O107" s="1149"/>
      <c r="P107" s="2622"/>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0"/>
      <c r="O108" s="1150"/>
      <c r="P108" s="2622"/>
      <c r="Q108" s="504"/>
    </row>
    <row r="109" spans="1:17" ht="15" thickTop="1">
      <c r="A109" s="599"/>
      <c r="B109" s="538" t="s">
        <v>2603</v>
      </c>
      <c r="C109" s="554" t="s">
        <v>3160</v>
      </c>
      <c r="D109" s="554" t="s">
        <v>3154</v>
      </c>
      <c r="E109" s="554" t="s">
        <v>3161</v>
      </c>
      <c r="F109" s="583" t="s">
        <v>3157</v>
      </c>
      <c r="G109" s="583"/>
      <c r="H109" s="583"/>
      <c r="I109" s="583"/>
      <c r="J109" s="583"/>
      <c r="K109" s="584"/>
      <c r="L109" s="585"/>
      <c r="M109" s="586"/>
      <c r="N109" s="1149"/>
      <c r="O109" s="1149"/>
      <c r="P109" s="2622"/>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0"/>
      <c r="O110" s="1150"/>
      <c r="P110" s="262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3"/>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3"/>
      <c r="Q113" s="559"/>
    </row>
    <row r="114" spans="1:17" ht="15" thickTop="1">
      <c r="A114" s="599"/>
      <c r="B114" s="538" t="s">
        <v>2604</v>
      </c>
      <c r="C114" s="554" t="s">
        <v>3155</v>
      </c>
      <c r="D114" s="554" t="s">
        <v>3162</v>
      </c>
      <c r="E114" s="583"/>
      <c r="F114" s="583"/>
      <c r="G114" s="583"/>
      <c r="H114" s="583"/>
      <c r="I114" s="583"/>
      <c r="J114" s="583"/>
      <c r="K114" s="584"/>
      <c r="L114" s="585"/>
      <c r="M114" s="586"/>
      <c r="N114" s="1149"/>
      <c r="O114" s="1149"/>
      <c r="P114" s="2622"/>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0"/>
      <c r="O115" s="1150"/>
      <c r="P115" s="2622"/>
      <c r="Q115" s="504"/>
    </row>
    <row r="116" spans="1:17" ht="15" thickTop="1">
      <c r="A116" s="599"/>
      <c r="B116" s="538" t="s">
        <v>2605</v>
      </c>
      <c r="C116" s="554" t="s">
        <v>3095</v>
      </c>
      <c r="D116" s="554" t="s">
        <v>3163</v>
      </c>
      <c r="E116" s="554" t="s">
        <v>3164</v>
      </c>
      <c r="F116" s="554" t="s">
        <v>3165</v>
      </c>
      <c r="G116" s="554" t="s">
        <v>3166</v>
      </c>
      <c r="H116" s="583"/>
      <c r="I116" s="583"/>
      <c r="J116" s="583"/>
      <c r="K116" s="584"/>
      <c r="L116" s="585"/>
      <c r="M116" s="586"/>
      <c r="N116" s="1149"/>
      <c r="O116" s="1149"/>
      <c r="P116" s="2622"/>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2"/>
      <c r="Q117" s="504"/>
    </row>
    <row r="118" spans="1:17" ht="15" thickTop="1">
      <c r="A118" s="599"/>
      <c r="B118" s="538" t="s">
        <v>2606</v>
      </c>
      <c r="C118" s="583" t="s">
        <v>3167</v>
      </c>
      <c r="D118" s="583" t="s">
        <v>3156</v>
      </c>
      <c r="E118" s="583"/>
      <c r="F118" s="583"/>
      <c r="G118" s="583"/>
      <c r="H118" s="583"/>
      <c r="I118" s="583"/>
      <c r="J118" s="583"/>
      <c r="K118" s="584"/>
      <c r="L118" s="585"/>
      <c r="M118" s="586"/>
      <c r="N118" s="1149"/>
      <c r="O118" s="1149"/>
      <c r="P118" s="2622"/>
      <c r="Q118" s="504"/>
    </row>
    <row r="119" spans="1:17" ht="15.75"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0"/>
      <c r="O119" s="1150"/>
      <c r="P119" s="2622"/>
      <c r="Q119" s="504"/>
    </row>
    <row r="120" spans="1:17" s="471" customFormat="1" ht="28.5" thickTop="1">
      <c r="A120" s="593"/>
      <c r="B120" s="538" t="s">
        <v>2561</v>
      </c>
      <c r="C120" s="554"/>
      <c r="D120" s="554"/>
      <c r="E120" s="554"/>
      <c r="F120" s="554"/>
      <c r="G120" s="554"/>
      <c r="H120" s="554"/>
      <c r="I120" s="554"/>
      <c r="J120" s="554"/>
      <c r="K120" s="554"/>
      <c r="L120" s="580"/>
      <c r="M120" s="581"/>
      <c r="N120" s="1151"/>
      <c r="O120" s="1151"/>
      <c r="P120" s="2623"/>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3"/>
      <c r="Q121" s="559"/>
    </row>
    <row r="122" spans="1:17" ht="15" thickTop="1">
      <c r="A122" s="599"/>
      <c r="B122" s="538" t="s">
        <v>2607</v>
      </c>
      <c r="C122" s="554" t="s">
        <v>3160</v>
      </c>
      <c r="D122" s="554" t="s">
        <v>3154</v>
      </c>
      <c r="E122" s="554" t="s">
        <v>3161</v>
      </c>
      <c r="F122" s="583" t="s">
        <v>3157</v>
      </c>
      <c r="G122" s="583"/>
      <c r="H122" s="583"/>
      <c r="I122" s="583"/>
      <c r="J122" s="583"/>
      <c r="K122" s="584"/>
      <c r="L122" s="585"/>
      <c r="M122" s="586"/>
      <c r="N122" s="1149"/>
      <c r="O122" s="1149"/>
      <c r="P122" s="2622"/>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0"/>
      <c r="O123" s="1150"/>
      <c r="P123" s="2622"/>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49"/>
      <c r="O124" s="1149"/>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2"/>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3"/>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3"/>
      <c r="Q127" s="559"/>
    </row>
    <row r="128" spans="1:17" ht="15" thickTop="1">
      <c r="A128" s="599"/>
      <c r="B128" s="538">
        <f>B45</f>
        <v>111</v>
      </c>
      <c r="C128" s="554"/>
      <c r="D128" s="554"/>
      <c r="E128" s="554"/>
      <c r="F128" s="554"/>
      <c r="G128" s="583"/>
      <c r="H128" s="583"/>
      <c r="I128" s="583"/>
      <c r="J128" s="583"/>
      <c r="K128" s="584"/>
      <c r="L128" s="585"/>
      <c r="M128" s="586"/>
      <c r="N128" s="1149"/>
      <c r="O128" s="1149"/>
      <c r="P128" s="2622"/>
      <c r="Q128" s="504"/>
    </row>
    <row r="129" spans="1:17" ht="15.75" thickBot="1">
      <c r="A129" s="534"/>
      <c r="B129" s="543"/>
      <c r="C129" s="560"/>
      <c r="D129" s="560"/>
      <c r="E129" s="560"/>
      <c r="F129" s="560"/>
      <c r="G129" s="536"/>
      <c r="H129" s="536"/>
      <c r="I129" s="536"/>
      <c r="J129" s="536"/>
      <c r="K129" s="536"/>
      <c r="L129" s="536"/>
      <c r="M129" s="537"/>
      <c r="N129" s="1150"/>
      <c r="O129" s="1150"/>
      <c r="P129" s="2622"/>
      <c r="Q129" s="504"/>
    </row>
    <row r="130" spans="1:17" ht="15" thickTop="1">
      <c r="A130" s="599"/>
      <c r="B130" s="546">
        <f>B46</f>
        <v>111</v>
      </c>
      <c r="C130" s="554"/>
      <c r="D130" s="554"/>
      <c r="E130" s="554"/>
      <c r="F130" s="554"/>
      <c r="G130" s="587"/>
      <c r="H130" s="587"/>
      <c r="I130" s="587"/>
      <c r="J130" s="587"/>
      <c r="K130" s="523"/>
      <c r="L130" s="524"/>
      <c r="M130" s="590"/>
      <c r="N130" s="1149"/>
      <c r="O130" s="1149"/>
      <c r="P130" s="2622"/>
      <c r="Q130" s="504"/>
    </row>
    <row r="131" spans="1:17" ht="15.75" thickBot="1">
      <c r="A131" s="2628"/>
      <c r="B131" s="569"/>
      <c r="C131" s="570"/>
      <c r="D131" s="570"/>
      <c r="E131" s="570"/>
      <c r="F131" s="570"/>
      <c r="G131" s="591"/>
      <c r="H131" s="591"/>
      <c r="I131" s="591"/>
      <c r="J131" s="591"/>
      <c r="K131" s="591"/>
      <c r="L131" s="591"/>
      <c r="M131" s="592"/>
      <c r="N131" s="1150"/>
      <c r="O131" s="1150"/>
      <c r="P131" s="2622"/>
      <c r="Q131" s="504"/>
    </row>
    <row r="136" spans="1:17" ht="15" thickBot="1">
      <c r="B136" s="2629" t="s">
        <v>2609</v>
      </c>
    </row>
    <row r="137" spans="1:17" ht="15">
      <c r="B137" s="2630" t="s">
        <v>2610</v>
      </c>
      <c r="C137" s="2631"/>
      <c r="D137" s="2631"/>
      <c r="E137" s="2631"/>
      <c r="F137" s="2631"/>
      <c r="G137" s="2632"/>
      <c r="H137" s="2633"/>
      <c r="I137" s="2634" t="s">
        <v>2611</v>
      </c>
      <c r="J137" s="2631"/>
      <c r="K137" s="2635"/>
    </row>
    <row r="138" spans="1:17" ht="15">
      <c r="B138" s="2636"/>
      <c r="C138" s="146" t="s">
        <v>2612</v>
      </c>
      <c r="D138" s="146" t="s">
        <v>2613</v>
      </c>
      <c r="E138" s="2637" t="s">
        <v>2614</v>
      </c>
      <c r="F138" s="2638" t="s">
        <v>2615</v>
      </c>
      <c r="G138" s="146" t="s">
        <v>2613</v>
      </c>
      <c r="H138" s="147" t="s">
        <v>2614</v>
      </c>
      <c r="I138" s="2639"/>
      <c r="J138" s="146" t="s">
        <v>2616</v>
      </c>
      <c r="K138" s="147" t="s">
        <v>2617</v>
      </c>
    </row>
    <row r="139" spans="1:17" ht="15">
      <c r="B139" s="1081">
        <v>6</v>
      </c>
      <c r="C139" s="1082">
        <v>96</v>
      </c>
      <c r="D139" s="2640" t="s">
        <v>2618</v>
      </c>
      <c r="E139" s="1083">
        <v>100</v>
      </c>
      <c r="F139" s="1084">
        <v>102.5</v>
      </c>
      <c r="G139" s="2640" t="s">
        <v>2618</v>
      </c>
      <c r="H139" s="1085">
        <v>105</v>
      </c>
      <c r="I139" s="2641" t="s">
        <v>2619</v>
      </c>
      <c r="J139" s="1082">
        <v>20</v>
      </c>
      <c r="K139" s="1086">
        <f>C145/(J139-2)</f>
        <v>4.0555555555555553E-3</v>
      </c>
    </row>
    <row r="140" spans="1:17" ht="15">
      <c r="B140" s="1087">
        <v>5</v>
      </c>
      <c r="C140" s="1088">
        <v>100</v>
      </c>
      <c r="D140" s="1088"/>
      <c r="E140" s="1089"/>
      <c r="F140" s="1090">
        <v>102</v>
      </c>
      <c r="G140" s="1088"/>
      <c r="H140" s="1091"/>
      <c r="I140" s="2642" t="s">
        <v>2620</v>
      </c>
      <c r="J140" s="315">
        <f>ROUNDUP((J139-1)/2,0)</f>
        <v>10</v>
      </c>
      <c r="K140" s="1092">
        <v>100</v>
      </c>
    </row>
    <row r="141" spans="1:17" ht="15">
      <c r="B141" s="1087">
        <v>4</v>
      </c>
      <c r="C141" s="1088">
        <v>102</v>
      </c>
      <c r="D141" s="1088"/>
      <c r="E141" s="1089"/>
      <c r="F141" s="1090">
        <v>101.5</v>
      </c>
      <c r="G141" s="1088"/>
      <c r="H141" s="1091"/>
      <c r="I141" s="2642" t="s">
        <v>2621</v>
      </c>
      <c r="J141" s="315">
        <v>1</v>
      </c>
      <c r="K141" s="1093">
        <f>ROUND(100+(J141-J140)*K139*100,1)</f>
        <v>96.4</v>
      </c>
    </row>
    <row r="142" spans="1:17" ht="15">
      <c r="B142" s="1087">
        <v>3</v>
      </c>
      <c r="C142" s="1088">
        <v>103</v>
      </c>
      <c r="D142" s="1088"/>
      <c r="E142" s="1089"/>
      <c r="F142" s="1090">
        <v>101</v>
      </c>
      <c r="G142" s="1088"/>
      <c r="H142" s="1091"/>
      <c r="I142" s="2642" t="s">
        <v>2622</v>
      </c>
      <c r="J142" s="315">
        <f>J139</f>
        <v>20</v>
      </c>
      <c r="K142" s="1094">
        <v>95</v>
      </c>
    </row>
    <row r="143" spans="1:17" ht="15">
      <c r="B143" s="1087">
        <v>2</v>
      </c>
      <c r="C143" s="1088">
        <v>100</v>
      </c>
      <c r="D143" s="1088"/>
      <c r="E143" s="1089"/>
      <c r="F143" s="1090">
        <v>100.5</v>
      </c>
      <c r="G143" s="1088"/>
      <c r="H143" s="1091"/>
      <c r="I143" s="2642" t="s">
        <v>2623</v>
      </c>
      <c r="J143" s="1088">
        <v>15</v>
      </c>
      <c r="K143" s="1093">
        <f>ROUND(100+(J143-J140)*K139*100,1)</f>
        <v>102</v>
      </c>
    </row>
    <row r="144" spans="1:17" ht="15">
      <c r="B144" s="1087">
        <v>1</v>
      </c>
      <c r="C144" s="1088">
        <v>98</v>
      </c>
      <c r="D144" s="2643" t="s">
        <v>2624</v>
      </c>
      <c r="E144" s="1089">
        <v>102</v>
      </c>
      <c r="F144" s="1095">
        <v>100</v>
      </c>
      <c r="G144" s="2643" t="s">
        <v>2624</v>
      </c>
      <c r="H144" s="1091">
        <v>105</v>
      </c>
      <c r="I144" s="2642" t="s">
        <v>2623</v>
      </c>
      <c r="J144" s="1088">
        <v>18</v>
      </c>
      <c r="K144" s="1093">
        <f>ROUND(100+(J144-J140)*K139*100,1)</f>
        <v>103.2</v>
      </c>
    </row>
    <row r="145" spans="2:11" ht="15.75" thickBot="1">
      <c r="B145" s="2644" t="s">
        <v>2625</v>
      </c>
      <c r="C145" s="1096">
        <f>ROUND(MAX(C139:C144)/MIN(C139:C144)-1,3)</f>
        <v>7.2999999999999995E-2</v>
      </c>
      <c r="D145" s="1097"/>
      <c r="E145" s="1097"/>
      <c r="F145" s="2645" t="s">
        <v>2626</v>
      </c>
      <c r="G145" s="2646"/>
      <c r="H145" s="2647"/>
      <c r="I145" s="2648" t="s">
        <v>2623</v>
      </c>
      <c r="J145" s="1098">
        <v>8</v>
      </c>
      <c r="K145" s="1099">
        <f>ROUND(100+(J145-J140)*K139*100,1)</f>
        <v>99.2</v>
      </c>
    </row>
    <row r="147" spans="2:11">
      <c r="B147" s="2629" t="s">
        <v>2627</v>
      </c>
    </row>
    <row r="148" spans="2:11">
      <c r="B148" s="2629" t="s">
        <v>2628</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2 H52 J52">
    <cfRule type="containsText" dxfId="118" priority="14" stopIfTrue="1" operator="containsText" text="超过">
      <formula>NOT(ISERROR(SEARCH("超过",F52)))</formula>
    </cfRule>
  </conditionalFormatting>
  <conditionalFormatting sqref="J54">
    <cfRule type="containsText" dxfId="117" priority="13" stopIfTrue="1" operator="containsText" text="超过">
      <formula>NOT(ISERROR(SEARCH("超过",J54)))</formula>
    </cfRule>
  </conditionalFormatting>
  <conditionalFormatting sqref="H54">
    <cfRule type="containsText" dxfId="116" priority="12" stopIfTrue="1" operator="containsText" text="超过">
      <formula>NOT(ISERROR(SEARCH("超过",H54)))</formula>
    </cfRule>
  </conditionalFormatting>
  <conditionalFormatting sqref="F54">
    <cfRule type="containsText" dxfId="115" priority="11" stopIfTrue="1" operator="containsText" text="超过">
      <formula>NOT(ISERROR(SEARCH("超过",F54)))</formula>
    </cfRule>
  </conditionalFormatting>
  <conditionalFormatting sqref="F53 H53 J53">
    <cfRule type="containsText" dxfId="114" priority="10" stopIfTrue="1" operator="containsText" text="超过">
      <formula>NOT(ISERROR(SEARCH("超过",F53)))</formula>
    </cfRule>
  </conditionalFormatting>
  <conditionalFormatting sqref="E52">
    <cfRule type="expression" dxfId="113" priority="9"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
  <sheetViews>
    <sheetView zoomScale="70" zoomScaleNormal="70" workbookViewId="0">
      <selection activeCell="Q31" sqref="Q31"/>
    </sheetView>
  </sheetViews>
  <sheetFormatPr defaultRowHeight="13.5"/>
  <sheetData>
    <row r="1" spans="1:18">
      <c r="A1" s="2970" t="s">
        <v>3168</v>
      </c>
      <c r="R1" s="2970" t="s">
        <v>3172</v>
      </c>
    </row>
  </sheetData>
  <phoneticPr fontId="14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1605</v>
      </c>
    </row>
    <row r="2" spans="1:1">
      <c r="A2" s="1942"/>
    </row>
    <row r="3" spans="1:1" ht="18">
      <c r="A3" s="1943" t="str">
        <f>项目基本情况!B5&amp;"："</f>
        <v>河南恒祥实业有限公司：</v>
      </c>
    </row>
    <row r="4" spans="1:1" ht="54">
      <c r="A4" s="1944" t="str">
        <f>"受贵公司委托，我公司对"&amp;项目基本情况!S1&amp;"进行了预评估。"</f>
        <v>受贵公司委托，我公司对河南省郑州市金水区红旗路北、经七路东“恒祥百悦城一号院”项目局部住宅、办公（公寓）、商业用房出让国有建设用地使用权及在建建筑物房地产抵押价值进行了预评估。</v>
      </c>
    </row>
    <row r="5" spans="1:1" ht="18.75">
      <c r="A5" s="1945" t="s">
        <v>1606</v>
      </c>
    </row>
    <row r="6" spans="1:1" ht="18.75">
      <c r="A6" s="1946" t="s">
        <v>1607</v>
      </c>
    </row>
    <row r="7" spans="1:1" ht="90">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金水区红旗路北、经七路东“恒祥百悦城一号院”项目局部住宅、办公（公寓）、商业用房出让国有建设用地使用权及在建建筑物房地产，为河南恒祥实业有限公司所有。根据《国有土地使用证》[]，估价对象（分摊）出让国有建设用地使用权面积为20565.18平方米，建筑面积为120164.38平方米。</v>
      </c>
    </row>
    <row r="8" spans="1:1" ht="57.75">
      <c r="A8" s="1947" t="s">
        <v>1608</v>
      </c>
    </row>
    <row r="9" spans="1:1" ht="18.75">
      <c r="A9" s="1946" t="s">
        <v>1609</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金水区红旗路北、经七路东“恒祥百悦城一号院”项目局部住宅、办公（公寓）、商业用房出让国有建设用地使用权及在建建筑物房地产,属河南恒祥实业有限公司开发建设的居住项目，该项目尚在开发建设中。根据《国有土地使用证》[]，估价对象（分摊）出让国有建设用地使用权面积为20565.18平方米，规划建筑面积为120164.38平方米。</v>
      </c>
    </row>
    <row r="11" spans="1:1" ht="76.5">
      <c r="A11" s="1947" t="s">
        <v>1610</v>
      </c>
    </row>
    <row r="12" spans="1:1" ht="18.75">
      <c r="A12" s="1945" t="s">
        <v>1611</v>
      </c>
    </row>
    <row r="13" spans="1:1" ht="38.25" customHeight="1">
      <c r="A13" s="1948"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49" t="s">
        <v>1612</v>
      </c>
    </row>
    <row r="15" spans="1:1" ht="18">
      <c r="A15" s="1950" t="str">
        <f>TEXT(项目基本情况!D3,"yyyy年m月d日;;")&amp;IF(项目基本情况!D3=项目基本情况!B3,"（评估专业人员实地查勘之日）","")</f>
        <v>2020年4月30日（评估专业人员实地查勘之日）</v>
      </c>
    </row>
    <row r="16" spans="1:1" ht="18.75">
      <c r="A16" s="1949" t="s">
        <v>1613</v>
      </c>
    </row>
    <row r="17" spans="1:1" ht="75">
      <c r="A17" s="1944" t="s">
        <v>1614</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1603</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1604</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M16" sqref="M1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1583</v>
      </c>
      <c r="B1" s="782"/>
      <c r="C1" s="1834" t="s">
        <v>3142</v>
      </c>
      <c r="D1" s="1817" t="s">
        <v>3087</v>
      </c>
      <c r="E1" s="1818" t="s">
        <v>1381</v>
      </c>
      <c r="F1" s="1280">
        <f ca="1">J53</f>
        <v>35.130000000000003</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f ca="1">C40+J29+L46</f>
        <v>17491</v>
      </c>
      <c r="C2" s="1842" t="s">
        <v>1510</v>
      </c>
      <c r="D2" s="1842"/>
      <c r="E2" s="1843"/>
      <c r="F2" s="1844"/>
      <c r="G2" s="1845"/>
      <c r="H2" s="1837"/>
      <c r="I2" s="1837"/>
      <c r="J2" s="1837"/>
      <c r="K2" s="1838"/>
      <c r="L2" s="1837"/>
      <c r="M2" s="1837"/>
    </row>
    <row r="3" spans="1:37" ht="18" customHeight="1" thickBot="1">
      <c r="A3" s="1846" t="s">
        <v>1511</v>
      </c>
      <c r="B3" s="1847">
        <f ca="1">IF(ISERROR(B2*10000/F43),0,ROUND(B2*10000/F43,0))</f>
        <v>32049</v>
      </c>
      <c r="C3" s="1842" t="s">
        <v>1512</v>
      </c>
      <c r="D3" s="1842"/>
      <c r="E3" s="1843"/>
      <c r="F3" s="1844"/>
      <c r="G3" s="1845"/>
      <c r="H3" s="744" t="s">
        <v>1582</v>
      </c>
      <c r="I3" s="1837"/>
      <c r="J3" s="1837"/>
      <c r="K3" s="1838"/>
      <c r="L3" s="1837"/>
      <c r="M3" s="1837"/>
    </row>
    <row r="4" spans="1:37" ht="18" customHeight="1">
      <c r="A4" s="340" t="s">
        <v>1390</v>
      </c>
      <c r="B4" s="341" t="s">
        <v>1391</v>
      </c>
      <c r="C4" s="341" t="s">
        <v>1392</v>
      </c>
      <c r="D4" s="341" t="s">
        <v>1393</v>
      </c>
      <c r="E4" s="342" t="s">
        <v>1394</v>
      </c>
      <c r="F4" s="343"/>
      <c r="G4" s="1848"/>
      <c r="H4" s="340" t="s">
        <v>1390</v>
      </c>
      <c r="I4" s="341" t="s">
        <v>1391</v>
      </c>
      <c r="J4" s="341" t="s">
        <v>1392</v>
      </c>
      <c r="K4" s="341" t="s">
        <v>1393</v>
      </c>
      <c r="L4" s="342" t="s">
        <v>1394</v>
      </c>
      <c r="M4" s="343"/>
    </row>
    <row r="5" spans="1:37" ht="18" customHeight="1">
      <c r="A5" s="344">
        <v>1</v>
      </c>
      <c r="B5" s="345" t="s">
        <v>1395</v>
      </c>
      <c r="C5" s="1289">
        <f ca="1">C6+C10+C12</f>
        <v>988</v>
      </c>
      <c r="D5" s="1819" t="s">
        <v>1396</v>
      </c>
      <c r="E5" s="1290"/>
      <c r="F5" s="1291"/>
      <c r="G5" s="1848"/>
      <c r="H5" s="344">
        <v>1</v>
      </c>
      <c r="I5" s="345" t="s">
        <v>1395</v>
      </c>
      <c r="J5" s="1289">
        <f ca="1">J6+J10+J12</f>
        <v>0</v>
      </c>
      <c r="K5" s="1819" t="s">
        <v>1396</v>
      </c>
      <c r="L5" s="1290"/>
      <c r="M5" s="1291"/>
    </row>
    <row r="6" spans="1:37" ht="18" customHeight="1">
      <c r="A6" s="1288" t="s">
        <v>1031</v>
      </c>
      <c r="B6" s="3338" t="s">
        <v>1397</v>
      </c>
      <c r="C6" s="1293">
        <f ca="1">ROUND(F6*F8*F7*(1-F9)/10000,0)</f>
        <v>986</v>
      </c>
      <c r="D6" s="164" t="s">
        <v>3018</v>
      </c>
      <c r="E6" s="347" t="s">
        <v>1399</v>
      </c>
      <c r="F6" s="348">
        <f ca="1">INDIRECT("'数据-取费表'!u"&amp;$G$1)</f>
        <v>5.5</v>
      </c>
      <c r="G6" s="1848"/>
      <c r="H6" s="1288" t="s">
        <v>1031</v>
      </c>
      <c r="I6" s="3338" t="s">
        <v>1397</v>
      </c>
      <c r="J6" s="346">
        <f ca="1">ROUND(M6*M8*M7*(1-M9)/10000,0)</f>
        <v>0</v>
      </c>
      <c r="K6" s="164" t="s">
        <v>3017</v>
      </c>
      <c r="L6" s="347" t="s">
        <v>1399</v>
      </c>
      <c r="M6" s="348">
        <f ca="1">INDIRECT("'数据-取费表'!z"&amp;$G$1)</f>
        <v>0</v>
      </c>
    </row>
    <row r="7" spans="1:37" ht="18" customHeight="1">
      <c r="A7" s="1292"/>
      <c r="B7" s="3339"/>
      <c r="C7" s="1294"/>
      <c r="D7" s="352"/>
      <c r="E7" s="1295" t="s">
        <v>1400</v>
      </c>
      <c r="F7" s="348">
        <f ca="1">IF(INDIRECT("'数据-取费表'!ah"&amp;$G$1)="",INDIRECT("'数据-取费表'!k"&amp;$G$1),INDIRECT("'数据-取费表'!ah"&amp;$G$1))</f>
        <v>5457.62</v>
      </c>
      <c r="G7" s="1848"/>
      <c r="H7" s="349"/>
      <c r="I7" s="3339"/>
      <c r="J7" s="351"/>
      <c r="K7" s="352"/>
      <c r="L7" s="347" t="s">
        <v>1400</v>
      </c>
      <c r="M7" s="348">
        <f ca="1">F7</f>
        <v>5457.62</v>
      </c>
    </row>
    <row r="8" spans="1:37" ht="18" customHeight="1">
      <c r="A8" s="349"/>
      <c r="B8" s="3339"/>
      <c r="C8" s="351"/>
      <c r="D8" s="352"/>
      <c r="E8" s="347" t="s">
        <v>1401</v>
      </c>
      <c r="F8" s="348">
        <f ca="1">INDIRECT("'数据-取费表'!ai"&amp;$G$1)</f>
        <v>365</v>
      </c>
      <c r="G8" s="1848"/>
      <c r="H8" s="349"/>
      <c r="I8" s="3339"/>
      <c r="J8" s="351"/>
      <c r="K8" s="352"/>
      <c r="L8" s="347" t="s">
        <v>1401</v>
      </c>
      <c r="M8" s="348">
        <f ca="1">INDIRECT("'数据-取费表'!ai"&amp;$G$1)</f>
        <v>365</v>
      </c>
    </row>
    <row r="9" spans="1:37" ht="18" customHeight="1">
      <c r="A9" s="349"/>
      <c r="B9" s="3340"/>
      <c r="C9" s="351"/>
      <c r="D9" s="352"/>
      <c r="E9" s="347" t="s">
        <v>1402</v>
      </c>
      <c r="F9" s="357">
        <f ca="1">INDIRECT("'数据-取费表'!w"&amp;$G$1)</f>
        <v>0.1</v>
      </c>
      <c r="G9" s="1848"/>
      <c r="H9" s="349"/>
      <c r="I9" s="3340"/>
      <c r="J9" s="351"/>
      <c r="K9" s="352"/>
      <c r="L9" s="358" t="s">
        <v>1402</v>
      </c>
      <c r="M9" s="359">
        <f ca="1">INDIRECT("'数据-取费表'!ab"&amp;$G$1)</f>
        <v>0</v>
      </c>
    </row>
    <row r="10" spans="1:37" ht="18" customHeight="1">
      <c r="A10" s="1288" t="s">
        <v>1035</v>
      </c>
      <c r="B10" s="1820" t="s">
        <v>1403</v>
      </c>
      <c r="C10" s="361">
        <f ca="1">ROUND(IF(F10="押一",C6/12*F11,IF(F10="押二",C6/12*2*F11,IF(F10="押三",C6/12*3*F11,C11*F11))),0)</f>
        <v>2</v>
      </c>
      <c r="D10" s="1821" t="s">
        <v>3027</v>
      </c>
      <c r="E10" s="358" t="s">
        <v>1404</v>
      </c>
      <c r="F10" s="1363" t="s">
        <v>3088</v>
      </c>
      <c r="G10" s="1848"/>
      <c r="H10" s="1288" t="s">
        <v>1035</v>
      </c>
      <c r="I10" s="1820" t="s">
        <v>1403</v>
      </c>
      <c r="J10" s="346">
        <f ca="1">ROUND(IF(M10="押一",J6/12*M11,IF(M10="押二",J6/12*2*M11,IF(M10="押三",J6/12*3*M11,J11*M11))),0)</f>
        <v>0</v>
      </c>
      <c r="K10" s="1821" t="s">
        <v>3026</v>
      </c>
      <c r="L10" s="358" t="s">
        <v>1404</v>
      </c>
      <c r="M10" s="1363" t="s">
        <v>1405</v>
      </c>
    </row>
    <row r="11" spans="1:37" ht="18" customHeight="1">
      <c r="A11" s="353"/>
      <c r="B11" s="1822" t="s">
        <v>1382</v>
      </c>
      <c r="C11" s="1175"/>
      <c r="D11" s="1823"/>
      <c r="E11" s="358" t="s">
        <v>1406</v>
      </c>
      <c r="F11" s="359">
        <f ca="1">'数据-取费表'!B39</f>
        <v>1.4999999999999999E-2</v>
      </c>
      <c r="G11" s="1848"/>
      <c r="H11" s="1296"/>
      <c r="I11" s="1822" t="s">
        <v>1382</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2582</v>
      </c>
      <c r="D13" s="1328" t="s">
        <v>1409</v>
      </c>
      <c r="E13" s="1328" t="s">
        <v>1410</v>
      </c>
      <c r="F13" s="1329">
        <f ca="1">INDIRECT("'数据-取费表'!y"&amp;$G$1)</f>
        <v>1</v>
      </c>
      <c r="G13" s="1848"/>
      <c r="H13" s="1326">
        <v>2</v>
      </c>
      <c r="I13" s="1327" t="s">
        <v>1408</v>
      </c>
      <c r="J13" s="1287">
        <f ca="1">ROUND(J14*J15,0)</f>
        <v>0</v>
      </c>
      <c r="K13" s="1334" t="s">
        <v>1409</v>
      </c>
      <c r="L13" s="1849"/>
      <c r="M13" s="1850"/>
    </row>
    <row r="14" spans="1:37" ht="18" customHeight="1">
      <c r="A14" s="1198" t="s">
        <v>1030</v>
      </c>
      <c r="B14" s="347" t="s">
        <v>1411</v>
      </c>
      <c r="C14" s="363">
        <f ca="1">INDIRECT("'数据-取费表'!m"&amp;$G$1)+INDIRECT("'数据-取费表'!t"&amp;$G$1)</f>
        <v>1528</v>
      </c>
      <c r="D14" s="1797" t="s">
        <v>1412</v>
      </c>
      <c r="E14" s="1791"/>
      <c r="F14" s="364"/>
      <c r="G14" s="1848"/>
      <c r="H14" s="1198" t="s">
        <v>1031</v>
      </c>
      <c r="I14" s="347" t="s">
        <v>1413</v>
      </c>
      <c r="J14" s="24">
        <f ca="1">C29</f>
        <v>2582</v>
      </c>
      <c r="K14" s="15"/>
      <c r="L14" s="976"/>
      <c r="M14" s="977"/>
    </row>
    <row r="15" spans="1:37" s="1855" customFormat="1" ht="18" customHeight="1" thickBot="1">
      <c r="A15" s="1198" t="s">
        <v>1032</v>
      </c>
      <c r="B15" s="347" t="s">
        <v>1414</v>
      </c>
      <c r="C15" s="24">
        <f ca="1">ROUND(C14*F15,0)</f>
        <v>76</v>
      </c>
      <c r="D15" s="365" t="s">
        <v>1415</v>
      </c>
      <c r="E15" s="365" t="s">
        <v>1416</v>
      </c>
      <c r="F15" s="366">
        <f>'数据-取费表'!B33</f>
        <v>0.05</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8"/>
      <c r="H16" s="1326" t="s">
        <v>1026</v>
      </c>
      <c r="I16" s="1327" t="s">
        <v>1418</v>
      </c>
      <c r="J16" s="355">
        <f ca="1">ROUND(J17+J22+J23+J24,0)</f>
        <v>62</v>
      </c>
      <c r="K16" s="1334" t="s">
        <v>1419</v>
      </c>
      <c r="L16" s="1335"/>
      <c r="M16" s="1291"/>
    </row>
    <row r="17" spans="1:37" s="1855" customFormat="1" ht="18" customHeight="1">
      <c r="A17" s="1198" t="s">
        <v>1384</v>
      </c>
      <c r="B17" s="347" t="s">
        <v>1420</v>
      </c>
      <c r="C17" s="24">
        <f ca="1">ROUND(F17*(F43+INDIRECT("'数据-取费表'!S"&amp;$G$1))/10000,0)</f>
        <v>109</v>
      </c>
      <c r="D17" s="347" t="s">
        <v>1421</v>
      </c>
      <c r="E17" s="347" t="s">
        <v>1422</v>
      </c>
      <c r="F17" s="26">
        <f>'数据-取费表'!B35</f>
        <v>200</v>
      </c>
      <c r="G17" s="1851"/>
      <c r="H17" s="1198" t="s">
        <v>1031</v>
      </c>
      <c r="I17" s="347" t="s">
        <v>1423</v>
      </c>
      <c r="J17" s="24">
        <f ca="1">ROUND(IF(项目基本情况!B11="自然人",J6*M17/(1+'数据-取费表'!C42),J18+J19+J20),1)</f>
        <v>23.4</v>
      </c>
      <c r="K17" s="1797" t="s">
        <v>1424</v>
      </c>
      <c r="L17" s="1795"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23</v>
      </c>
      <c r="D18" s="347" t="s">
        <v>1415</v>
      </c>
      <c r="E18" s="347" t="s">
        <v>1416</v>
      </c>
      <c r="F18" s="367">
        <f>'数据-取费表'!B36</f>
        <v>1.4999999999999999E-2</v>
      </c>
      <c r="G18" s="1851"/>
      <c r="H18" s="1198" t="s">
        <v>1030</v>
      </c>
      <c r="I18" s="347" t="s">
        <v>1427</v>
      </c>
      <c r="J18" s="24">
        <f ca="1">ROUND(J6*M18/(1+'数据-取费表'!C42),2)</f>
        <v>0</v>
      </c>
      <c r="K18" s="1795"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1736</v>
      </c>
      <c r="D19" s="140" t="s">
        <v>1430</v>
      </c>
      <c r="E19" s="1815"/>
      <c r="F19" s="26"/>
      <c r="G19" s="1848"/>
      <c r="H19" s="1198" t="s">
        <v>1032</v>
      </c>
      <c r="I19" s="347" t="s">
        <v>1431</v>
      </c>
      <c r="J19" s="24">
        <f ca="1">IF(K19="按租金收入计税",ROUND(J6*M19/(1+'数据-取费表'!C42),2),ROUND(C29*M19*0.7,2))</f>
        <v>21.69</v>
      </c>
      <c r="K19" s="1825" t="s">
        <v>1432</v>
      </c>
      <c r="L19" s="347" t="s">
        <v>1416</v>
      </c>
      <c r="M19" s="367">
        <f>IF(K19="按租金收入计税",'数据-取费表'!B51,'数据-取费表'!B50)</f>
        <v>1.2E-2</v>
      </c>
    </row>
    <row r="20" spans="1:37" s="1855" customFormat="1" ht="18" customHeight="1">
      <c r="A20" s="1198" t="s">
        <v>1035</v>
      </c>
      <c r="B20" s="347" t="s">
        <v>1433</v>
      </c>
      <c r="C20" s="24">
        <f ca="1">ROUND(C19*F20,0)</f>
        <v>35</v>
      </c>
      <c r="D20" s="369" t="s">
        <v>1434</v>
      </c>
      <c r="E20" s="347" t="s">
        <v>1416</v>
      </c>
      <c r="F20" s="367">
        <f>'数据-取费表'!B37</f>
        <v>0.02</v>
      </c>
      <c r="G20" s="1851"/>
      <c r="H20" s="1198" t="s">
        <v>1383</v>
      </c>
      <c r="I20" s="164" t="s">
        <v>1435</v>
      </c>
      <c r="J20" s="25">
        <f ca="1">ROUND(M20*M21/10000,2)</f>
        <v>1.68</v>
      </c>
      <c r="K20" s="370" t="s">
        <v>1436</v>
      </c>
      <c r="L20" s="347" t="s">
        <v>1437</v>
      </c>
      <c r="M20" s="371">
        <f>'数据-取费表'!B52</f>
        <v>18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18</v>
      </c>
      <c r="D21" s="369" t="s">
        <v>1439</v>
      </c>
      <c r="E21" s="347" t="s">
        <v>1440</v>
      </c>
      <c r="F21" s="367">
        <f>'数据-取费表'!B38</f>
        <v>0.03</v>
      </c>
      <c r="G21" s="1851"/>
      <c r="H21" s="372"/>
      <c r="I21" s="356"/>
      <c r="J21" s="29"/>
      <c r="K21" s="373"/>
      <c r="L21" s="347" t="s">
        <v>1441</v>
      </c>
      <c r="M21" s="348">
        <f ca="1">INDIRECT("'数据-取费表'!r"&amp;$G$1)</f>
        <v>934.03</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15"/>
      <c r="F22" s="26"/>
      <c r="G22" s="1848"/>
      <c r="H22" s="1198" t="s">
        <v>1035</v>
      </c>
      <c r="I22" s="347" t="s">
        <v>1443</v>
      </c>
      <c r="J22" s="24">
        <f ca="1">ROUND(J14*M22,1)</f>
        <v>38.700000000000003</v>
      </c>
      <c r="K22" s="1795" t="s">
        <v>1444</v>
      </c>
      <c r="L22" s="347" t="s">
        <v>1416</v>
      </c>
      <c r="M22" s="374">
        <f ca="1">INDIRECT("'数据-取费表'!Ak"&amp;$G$1)</f>
        <v>1.4999999999999999E-2</v>
      </c>
    </row>
    <row r="23" spans="1:37" s="1855" customFormat="1" ht="18" customHeight="1">
      <c r="A23" s="1198" t="s">
        <v>1030</v>
      </c>
      <c r="B23" s="347" t="s">
        <v>1445</v>
      </c>
      <c r="C23" s="24">
        <f ca="1">IF('数据-取费表'!B22&lt;=1,ROUND(C19*F24*F23/2,0)+ROUND(C20*F24*F23/2,0),ROUND(C19*(POWER((1+F24),F23/2)-1),0)+ROUND(C20*(POWER((1+F24),F23/2)-1),0))</f>
        <v>128</v>
      </c>
      <c r="D23" s="375" t="str">
        <f>IF(F23&lt;=1,"(建造成本+管理费用)×利率×(建设周期÷2)","(建造成本+管理费用)×((1+利率)^(建设周期÷2)-1)")</f>
        <v>(建造成本+管理费用)×((1+利率)^(建设周期÷2)-1)</v>
      </c>
      <c r="E23" s="347" t="s">
        <v>1446</v>
      </c>
      <c r="F23" s="371">
        <f>'数据-取费表'!B20</f>
        <v>3</v>
      </c>
      <c r="G23" s="1851"/>
      <c r="H23" s="1198" t="s">
        <v>1071</v>
      </c>
      <c r="I23" s="347" t="s">
        <v>1447</v>
      </c>
      <c r="J23" s="24">
        <f ca="1">ROUND(J13*M23,1)</f>
        <v>0</v>
      </c>
      <c r="K23" s="1795" t="s">
        <v>1448</v>
      </c>
      <c r="L23" s="347" t="s">
        <v>1449</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1450</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1"/>
      <c r="H24" s="1336" t="s">
        <v>1387</v>
      </c>
      <c r="I24" s="1337" t="s">
        <v>1433</v>
      </c>
      <c r="J24" s="1338">
        <f ca="1">ROUND(J5*M24,1)</f>
        <v>0</v>
      </c>
      <c r="K24" s="1339" t="s">
        <v>1453</v>
      </c>
      <c r="L24" s="1337" t="s">
        <v>1449</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7" t="s">
        <v>1455</v>
      </c>
      <c r="C25" s="24"/>
      <c r="D25" s="140" t="s">
        <v>1456</v>
      </c>
      <c r="E25" s="1815"/>
      <c r="F25" s="26"/>
      <c r="G25" s="1848"/>
      <c r="H25" s="1326" t="s">
        <v>1027</v>
      </c>
      <c r="I25" s="1341" t="s">
        <v>1457</v>
      </c>
      <c r="J25" s="355">
        <f ca="1">J5-J16</f>
        <v>-62</v>
      </c>
      <c r="K25" s="1342" t="s">
        <v>1458</v>
      </c>
      <c r="L25" s="1343"/>
      <c r="M25" s="1344"/>
    </row>
    <row r="26" spans="1:37">
      <c r="A26" s="1198" t="s">
        <v>1030</v>
      </c>
      <c r="B26" s="347" t="s">
        <v>1459</v>
      </c>
      <c r="C26" s="24">
        <f ca="1">ROUND((C19+C20)*F26,0)</f>
        <v>443</v>
      </c>
      <c r="D26" s="369" t="s">
        <v>1460</v>
      </c>
      <c r="E26" s="358" t="s">
        <v>1461</v>
      </c>
      <c r="F26" s="357">
        <f ca="1">INDIRECT("'数据-取费表'!q"&amp;$G$1)</f>
        <v>0.25</v>
      </c>
      <c r="G26" s="1848"/>
      <c r="H26" s="344" t="s">
        <v>1028</v>
      </c>
      <c r="I26" s="345" t="s">
        <v>1462</v>
      </c>
      <c r="J26" s="346">
        <f ca="1">IF(J5&lt;&gt;0,ROUND(J25*(1-((1+M28)/(1+M26))^M27)/(M26-M28),0),0)</f>
        <v>0</v>
      </c>
      <c r="K26" s="370" t="s">
        <v>1463</v>
      </c>
      <c r="L26" s="347" t="s">
        <v>1464</v>
      </c>
      <c r="M26" s="357">
        <f ca="1">INDIRECT("'数据-取费表'!I"&amp;$G$1)</f>
        <v>5.5E-2</v>
      </c>
    </row>
    <row r="27" spans="1:37" ht="18" customHeight="1">
      <c r="A27" s="1198" t="s">
        <v>1032</v>
      </c>
      <c r="B27" s="347" t="s">
        <v>1465</v>
      </c>
      <c r="C27" s="24">
        <f ca="1">ROUND(F21*F26,4)</f>
        <v>7.4999999999999997E-3</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2582</v>
      </c>
      <c r="D29" s="1339"/>
      <c r="E29" s="1337"/>
      <c r="F29" s="1340"/>
      <c r="G29" s="1851"/>
      <c r="H29" s="380" t="s">
        <v>1029</v>
      </c>
      <c r="I29" s="381" t="s">
        <v>1473</v>
      </c>
      <c r="J29" s="382">
        <f ca="1">ROUND(J26/(1+F40)^F41,0)</f>
        <v>0</v>
      </c>
      <c r="K29" s="383" t="s">
        <v>1474</v>
      </c>
      <c r="L29" s="384"/>
      <c r="M29" s="385">
        <f ca="1">INDIRECT("'数据-取费表'!k"&amp;$G$1)</f>
        <v>5457.62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220</v>
      </c>
      <c r="D30" s="1334" t="s">
        <v>1419</v>
      </c>
      <c r="E30" s="1335"/>
      <c r="F30" s="1291"/>
      <c r="G30" s="1848"/>
      <c r="H30" s="745"/>
      <c r="I30" s="746"/>
      <c r="J30" s="747"/>
      <c r="K30" s="748"/>
      <c r="L30" s="749"/>
      <c r="M30" s="750"/>
    </row>
    <row r="31" spans="1:37" ht="18" customHeight="1">
      <c r="A31" s="1198" t="s">
        <v>1031</v>
      </c>
      <c r="B31" s="347" t="s">
        <v>1423</v>
      </c>
      <c r="C31" s="24">
        <f ca="1">ROUND(IF(项目基本情况!B11="自然人",C6*F31/(1+'数据-取费表'!C42),C32+C33+C34),1)</f>
        <v>167</v>
      </c>
      <c r="D31" s="1797" t="s">
        <v>1424</v>
      </c>
      <c r="E31" s="1795"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IF(项目基本情况!B11="自然人","——",ROUND(C6*F32/(1+'数据-取费表'!C42),2))</f>
        <v>52.59</v>
      </c>
      <c r="D32" s="1795"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112.69</v>
      </c>
      <c r="D33" s="1825" t="s">
        <v>3089</v>
      </c>
      <c r="E33" s="347" t="s">
        <v>1416</v>
      </c>
      <c r="F33" s="367">
        <f>IF(D33="按票据","——",IF(D33="按租金收入计税",'数据-取费表'!B51,'数据-取费表'!B50))</f>
        <v>0.12</v>
      </c>
      <c r="G33" s="1848"/>
      <c r="H33" s="1856"/>
      <c r="I33" s="1857"/>
      <c r="J33" s="1858"/>
      <c r="K33" s="1859"/>
      <c r="L33" s="1856"/>
      <c r="M33" s="1856"/>
    </row>
    <row r="34" spans="1:18" ht="18" customHeight="1">
      <c r="A34" s="1288" t="s">
        <v>1383</v>
      </c>
      <c r="B34" s="164" t="s">
        <v>1435</v>
      </c>
      <c r="C34" s="25">
        <f ca="1">IF(项目基本情况!B11="自然人","——",ROUND(F34*F35/10000,2))</f>
        <v>1.68</v>
      </c>
      <c r="D34" s="370" t="s">
        <v>1436</v>
      </c>
      <c r="E34" s="347" t="s">
        <v>1437</v>
      </c>
      <c r="F34" s="371">
        <f>'数据-取费表'!B52</f>
        <v>18</v>
      </c>
      <c r="G34" s="1848"/>
      <c r="H34" s="745"/>
      <c r="I34" s="1857"/>
      <c r="J34" s="1858"/>
      <c r="K34" s="1860"/>
      <c r="L34" s="1861"/>
      <c r="M34" s="1861"/>
    </row>
    <row r="35" spans="1:18" ht="18" customHeight="1">
      <c r="A35" s="1350"/>
      <c r="B35" s="1348"/>
      <c r="C35" s="29"/>
      <c r="D35" s="373"/>
      <c r="E35" s="347" t="s">
        <v>1441</v>
      </c>
      <c r="F35" s="348">
        <f ca="1">INDIRECT("'数据-取费表'!r"&amp;$G$1)</f>
        <v>934.03</v>
      </c>
      <c r="G35" s="1848"/>
      <c r="H35" s="745"/>
      <c r="I35" s="1857"/>
      <c r="J35" s="1858"/>
      <c r="K35" s="1859"/>
      <c r="L35" s="1856"/>
      <c r="M35" s="1856"/>
    </row>
    <row r="36" spans="1:18" ht="18" customHeight="1">
      <c r="A36" s="1349" t="s">
        <v>1035</v>
      </c>
      <c r="B36" s="347" t="s">
        <v>1443</v>
      </c>
      <c r="C36" s="24">
        <f ca="1">ROUND(C29*F36,1)</f>
        <v>38.700000000000003</v>
      </c>
      <c r="D36" s="1795" t="s">
        <v>1476</v>
      </c>
      <c r="E36" s="347" t="s">
        <v>1416</v>
      </c>
      <c r="F36" s="374">
        <f ca="1">INDIRECT("'数据-取费表'!Ak"&amp;$G$1)</f>
        <v>1.4999999999999999E-2</v>
      </c>
      <c r="G36" s="1848"/>
      <c r="H36" s="1856"/>
      <c r="I36" s="1857"/>
      <c r="J36" s="1858"/>
      <c r="K36" s="751"/>
      <c r="L36" s="1856"/>
      <c r="M36" s="1856"/>
    </row>
    <row r="37" spans="1:18" ht="18" customHeight="1">
      <c r="A37" s="1198" t="s">
        <v>1071</v>
      </c>
      <c r="B37" s="347" t="s">
        <v>1447</v>
      </c>
      <c r="C37" s="24">
        <f ca="1">ROUND(C13*F37,1)</f>
        <v>3.9</v>
      </c>
      <c r="D37" s="1795" t="s">
        <v>1448</v>
      </c>
      <c r="E37" s="347" t="s">
        <v>1449</v>
      </c>
      <c r="F37" s="376">
        <f ca="1">INDIRECT("'数据-取费表'!Al"&amp;$G$1)</f>
        <v>1.5E-3</v>
      </c>
      <c r="G37" s="1848"/>
      <c r="H37" s="1856"/>
      <c r="I37" s="1857"/>
      <c r="J37" s="1858"/>
      <c r="K37" s="751"/>
      <c r="L37" s="1856"/>
      <c r="M37" s="1856"/>
    </row>
    <row r="38" spans="1:18" ht="18" customHeight="1" thickBot="1">
      <c r="A38" s="1336" t="s">
        <v>1387</v>
      </c>
      <c r="B38" s="1337" t="s">
        <v>1433</v>
      </c>
      <c r="C38" s="1338">
        <f ca="1">ROUND(C5*F38,1)</f>
        <v>9.9</v>
      </c>
      <c r="D38" s="1339" t="s">
        <v>1453</v>
      </c>
      <c r="E38" s="1337" t="s">
        <v>1449</v>
      </c>
      <c r="F38" s="1333">
        <f ca="1">INDIRECT("'数据-取费表'!Am"&amp;$G$1)</f>
        <v>0.01</v>
      </c>
      <c r="G38" s="1848"/>
      <c r="H38" s="1856"/>
      <c r="I38" s="1857"/>
      <c r="J38" s="1858"/>
      <c r="K38" s="1862"/>
      <c r="L38" s="1856"/>
      <c r="M38" s="1856"/>
    </row>
    <row r="39" spans="1:18" ht="24.6" customHeight="1" thickTop="1">
      <c r="A39" s="1326" t="s">
        <v>1027</v>
      </c>
      <c r="B39" s="1341" t="s">
        <v>1477</v>
      </c>
      <c r="C39" s="355">
        <f ca="1">C5-C30</f>
        <v>768</v>
      </c>
      <c r="D39" s="1342" t="s">
        <v>1478</v>
      </c>
      <c r="E39" s="1343"/>
      <c r="F39" s="1344"/>
      <c r="G39" s="1848"/>
      <c r="H39" s="1856"/>
      <c r="I39" s="1857"/>
      <c r="J39" s="1858"/>
      <c r="K39" s="1862"/>
      <c r="L39" s="1856"/>
      <c r="M39" s="1856"/>
    </row>
    <row r="40" spans="1:18" ht="18" customHeight="1">
      <c r="A40" s="344" t="s">
        <v>1028</v>
      </c>
      <c r="B40" s="345" t="s">
        <v>1479</v>
      </c>
      <c r="C40" s="346">
        <f ca="1">ROUND(C39*(1-((1+F42)/(1+F40))^F41)/(F40-F42),0)</f>
        <v>17491</v>
      </c>
      <c r="D40" s="370" t="s">
        <v>1463</v>
      </c>
      <c r="E40" s="347" t="s">
        <v>1464</v>
      </c>
      <c r="F40" s="357">
        <f ca="1">INDIRECT("'数据-取费表'!I"&amp;$G$1)</f>
        <v>5.5E-2</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35.130000000000003</v>
      </c>
      <c r="G41" s="1848"/>
      <c r="H41" s="732"/>
      <c r="I41" s="1857"/>
      <c r="J41" s="1858"/>
      <c r="K41" s="751"/>
      <c r="L41" s="732"/>
      <c r="M41" s="732"/>
    </row>
    <row r="42" spans="1:18" ht="18" customHeight="1">
      <c r="A42" s="353"/>
      <c r="B42" s="354"/>
      <c r="C42" s="355"/>
      <c r="D42" s="373"/>
      <c r="E42" s="347" t="s">
        <v>1471</v>
      </c>
      <c r="F42" s="357">
        <f ca="1">INDIRECT("'数据-取费表'!v"&amp;$G$1)</f>
        <v>0.03</v>
      </c>
      <c r="G42" s="1848"/>
      <c r="H42" s="732"/>
      <c r="I42" s="1857"/>
      <c r="J42" s="1858"/>
      <c r="K42" s="751"/>
      <c r="L42" s="732"/>
      <c r="M42" s="732"/>
    </row>
    <row r="43" spans="1:18" ht="18" customHeight="1" thickBot="1">
      <c r="A43" s="380" t="s">
        <v>1029</v>
      </c>
      <c r="B43" s="381" t="s">
        <v>1481</v>
      </c>
      <c r="C43" s="382">
        <f ca="1">ROUND(C40*10000/F43,0)</f>
        <v>32049</v>
      </c>
      <c r="D43" s="383" t="s">
        <v>1482</v>
      </c>
      <c r="E43" s="384" t="s">
        <v>1483</v>
      </c>
      <c r="F43" s="385">
        <f ca="1">INDIRECT("'数据-取费表'!k"&amp;$G$1)</f>
        <v>5457.62</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3.5" thickBot="1">
      <c r="A46" s="1867" t="s">
        <v>1514</v>
      </c>
      <c r="C46" s="1868">
        <f ca="1">C68-C40</f>
        <v>-21513</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5" thickBot="1">
      <c r="A47" s="1162" t="s">
        <v>1390</v>
      </c>
      <c r="B47" s="1194" t="s">
        <v>1391</v>
      </c>
      <c r="C47" s="1364" t="s">
        <v>1392</v>
      </c>
      <c r="D47" s="1194" t="s">
        <v>1393</v>
      </c>
      <c r="E47" s="1276" t="s">
        <v>1394</v>
      </c>
      <c r="F47" s="1277"/>
      <c r="G47" s="792"/>
      <c r="I47" s="1877" t="s">
        <v>1520</v>
      </c>
      <c r="J47" s="1878" t="s">
        <v>3066</v>
      </c>
      <c r="K47" s="1879" t="s">
        <v>1521</v>
      </c>
      <c r="L47" s="1880">
        <f ca="1">INDIRECT("'数据-取费表'!d"&amp;$G$1)</f>
        <v>40</v>
      </c>
      <c r="M47" s="1835" t="str">
        <f>IF(ISNUMBER(FIND("住宅",C1)),"住宅","非住宅")</f>
        <v>非住宅</v>
      </c>
      <c r="O47" s="1881" t="s">
        <v>1036</v>
      </c>
      <c r="P47" s="1882" t="s">
        <v>1522</v>
      </c>
      <c r="Q47" s="1883">
        <f ca="1">C40+J29</f>
        <v>17491</v>
      </c>
      <c r="R47" s="1883" t="s">
        <v>1523</v>
      </c>
    </row>
    <row r="48" spans="1:18" s="1839" customFormat="1" ht="28.5" thickBot="1">
      <c r="A48" s="1357" t="s">
        <v>1131</v>
      </c>
      <c r="B48" s="345" t="s">
        <v>1395</v>
      </c>
      <c r="C48" s="1814">
        <f ca="1">C49+C53+C55</f>
        <v>0</v>
      </c>
      <c r="D48" s="1359"/>
      <c r="E48" s="1360"/>
      <c r="F48" s="1178"/>
      <c r="G48" s="792"/>
      <c r="H48" s="793"/>
      <c r="I48" s="1884" t="s">
        <v>1524</v>
      </c>
      <c r="J48" s="1885" t="s">
        <v>3090</v>
      </c>
      <c r="K48" s="1886" t="s">
        <v>1525</v>
      </c>
      <c r="L48" s="1887">
        <f ca="1">INDIRECT("'数据-取费表'!f"&amp;$G$1)</f>
        <v>36.130000000000003</v>
      </c>
      <c r="O48" s="1881" t="s">
        <v>1037</v>
      </c>
      <c r="P48" s="1882" t="s">
        <v>1526</v>
      </c>
      <c r="Q48" s="1883" t="str">
        <f ca="1">J60</f>
        <v>0</v>
      </c>
      <c r="R48" s="1883" t="s">
        <v>1527</v>
      </c>
    </row>
    <row r="49" spans="1:18" s="1839" customFormat="1" ht="13.5" thickBot="1">
      <c r="A49" s="1191" t="s">
        <v>1132</v>
      </c>
      <c r="B49" s="1826" t="s">
        <v>1484</v>
      </c>
      <c r="C49" s="1361">
        <f ca="1">ROUND(F49*F51*F50*(1-F52)/10000,0)</f>
        <v>0</v>
      </c>
      <c r="D49" s="1273" t="s">
        <v>3019</v>
      </c>
      <c r="E49" s="1827" t="s">
        <v>1485</v>
      </c>
      <c r="F49" s="1278"/>
      <c r="G49" s="1888"/>
      <c r="H49" s="793"/>
      <c r="I49" s="1884" t="s">
        <v>1528</v>
      </c>
      <c r="J49" s="1889"/>
      <c r="K49" s="1886" t="s">
        <v>1529</v>
      </c>
      <c r="L49" s="1890"/>
      <c r="O49" s="1891" t="s">
        <v>1038</v>
      </c>
      <c r="P49" s="1882" t="s">
        <v>1530</v>
      </c>
      <c r="Q49" s="1883">
        <f ca="1">C29</f>
        <v>2582</v>
      </c>
      <c r="R49" s="1883" t="s">
        <v>1523</v>
      </c>
    </row>
    <row r="50" spans="1:18" s="1839" customFormat="1" ht="13.5" thickBot="1">
      <c r="A50" s="1192"/>
      <c r="B50" s="1195"/>
      <c r="C50" s="1365"/>
      <c r="D50" s="1169"/>
      <c r="E50" s="1274" t="s">
        <v>1400</v>
      </c>
      <c r="F50" s="1275">
        <f ca="1">F7</f>
        <v>5457.62</v>
      </c>
      <c r="H50" s="793"/>
      <c r="I50" s="1884" t="s">
        <v>1531</v>
      </c>
      <c r="J50" s="1892">
        <f>SUMPRODUCT((I63:I65=J47)*(J62:L62=J48)*(J63:L65))</f>
        <v>60</v>
      </c>
      <c r="K50" s="1886" t="s">
        <v>1532</v>
      </c>
      <c r="L50" s="1890"/>
      <c r="M50" s="1893"/>
      <c r="O50" s="1891" t="s">
        <v>1039</v>
      </c>
      <c r="P50" s="1882" t="s">
        <v>1533</v>
      </c>
      <c r="Q50" s="1894" t="e">
        <f ca="1">J58</f>
        <v>#VALUE!</v>
      </c>
      <c r="R50" s="1883"/>
    </row>
    <row r="51" spans="1:18" s="1839" customFormat="1" ht="13.5" thickBot="1">
      <c r="A51" s="1193"/>
      <c r="B51" s="1195"/>
      <c r="C51" s="1196"/>
      <c r="D51" s="1169"/>
      <c r="E51" s="1197" t="s">
        <v>1401</v>
      </c>
      <c r="F51" s="348">
        <f ca="1">F8</f>
        <v>365</v>
      </c>
      <c r="I51" s="1895" t="s">
        <v>1534</v>
      </c>
      <c r="J51" s="1896">
        <f>IF(J49="",J50,J49+J50-YEAR('数据-取费表'!B2))</f>
        <v>60</v>
      </c>
      <c r="K51" s="1897" t="s">
        <v>1535</v>
      </c>
      <c r="L51" s="1898">
        <f ca="1">ROUND(-PV(INDIRECT("'数据-取费表'!h"&amp;$G$1),L48,(C39-C13*C76),0),0)</f>
        <v>9088</v>
      </c>
      <c r="M51" s="1899"/>
      <c r="O51" s="1891" t="s">
        <v>1040</v>
      </c>
      <c r="P51" s="1882" t="s">
        <v>1536</v>
      </c>
      <c r="Q51" s="1894">
        <f>J52</f>
        <v>0.09</v>
      </c>
      <c r="R51" s="1883"/>
    </row>
    <row r="52" spans="1:18" s="1839" customFormat="1" ht="13.5" thickBot="1">
      <c r="A52" s="1193"/>
      <c r="B52" s="1195"/>
      <c r="C52" s="1196"/>
      <c r="D52" s="1169"/>
      <c r="E52" s="1197" t="s">
        <v>1402</v>
      </c>
      <c r="F52" s="1272"/>
      <c r="I52" s="1900" t="s">
        <v>1537</v>
      </c>
      <c r="J52" s="1901">
        <v>0.09</v>
      </c>
      <c r="K52" s="1900" t="s">
        <v>1538</v>
      </c>
      <c r="L52" s="1901"/>
      <c r="O52" s="1891" t="s">
        <v>1041</v>
      </c>
      <c r="P52" s="1882" t="s">
        <v>1539</v>
      </c>
      <c r="Q52" s="1883">
        <f ca="1">J53</f>
        <v>35.130000000000003</v>
      </c>
      <c r="R52" s="1883" t="s">
        <v>1540</v>
      </c>
    </row>
    <row r="53" spans="1:18" s="1839" customFormat="1" ht="24.75" thickBot="1">
      <c r="A53" s="1402" t="s">
        <v>1133</v>
      </c>
      <c r="B53" s="1828" t="s">
        <v>1403</v>
      </c>
      <c r="C53" s="361">
        <f ca="1">ROUND(IF(F53="押一",C49/12*F11,IF(F53="押二",C49/12*2*F11,IF(F53="押三",C49/12*3*F11,C54*F11))),0)</f>
        <v>0</v>
      </c>
      <c r="D53" s="1821" t="s">
        <v>3026</v>
      </c>
      <c r="E53" s="358" t="s">
        <v>1404</v>
      </c>
      <c r="F53" s="1363"/>
      <c r="I53" s="1902" t="s">
        <v>1541</v>
      </c>
      <c r="J53" s="2942">
        <f ca="1">IF(M47="住宅",IF(D1="——",MAX(J51,L48),MAX(J51,L48-'数据-取费表'!B24)),IF(D1="——",MIN(J51,L48),MIN(J51,L48-'数据-取费表'!B24)))</f>
        <v>35.130000000000003</v>
      </c>
      <c r="K53" s="3336" t="s">
        <v>1542</v>
      </c>
      <c r="L53" s="3337"/>
      <c r="O53" s="1881" t="s">
        <v>1042</v>
      </c>
      <c r="P53" s="1882" t="s">
        <v>1543</v>
      </c>
      <c r="Q53" s="1883">
        <f ca="1">Q47+Q48</f>
        <v>17491</v>
      </c>
      <c r="R53" s="1883" t="s">
        <v>1043</v>
      </c>
    </row>
    <row r="54" spans="1:18" s="1839" customFormat="1" ht="13.5" thickBot="1">
      <c r="A54" s="1403"/>
      <c r="B54" s="1822" t="s">
        <v>1382</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5" thickBot="1">
      <c r="A55" s="1330" t="s">
        <v>1071</v>
      </c>
      <c r="B55" s="1824" t="s">
        <v>1407</v>
      </c>
      <c r="C55" s="1331"/>
      <c r="D55" s="1821"/>
      <c r="E55" s="1829"/>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25.5" thickTop="1" thickBot="1">
      <c r="A56" s="1173">
        <v>2</v>
      </c>
      <c r="B56" s="1174" t="s">
        <v>1408</v>
      </c>
      <c r="C56" s="276">
        <f ca="1">C13</f>
        <v>2582</v>
      </c>
      <c r="D56" s="1910"/>
      <c r="E56" s="1911"/>
      <c r="F56" s="1903"/>
      <c r="I56" s="1912" t="s">
        <v>1548</v>
      </c>
      <c r="J56" s="1913" t="s">
        <v>3060</v>
      </c>
      <c r="K56" s="1884" t="s">
        <v>1549</v>
      </c>
      <c r="L56" s="1887" t="str">
        <f ca="1">IF(L48&lt;J51,"——",L48-J53)</f>
        <v>——</v>
      </c>
      <c r="O56" s="1881" t="s">
        <v>1036</v>
      </c>
      <c r="P56" s="1882" t="s">
        <v>1522</v>
      </c>
      <c r="Q56" s="1883">
        <f ca="1">C40+J29</f>
        <v>17491</v>
      </c>
      <c r="R56" s="1883" t="s">
        <v>1523</v>
      </c>
    </row>
    <row r="57" spans="1:18" s="1839" customFormat="1" ht="24.75" thickBot="1">
      <c r="A57" s="1914"/>
      <c r="B57" s="1166" t="s">
        <v>1472</v>
      </c>
      <c r="C57" s="282">
        <f ca="1">C29</f>
        <v>2582</v>
      </c>
      <c r="D57" s="1915"/>
      <c r="E57" s="1916"/>
      <c r="F57" s="1917"/>
      <c r="I57" s="1918" t="s">
        <v>1550</v>
      </c>
      <c r="J57" s="1919" t="str">
        <f ca="1">IF(OR(M47="住宅",J51&lt;L48,J56="是"),"——",J51-L48)</f>
        <v>——</v>
      </c>
      <c r="K57" s="1884" t="s">
        <v>1551</v>
      </c>
      <c r="L57" s="1887" t="str">
        <f ca="1">IF(L48&lt;J51,"——",IF(L55="比较法",L49,IF(L55="基准地价",L50,L51)))</f>
        <v>——</v>
      </c>
      <c r="O57" s="1881" t="s">
        <v>1037</v>
      </c>
      <c r="P57" s="1882" t="s">
        <v>1552</v>
      </c>
      <c r="Q57" s="1883">
        <f ca="1">L60</f>
        <v>0</v>
      </c>
      <c r="R57" s="1883" t="s">
        <v>1553</v>
      </c>
    </row>
    <row r="58" spans="1:18" s="1839" customFormat="1" ht="24.75" thickBot="1">
      <c r="A58" s="360" t="s">
        <v>1026</v>
      </c>
      <c r="B58" s="1174" t="s">
        <v>1418</v>
      </c>
      <c r="C58" s="361">
        <f ca="1">ROUND(C59+C64+C65+C66,0)</f>
        <v>261</v>
      </c>
      <c r="D58" s="1176" t="s">
        <v>1419</v>
      </c>
      <c r="E58" s="1177"/>
      <c r="F58" s="1178"/>
      <c r="I58" s="1918" t="s">
        <v>1554</v>
      </c>
      <c r="J58" s="1920" t="e">
        <f ca="1">IF(J55&lt;0.4,0.4,J55)</f>
        <v>#VALUE!</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4.75" thickBot="1">
      <c r="A59" s="1198" t="s">
        <v>1031</v>
      </c>
      <c r="B59" s="1166" t="s">
        <v>1423</v>
      </c>
      <c r="C59" s="24">
        <f ca="1">ROUND(IF(项目基本情况!B11="自然人",C48*F59,C60+C61+C62),1)</f>
        <v>218.6</v>
      </c>
      <c r="D59" s="1179" t="s">
        <v>1424</v>
      </c>
      <c r="E59" s="1180" t="s">
        <v>1425</v>
      </c>
      <c r="F59" s="368"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5" thickBot="1">
      <c r="A61" s="1198" t="s">
        <v>1486</v>
      </c>
      <c r="B61" s="1166" t="s">
        <v>1487</v>
      </c>
      <c r="C61" s="24">
        <f ca="1">IF(项目基本情况!B11="自然人","——",IF(D61="按租金收入计税",ROUND(C48*F61,2),IF(D61="按房产原值计税",ROUND(C57*F61*0.7,2),INDIRECT("'数据-取费表'!Aj"&amp;$G$1))))</f>
        <v>216.89</v>
      </c>
      <c r="D61" s="1825" t="s">
        <v>1432</v>
      </c>
      <c r="E61" s="1166" t="s">
        <v>1488</v>
      </c>
      <c r="F61" s="367">
        <f t="shared" si="0"/>
        <v>0.12</v>
      </c>
      <c r="I61" s="1924"/>
      <c r="J61" s="1924"/>
      <c r="K61" s="1924"/>
      <c r="L61" s="1924"/>
      <c r="O61" s="1891" t="s">
        <v>1041</v>
      </c>
      <c r="P61" s="1882" t="str">
        <f>K59</f>
        <v>续建工期及建筑物耐用年限下的土地年期修正系数Kn</v>
      </c>
      <c r="Q61" s="1883" t="e">
        <f ca="1">L59</f>
        <v>#DIV/0!</v>
      </c>
      <c r="R61" s="1883" t="s">
        <v>1563</v>
      </c>
    </row>
    <row r="62" spans="1:18" s="1839" customFormat="1" ht="13.5" thickBot="1">
      <c r="A62" s="1198" t="s">
        <v>1489</v>
      </c>
      <c r="B62" s="1165" t="s">
        <v>1490</v>
      </c>
      <c r="C62" s="25">
        <f ca="1">IF(项目基本情况!B11="自然人","——",ROUND(F62*F63/10000,2))</f>
        <v>1.68</v>
      </c>
      <c r="D62" s="1181" t="s">
        <v>1491</v>
      </c>
      <c r="E62" s="1166" t="s">
        <v>1492</v>
      </c>
      <c r="F62" s="371">
        <f t="shared" si="0"/>
        <v>18</v>
      </c>
      <c r="I62" s="1925" t="s">
        <v>1564</v>
      </c>
      <c r="J62" s="1926" t="s">
        <v>1565</v>
      </c>
      <c r="K62" s="1926" t="s">
        <v>1566</v>
      </c>
      <c r="L62" s="1926" t="s">
        <v>1567</v>
      </c>
      <c r="M62" s="1927" t="s">
        <v>1568</v>
      </c>
      <c r="O62" s="1881" t="s">
        <v>1042</v>
      </c>
      <c r="P62" s="1882" t="s">
        <v>1569</v>
      </c>
      <c r="Q62" s="1883">
        <f ca="1">Q56+Q57</f>
        <v>17491</v>
      </c>
      <c r="R62" s="1883" t="s">
        <v>1043</v>
      </c>
    </row>
    <row r="63" spans="1:18" s="1839" customFormat="1" ht="13.5" thickBot="1">
      <c r="A63" s="372"/>
      <c r="B63" s="1172"/>
      <c r="C63" s="29"/>
      <c r="D63" s="1182"/>
      <c r="E63" s="1166" t="s">
        <v>1493</v>
      </c>
      <c r="F63" s="348">
        <f t="shared" ca="1" si="0"/>
        <v>934.03</v>
      </c>
      <c r="I63" s="1925" t="s">
        <v>1570</v>
      </c>
      <c r="J63" s="1926">
        <v>70</v>
      </c>
      <c r="K63" s="1926">
        <v>50</v>
      </c>
      <c r="L63" s="1926">
        <v>80</v>
      </c>
      <c r="M63" s="1928">
        <v>0.02</v>
      </c>
      <c r="O63" s="1866" t="s">
        <v>1571</v>
      </c>
      <c r="P63" s="1836"/>
      <c r="Q63" s="1836"/>
      <c r="R63" s="1836"/>
    </row>
    <row r="64" spans="1:18" s="1839" customFormat="1" ht="13.5" thickBot="1">
      <c r="A64" s="1198" t="s">
        <v>1494</v>
      </c>
      <c r="B64" s="1166" t="s">
        <v>1495</v>
      </c>
      <c r="C64" s="24">
        <f ca="1">ROUND(C57*F64,1)</f>
        <v>38.700000000000003</v>
      </c>
      <c r="D64" s="1180" t="s">
        <v>1496</v>
      </c>
      <c r="E64" s="1166" t="s">
        <v>1488</v>
      </c>
      <c r="F64" s="374">
        <f t="shared" ca="1" si="0"/>
        <v>1.4999999999999999E-2</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ROUND(C56*F65,1)</f>
        <v>3.9</v>
      </c>
      <c r="D65" s="1180" t="s">
        <v>1448</v>
      </c>
      <c r="E65" s="1166" t="s">
        <v>1449</v>
      </c>
      <c r="F65" s="376">
        <f t="shared" ca="1" si="0"/>
        <v>1.5E-3</v>
      </c>
      <c r="I65" s="1925" t="s">
        <v>1573</v>
      </c>
      <c r="J65" s="1926">
        <v>40</v>
      </c>
      <c r="K65" s="1926">
        <v>30</v>
      </c>
      <c r="L65" s="1926">
        <v>50</v>
      </c>
      <c r="M65" s="1928">
        <v>0.02</v>
      </c>
      <c r="O65" s="1881" t="s">
        <v>1036</v>
      </c>
      <c r="P65" s="1882" t="s">
        <v>1574</v>
      </c>
      <c r="Q65" s="1883">
        <f ca="1">C40+J29</f>
        <v>17491</v>
      </c>
      <c r="R65" s="1883" t="s">
        <v>1523</v>
      </c>
    </row>
    <row r="66" spans="1:18" s="1839" customFormat="1" ht="16.5" thickBot="1">
      <c r="A66" s="1198" t="s">
        <v>1498</v>
      </c>
      <c r="B66" s="1166" t="s">
        <v>1433</v>
      </c>
      <c r="C66" s="24">
        <f ca="1">ROUND(C48*F66,1)</f>
        <v>0</v>
      </c>
      <c r="D66" s="1180" t="s">
        <v>1499</v>
      </c>
      <c r="E66" s="1166" t="s">
        <v>1416</v>
      </c>
      <c r="F66" s="357">
        <f t="shared" ca="1" si="0"/>
        <v>0.01</v>
      </c>
      <c r="O66" s="1881" t="s">
        <v>1037</v>
      </c>
      <c r="P66" s="1882" t="s">
        <v>1552</v>
      </c>
      <c r="Q66" s="1883">
        <f ca="1">L60</f>
        <v>0</v>
      </c>
      <c r="R66" s="1883" t="s">
        <v>1575</v>
      </c>
    </row>
    <row r="67" spans="1:18" s="1839" customFormat="1" ht="16.5" thickBot="1">
      <c r="A67" s="1173" t="s">
        <v>1027</v>
      </c>
      <c r="B67" s="1183" t="s">
        <v>1457</v>
      </c>
      <c r="C67" s="361">
        <f ca="1">C48-C58</f>
        <v>-261</v>
      </c>
      <c r="D67" s="1179" t="s">
        <v>1458</v>
      </c>
      <c r="E67" s="1184"/>
      <c r="F67" s="1185"/>
      <c r="O67" s="1891" t="s">
        <v>1038</v>
      </c>
      <c r="P67" s="1882" t="s">
        <v>1556</v>
      </c>
      <c r="Q67" s="1929">
        <f ca="1">L51</f>
        <v>9088</v>
      </c>
      <c r="R67" s="1883" t="s">
        <v>1576</v>
      </c>
    </row>
    <row r="68" spans="1:18" s="1839" customFormat="1" ht="16.5" thickBot="1">
      <c r="A68" s="1163" t="s">
        <v>1028</v>
      </c>
      <c r="B68" s="1164" t="s">
        <v>1479</v>
      </c>
      <c r="C68" s="346">
        <f ca="1">ROUND(C67*(1-((1+F70)/(1+F68))^F69)/(F68-F70),0)</f>
        <v>-4022</v>
      </c>
      <c r="D68" s="1181" t="s">
        <v>1463</v>
      </c>
      <c r="E68" s="1166" t="s">
        <v>1464</v>
      </c>
      <c r="F68" s="357">
        <f ca="1">F40</f>
        <v>5.5E-2</v>
      </c>
      <c r="O68" s="1891" t="s">
        <v>1039</v>
      </c>
      <c r="P68" s="1930" t="s">
        <v>1577</v>
      </c>
      <c r="Q68" s="1883">
        <f ca="1">ROUND(Q69-Q70*Q71,0)</f>
        <v>549</v>
      </c>
      <c r="R68" s="1883" t="s">
        <v>1047</v>
      </c>
    </row>
    <row r="69" spans="1:18" s="1839" customFormat="1" ht="13.5" thickBot="1">
      <c r="A69" s="1167"/>
      <c r="B69" s="1168"/>
      <c r="C69" s="351"/>
      <c r="D69" s="1186" t="s">
        <v>1467</v>
      </c>
      <c r="E69" s="1166" t="s">
        <v>1468</v>
      </c>
      <c r="F69" s="379">
        <f ca="1">F41</f>
        <v>35.130000000000003</v>
      </c>
      <c r="O69" s="1891" t="s">
        <v>1044</v>
      </c>
      <c r="P69" s="1930" t="s">
        <v>1578</v>
      </c>
      <c r="Q69" s="1883">
        <f ca="1">C39</f>
        <v>768</v>
      </c>
      <c r="R69" s="1883" t="s">
        <v>1523</v>
      </c>
    </row>
    <row r="70" spans="1:18" s="1839" customFormat="1" ht="13.5" thickBot="1">
      <c r="A70" s="1170"/>
      <c r="B70" s="1171"/>
      <c r="C70" s="355"/>
      <c r="D70" s="1182"/>
      <c r="E70" s="1166" t="s">
        <v>1471</v>
      </c>
      <c r="F70" s="1272"/>
      <c r="O70" s="1891" t="s">
        <v>1045</v>
      </c>
      <c r="P70" s="1930" t="s">
        <v>1579</v>
      </c>
      <c r="Q70" s="1883">
        <f ca="1">C13</f>
        <v>2582</v>
      </c>
      <c r="R70" s="1883" t="s">
        <v>1523</v>
      </c>
    </row>
    <row r="71" spans="1:18" s="1839" customFormat="1" ht="13.5" thickBot="1">
      <c r="A71" s="1187" t="s">
        <v>1029</v>
      </c>
      <c r="B71" s="1188" t="s">
        <v>1481</v>
      </c>
      <c r="C71" s="382">
        <f ca="1">ROUND(C68*10000/F71,0)</f>
        <v>-7370</v>
      </c>
      <c r="D71" s="1189" t="s">
        <v>1482</v>
      </c>
      <c r="E71" s="1190" t="s">
        <v>1483</v>
      </c>
      <c r="F71" s="385">
        <f ca="1">F43</f>
        <v>5457.62</v>
      </c>
      <c r="O71" s="1891" t="s">
        <v>1046</v>
      </c>
      <c r="P71" s="1930" t="s">
        <v>1580</v>
      </c>
      <c r="Q71" s="1894">
        <f ca="1">C76</f>
        <v>8.5000000000000006E-2</v>
      </c>
      <c r="R71" s="1883"/>
    </row>
    <row r="72" spans="1:18" s="1839" customFormat="1" ht="13.5" thickBot="1">
      <c r="B72" s="796"/>
      <c r="C72" s="796"/>
      <c r="O72" s="1891" t="s">
        <v>1040</v>
      </c>
      <c r="P72" s="1882" t="s">
        <v>1558</v>
      </c>
      <c r="Q72" s="1894">
        <f>L52</f>
        <v>0</v>
      </c>
      <c r="R72" s="1883"/>
    </row>
    <row r="73" spans="1:18" ht="16.5"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续建工期及建筑物耐用年限下的土地年期修正系数Kn</v>
      </c>
      <c r="Q74" s="1883" t="e">
        <f ca="1">L59</f>
        <v>#DIV/0!</v>
      </c>
      <c r="R74" s="1883" t="s">
        <v>1563</v>
      </c>
    </row>
    <row r="75" spans="1:18" ht="13.5" thickBot="1">
      <c r="A75" s="1839"/>
      <c r="B75" s="386" t="s">
        <v>1500</v>
      </c>
      <c r="C75" s="387">
        <f ca="1">ROUND(C13*C76,0)</f>
        <v>219</v>
      </c>
      <c r="D75" s="1839"/>
      <c r="E75" s="1839"/>
      <c r="F75" s="1839"/>
      <c r="K75" s="1865"/>
      <c r="L75" s="1839"/>
      <c r="O75" s="1881" t="s">
        <v>1042</v>
      </c>
      <c r="P75" s="1882" t="s">
        <v>1543</v>
      </c>
      <c r="Q75" s="1883">
        <f ca="1">Q65+Q66</f>
        <v>17491</v>
      </c>
      <c r="R75" s="1883" t="s">
        <v>1043</v>
      </c>
    </row>
    <row r="76" spans="1:18">
      <c r="B76" s="388" t="s">
        <v>1501</v>
      </c>
      <c r="C76" s="389">
        <f ca="1">INDIRECT("'数据-取费表'!j"&amp;$G$1)</f>
        <v>8.5000000000000006E-2</v>
      </c>
      <c r="I76" s="1839"/>
      <c r="J76" s="1839"/>
      <c r="K76" s="1865"/>
      <c r="L76" s="1839"/>
    </row>
    <row r="77" spans="1:18">
      <c r="B77" s="390" t="s">
        <v>1502</v>
      </c>
      <c r="C77" s="391"/>
      <c r="I77" s="1839"/>
      <c r="J77" s="1839"/>
      <c r="K77" s="1865"/>
      <c r="L77" s="1839"/>
    </row>
    <row r="78" spans="1:18">
      <c r="B78" s="314" t="s">
        <v>1503</v>
      </c>
      <c r="C78" s="392"/>
    </row>
    <row r="79" spans="1:18">
      <c r="B79" s="386" t="s">
        <v>1504</v>
      </c>
      <c r="C79" s="318">
        <f ca="1">1-C80</f>
        <v>0.71500000000000008</v>
      </c>
    </row>
    <row r="80" spans="1:18">
      <c r="B80" s="386" t="s">
        <v>1505</v>
      </c>
      <c r="C80" s="318">
        <f ca="1">ROUND(C75/C39,3)</f>
        <v>0.28499999999999998</v>
      </c>
    </row>
    <row r="81" spans="2:3">
      <c r="B81" s="314" t="s">
        <v>1506</v>
      </c>
      <c r="C81" s="282"/>
    </row>
    <row r="82" spans="2:3">
      <c r="B82" s="317" t="s">
        <v>1507</v>
      </c>
      <c r="C82" s="319">
        <f ca="1">1-C83</f>
        <v>0.85199999999999998</v>
      </c>
    </row>
    <row r="83" spans="2:3">
      <c r="B83" s="317" t="s">
        <v>1508</v>
      </c>
      <c r="C83" s="318">
        <f ca="1">ROUND(C13/C40,3)</f>
        <v>0.14799999999999999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1583</v>
      </c>
      <c r="B1" s="782"/>
      <c r="C1" s="1834"/>
      <c r="D1" s="1817"/>
      <c r="E1" s="1818" t="s">
        <v>1381</v>
      </c>
      <c r="F1" s="1280">
        <f ca="1">J53</f>
        <v>-1</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1584</v>
      </c>
      <c r="B2" s="1841" t="e">
        <f ca="1">ROUND(D2/10000,0)</f>
        <v>#DIV/0!</v>
      </c>
      <c r="C2" s="1842" t="s">
        <v>1585</v>
      </c>
      <c r="D2" s="1934" t="e">
        <f ca="1">C40+J29+L46</f>
        <v>#DIV/0!</v>
      </c>
      <c r="E2" s="1843" t="s">
        <v>1586</v>
      </c>
      <c r="F2" s="1844"/>
      <c r="G2" s="1845"/>
      <c r="H2" s="1837"/>
      <c r="I2" s="1837"/>
      <c r="J2" s="1837"/>
      <c r="K2" s="1838"/>
      <c r="L2" s="1837"/>
      <c r="M2" s="1837"/>
    </row>
    <row r="3" spans="1:37" ht="18" customHeight="1" thickBot="1">
      <c r="A3" s="1846" t="s">
        <v>1587</v>
      </c>
      <c r="B3" s="1847">
        <f ca="1">IF(ISERROR(D2/F43),0,ROUND(D2/F43,0))</f>
        <v>0</v>
      </c>
      <c r="C3" s="1842" t="s">
        <v>1588</v>
      </c>
      <c r="D3" s="1842"/>
      <c r="E3" s="1843"/>
      <c r="F3" s="1844"/>
      <c r="G3" s="1845"/>
      <c r="H3" s="744" t="s">
        <v>1582</v>
      </c>
      <c r="I3" s="1837"/>
      <c r="J3" s="1837"/>
      <c r="K3" s="1838"/>
      <c r="L3" s="1837"/>
      <c r="M3" s="1837"/>
    </row>
    <row r="4" spans="1:37" ht="18" customHeight="1">
      <c r="A4" s="340" t="s">
        <v>1589</v>
      </c>
      <c r="B4" s="341" t="s">
        <v>1590</v>
      </c>
      <c r="C4" s="341" t="s">
        <v>1591</v>
      </c>
      <c r="D4" s="341" t="s">
        <v>1592</v>
      </c>
      <c r="E4" s="342" t="s">
        <v>1593</v>
      </c>
      <c r="F4" s="343"/>
      <c r="G4" s="1848"/>
      <c r="H4" s="340" t="s">
        <v>1589</v>
      </c>
      <c r="I4" s="341" t="s">
        <v>1590</v>
      </c>
      <c r="J4" s="341" t="s">
        <v>1591</v>
      </c>
      <c r="K4" s="341" t="s">
        <v>1592</v>
      </c>
      <c r="L4" s="342" t="s">
        <v>1593</v>
      </c>
      <c r="M4" s="343"/>
    </row>
    <row r="5" spans="1:37" ht="18" customHeight="1">
      <c r="A5" s="344">
        <v>1</v>
      </c>
      <c r="B5" s="345" t="s">
        <v>1594</v>
      </c>
      <c r="C5" s="1289">
        <f ca="1">C6+C10+C12</f>
        <v>0</v>
      </c>
      <c r="D5" s="1819" t="s">
        <v>1595</v>
      </c>
      <c r="E5" s="1290"/>
      <c r="F5" s="1291"/>
      <c r="G5" s="1848"/>
      <c r="H5" s="344">
        <v>1</v>
      </c>
      <c r="I5" s="345" t="s">
        <v>1594</v>
      </c>
      <c r="J5" s="1289">
        <f ca="1">J6+J10+J12</f>
        <v>0</v>
      </c>
      <c r="K5" s="1819" t="s">
        <v>1595</v>
      </c>
      <c r="L5" s="1290"/>
      <c r="M5" s="1291"/>
    </row>
    <row r="6" spans="1:37" ht="18" customHeight="1">
      <c r="A6" s="1288" t="s">
        <v>1031</v>
      </c>
      <c r="B6" s="3338" t="s">
        <v>1397</v>
      </c>
      <c r="C6" s="1293">
        <f ca="1">ROUND(F6*F8*F7*(1-F9),0)</f>
        <v>0</v>
      </c>
      <c r="D6" s="164" t="s">
        <v>3015</v>
      </c>
      <c r="E6" s="347" t="s">
        <v>1399</v>
      </c>
      <c r="F6" s="348">
        <f ca="1">INDIRECT("'数据-取费表'!u"&amp;$G$1)</f>
        <v>0</v>
      </c>
      <c r="G6" s="1848"/>
      <c r="H6" s="1288" t="s">
        <v>1031</v>
      </c>
      <c r="I6" s="3338" t="s">
        <v>1397</v>
      </c>
      <c r="J6" s="346">
        <f ca="1">ROUND(M6*M8*M7*(1-M9),0)</f>
        <v>0</v>
      </c>
      <c r="K6" s="1831" t="s">
        <v>3016</v>
      </c>
      <c r="L6" s="347" t="s">
        <v>1399</v>
      </c>
      <c r="M6" s="348">
        <f ca="1">INDIRECT("'数据-取费表'!z"&amp;$G$1)</f>
        <v>0</v>
      </c>
    </row>
    <row r="7" spans="1:37" ht="18" customHeight="1">
      <c r="A7" s="1292"/>
      <c r="B7" s="3339"/>
      <c r="C7" s="1294"/>
      <c r="D7" s="352"/>
      <c r="E7" s="1295" t="s">
        <v>1400</v>
      </c>
      <c r="F7" s="348">
        <f ca="1">IF(INDIRECT("'数据-取费表'!ah"&amp;$G$1)="",INDIRECT("'数据-取费表'!k"&amp;$G$1),INDIRECT("'数据-取费表'!ah"&amp;$G$1))</f>
        <v>0</v>
      </c>
      <c r="G7" s="1848"/>
      <c r="H7" s="349"/>
      <c r="I7" s="3339"/>
      <c r="J7" s="351"/>
      <c r="K7" s="352"/>
      <c r="L7" s="347" t="s">
        <v>1400</v>
      </c>
      <c r="M7" s="348">
        <f ca="1">F7</f>
        <v>0</v>
      </c>
    </row>
    <row r="8" spans="1:37" ht="18" customHeight="1">
      <c r="A8" s="349"/>
      <c r="B8" s="3339"/>
      <c r="C8" s="351"/>
      <c r="D8" s="352"/>
      <c r="E8" s="347" t="s">
        <v>1401</v>
      </c>
      <c r="F8" s="348">
        <f ca="1">INDIRECT("'数据-取费表'!ai"&amp;$G$1)</f>
        <v>0</v>
      </c>
      <c r="G8" s="1848"/>
      <c r="H8" s="349"/>
      <c r="I8" s="3339"/>
      <c r="J8" s="351"/>
      <c r="K8" s="352"/>
      <c r="L8" s="347" t="s">
        <v>1401</v>
      </c>
      <c r="M8" s="348">
        <f ca="1">INDIRECT("'数据-取费表'!ai"&amp;$G$1)</f>
        <v>0</v>
      </c>
    </row>
    <row r="9" spans="1:37" ht="18" customHeight="1">
      <c r="A9" s="349"/>
      <c r="B9" s="3340"/>
      <c r="C9" s="351"/>
      <c r="D9" s="352"/>
      <c r="E9" s="347" t="s">
        <v>1402</v>
      </c>
      <c r="F9" s="357">
        <f ca="1">INDIRECT("'数据-取费表'!w"&amp;$G$1)</f>
        <v>0</v>
      </c>
      <c r="G9" s="1848"/>
      <c r="H9" s="349"/>
      <c r="I9" s="3340"/>
      <c r="J9" s="351"/>
      <c r="K9" s="352"/>
      <c r="L9" s="358" t="s">
        <v>1402</v>
      </c>
      <c r="M9" s="359">
        <f ca="1">INDIRECT("'数据-取费表'!ab"&amp;$G$1)</f>
        <v>0</v>
      </c>
    </row>
    <row r="10" spans="1:37" ht="18" customHeight="1">
      <c r="A10" s="1288" t="s">
        <v>1035</v>
      </c>
      <c r="B10" s="1820" t="s">
        <v>1403</v>
      </c>
      <c r="C10" s="361">
        <f ca="1">ROUND(IF(F10="押一",C6/12*F11,IF(F10="押二",C6/12*2*F11,IF(F10="押三",C6/12*3*F11,C11*F11))),0)</f>
        <v>0</v>
      </c>
      <c r="D10" s="1821" t="s">
        <v>3026</v>
      </c>
      <c r="E10" s="358" t="s">
        <v>1404</v>
      </c>
      <c r="F10" s="1363"/>
      <c r="G10" s="1848"/>
      <c r="H10" s="1288" t="s">
        <v>1035</v>
      </c>
      <c r="I10" s="1820" t="s">
        <v>1403</v>
      </c>
      <c r="J10" s="346">
        <f ca="1">ROUND(IF(M10="押一",J6/12*M11,IF(M10="押二",J6/12*2*M11,IF(M10="押三",J6/12*3*M11,J11*M11))),0)</f>
        <v>0</v>
      </c>
      <c r="K10" s="1832" t="s">
        <v>3028</v>
      </c>
      <c r="L10" s="358" t="s">
        <v>1404</v>
      </c>
      <c r="M10" s="1363"/>
    </row>
    <row r="11" spans="1:37" ht="18" customHeight="1">
      <c r="A11" s="353"/>
      <c r="B11" s="1822" t="s">
        <v>1596</v>
      </c>
      <c r="C11" s="1175"/>
      <c r="D11" s="352"/>
      <c r="E11" s="358" t="s">
        <v>1406</v>
      </c>
      <c r="F11" s="359">
        <f ca="1">'数据-取费表'!B39</f>
        <v>1.4999999999999999E-2</v>
      </c>
      <c r="G11" s="1848"/>
      <c r="H11" s="1296"/>
      <c r="I11" s="1822" t="s">
        <v>1597</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8"/>
      <c r="H13" s="1326">
        <v>2</v>
      </c>
      <c r="I13" s="1327" t="s">
        <v>1408</v>
      </c>
      <c r="J13" s="1287">
        <f ca="1">ROUND(J14*J15,0)</f>
        <v>0</v>
      </c>
      <c r="K13" s="1334" t="s">
        <v>1409</v>
      </c>
      <c r="L13" s="1849"/>
      <c r="M13" s="1850"/>
    </row>
    <row r="14" spans="1:37" ht="18" customHeight="1">
      <c r="A14" s="1198" t="s">
        <v>1030</v>
      </c>
      <c r="B14" s="347" t="s">
        <v>1411</v>
      </c>
      <c r="C14" s="363">
        <f ca="1">ROUND(INDIRECT("'数据-取费表'!l"&amp;$G$1)*F43+'数据-取费表'!L14*INDIRECT("'数据-取费表'!S"&amp;$G$1),0)</f>
        <v>0</v>
      </c>
      <c r="D14" s="1797" t="s">
        <v>1412</v>
      </c>
      <c r="E14" s="1791"/>
      <c r="F14" s="364"/>
      <c r="G14" s="1848"/>
      <c r="H14" s="1198" t="s">
        <v>1031</v>
      </c>
      <c r="I14" s="347" t="s">
        <v>1413</v>
      </c>
      <c r="J14" s="24">
        <f ca="1">C29</f>
        <v>0</v>
      </c>
      <c r="K14" s="15"/>
      <c r="L14" s="976"/>
      <c r="M14" s="977"/>
    </row>
    <row r="15" spans="1:37" s="1855" customFormat="1" ht="18" customHeight="1" thickBot="1">
      <c r="A15" s="1198" t="s">
        <v>1032</v>
      </c>
      <c r="B15" s="347" t="s">
        <v>1414</v>
      </c>
      <c r="C15" s="24">
        <f ca="1">ROUND(C14*F15,0)</f>
        <v>0</v>
      </c>
      <c r="D15" s="365" t="s">
        <v>1415</v>
      </c>
      <c r="E15" s="365" t="s">
        <v>1416</v>
      </c>
      <c r="F15" s="366">
        <f>'数据-取费表'!B33</f>
        <v>0.05</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ROUND(INDIRECT("'数据-取费表'!l"&amp;$G$1)*F43*F16,0)</f>
        <v>0</v>
      </c>
      <c r="D16" s="347" t="s">
        <v>1415</v>
      </c>
      <c r="E16" s="347" t="s">
        <v>1416</v>
      </c>
      <c r="F16" s="367">
        <f ca="1">IF(INDIRECT("'数据-取费表'!c"&amp;$G$1)="住宅",'数据-取费表'!B34,0)</f>
        <v>0</v>
      </c>
      <c r="G16" s="1848"/>
      <c r="H16" s="1326" t="s">
        <v>1026</v>
      </c>
      <c r="I16" s="1327" t="s">
        <v>1418</v>
      </c>
      <c r="J16" s="355">
        <f ca="1">ROUND(J17+J22+J23+J24,0)</f>
        <v>0</v>
      </c>
      <c r="K16" s="1334" t="s">
        <v>1419</v>
      </c>
      <c r="L16" s="1335"/>
      <c r="M16" s="1291"/>
    </row>
    <row r="17" spans="1:37" s="1855" customFormat="1" ht="18" customHeight="1">
      <c r="A17" s="1198" t="s">
        <v>1384</v>
      </c>
      <c r="B17" s="347" t="s">
        <v>1420</v>
      </c>
      <c r="C17" s="24">
        <f ca="1">ROUND(F17*(F43+INDIRECT("'数据-取费表'!S"&amp;$G$1)),0)</f>
        <v>0</v>
      </c>
      <c r="D17" s="347" t="s">
        <v>1421</v>
      </c>
      <c r="E17" s="347" t="s">
        <v>1422</v>
      </c>
      <c r="F17" s="26">
        <f>'数据-取费表'!B35</f>
        <v>200</v>
      </c>
      <c r="G17" s="1851"/>
      <c r="H17" s="1198" t="s">
        <v>1031</v>
      </c>
      <c r="I17" s="347" t="s">
        <v>1423</v>
      </c>
      <c r="J17" s="24">
        <f ca="1">ROUND(IF(项目基本情况!B11="自然人",J6*M17/(1+'数据-取费表'!C42),J18+J19+J20),0)</f>
        <v>0</v>
      </c>
      <c r="K17" s="1797" t="s">
        <v>1424</v>
      </c>
      <c r="L17" s="1795"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0</v>
      </c>
      <c r="D18" s="347" t="s">
        <v>1415</v>
      </c>
      <c r="E18" s="347" t="s">
        <v>1416</v>
      </c>
      <c r="F18" s="367">
        <f>'数据-取费表'!B36</f>
        <v>1.4999999999999999E-2</v>
      </c>
      <c r="G18" s="1851"/>
      <c r="H18" s="1198" t="s">
        <v>1030</v>
      </c>
      <c r="I18" s="347" t="s">
        <v>1427</v>
      </c>
      <c r="J18" s="24">
        <f ca="1">ROUND(J6*M18/(1+'数据-取费表'!C42),0)</f>
        <v>0</v>
      </c>
      <c r="K18" s="1795"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0</v>
      </c>
      <c r="D19" s="140" t="s">
        <v>1430</v>
      </c>
      <c r="E19" s="1815"/>
      <c r="F19" s="26"/>
      <c r="G19" s="1848"/>
      <c r="H19" s="1198" t="s">
        <v>1032</v>
      </c>
      <c r="I19" s="347" t="s">
        <v>1431</v>
      </c>
      <c r="J19" s="24">
        <f ca="1">IF(K19="按租金收入计税",ROUND(J6*M19/(1+'数据-取费表'!C42),0),ROUND(C29*M19*0.7,0))</f>
        <v>0</v>
      </c>
      <c r="K19" s="1825" t="s">
        <v>1432</v>
      </c>
      <c r="L19" s="347" t="s">
        <v>1416</v>
      </c>
      <c r="M19" s="367">
        <f>IF(K19="按租金收入计税",'数据-取费表'!B51,'数据-取费表'!B50)</f>
        <v>1.2E-2</v>
      </c>
    </row>
    <row r="20" spans="1:37" s="1855" customFormat="1" ht="18" customHeight="1">
      <c r="A20" s="1198" t="s">
        <v>1035</v>
      </c>
      <c r="B20" s="347" t="s">
        <v>1433</v>
      </c>
      <c r="C20" s="24">
        <f ca="1">ROUND(C19*F20,0)</f>
        <v>0</v>
      </c>
      <c r="D20" s="369" t="s">
        <v>1434</v>
      </c>
      <c r="E20" s="347" t="s">
        <v>1416</v>
      </c>
      <c r="F20" s="367">
        <f>'数据-取费表'!B37</f>
        <v>0.02</v>
      </c>
      <c r="G20" s="1851"/>
      <c r="H20" s="1198" t="s">
        <v>1383</v>
      </c>
      <c r="I20" s="164" t="s">
        <v>1435</v>
      </c>
      <c r="J20" s="25">
        <f ca="1">ROUND(M20*M21,0)</f>
        <v>0</v>
      </c>
      <c r="K20" s="370" t="s">
        <v>1436</v>
      </c>
      <c r="L20" s="347" t="s">
        <v>1437</v>
      </c>
      <c r="M20" s="371">
        <f>'数据-取费表'!B52</f>
        <v>18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v>
      </c>
      <c r="D21" s="369" t="s">
        <v>1439</v>
      </c>
      <c r="E21" s="347" t="s">
        <v>1440</v>
      </c>
      <c r="F21" s="367">
        <f>'数据-取费表'!B38</f>
        <v>0.03</v>
      </c>
      <c r="G21" s="1851"/>
      <c r="H21" s="372"/>
      <c r="I21" s="356"/>
      <c r="J21" s="29"/>
      <c r="K21" s="373"/>
      <c r="L21" s="347" t="s">
        <v>1441</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15"/>
      <c r="F22" s="26"/>
      <c r="G22" s="1848"/>
      <c r="H22" s="1198" t="s">
        <v>1035</v>
      </c>
      <c r="I22" s="347" t="s">
        <v>1443</v>
      </c>
      <c r="J22" s="24">
        <f ca="1">ROUND(J14*M22,0)</f>
        <v>0</v>
      </c>
      <c r="K22" s="1795" t="s">
        <v>1444</v>
      </c>
      <c r="L22" s="347" t="s">
        <v>1416</v>
      </c>
      <c r="M22" s="374">
        <f ca="1">INDIRECT("'数据-取费表'!Ak"&amp;$G$1)</f>
        <v>0</v>
      </c>
    </row>
    <row r="23" spans="1:37" s="1855" customFormat="1" ht="18" customHeight="1">
      <c r="A23" s="1198"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1"/>
      <c r="H23" s="1198" t="s">
        <v>1071</v>
      </c>
      <c r="I23" s="347" t="s">
        <v>1447</v>
      </c>
      <c r="J23" s="24">
        <f ca="1">ROUND(J13*M23,0)</f>
        <v>0</v>
      </c>
      <c r="K23" s="1795" t="s">
        <v>1448</v>
      </c>
      <c r="L23" s="347" t="s">
        <v>1449</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1450</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1"/>
      <c r="H24" s="1336" t="s">
        <v>1387</v>
      </c>
      <c r="I24" s="1337" t="s">
        <v>1433</v>
      </c>
      <c r="J24" s="1338">
        <f ca="1">ROUND(J5*M24,0)</f>
        <v>0</v>
      </c>
      <c r="K24" s="1339" t="s">
        <v>1453</v>
      </c>
      <c r="L24" s="1337" t="s">
        <v>1449</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1454</v>
      </c>
      <c r="B25" s="347" t="s">
        <v>1455</v>
      </c>
      <c r="C25" s="24"/>
      <c r="D25" s="140" t="s">
        <v>1456</v>
      </c>
      <c r="E25" s="1815"/>
      <c r="F25" s="26"/>
      <c r="G25" s="1848"/>
      <c r="H25" s="1326" t="s">
        <v>1027</v>
      </c>
      <c r="I25" s="1341" t="s">
        <v>1457</v>
      </c>
      <c r="J25" s="355">
        <f ca="1">J5-J16</f>
        <v>0</v>
      </c>
      <c r="K25" s="1342" t="s">
        <v>1458</v>
      </c>
      <c r="L25" s="1343"/>
      <c r="M25" s="1344"/>
    </row>
    <row r="26" spans="1:37" ht="18" customHeight="1">
      <c r="A26" s="1198" t="s">
        <v>1030</v>
      </c>
      <c r="B26" s="347" t="s">
        <v>1459</v>
      </c>
      <c r="C26" s="24">
        <f ca="1">ROUND((C19+C20)*F26,0)</f>
        <v>0</v>
      </c>
      <c r="D26" s="369" t="s">
        <v>1460</v>
      </c>
      <c r="E26" s="358" t="s">
        <v>1461</v>
      </c>
      <c r="F26" s="357">
        <f ca="1">INDIRECT("'数据-取费表'!q"&amp;$G$1)</f>
        <v>0</v>
      </c>
      <c r="G26" s="1848"/>
      <c r="H26" s="344" t="s">
        <v>1028</v>
      </c>
      <c r="I26" s="345" t="s">
        <v>1462</v>
      </c>
      <c r="J26" s="346">
        <f ca="1">IF(J5&lt;&gt;0,ROUND(J25*(1-((1+M28)/(1+M26))^M27)/(M26-M28),0),0)</f>
        <v>0</v>
      </c>
      <c r="K26" s="370" t="s">
        <v>1463</v>
      </c>
      <c r="L26" s="347" t="s">
        <v>1464</v>
      </c>
      <c r="M26" s="357">
        <f ca="1">INDIRECT("'数据-取费表'!I"&amp;$G$1)</f>
        <v>0</v>
      </c>
    </row>
    <row r="27" spans="1:37" ht="18" customHeight="1">
      <c r="A27" s="1198" t="s">
        <v>1032</v>
      </c>
      <c r="B27" s="347" t="s">
        <v>1465</v>
      </c>
      <c r="C27" s="24">
        <f ca="1">ROUND(F21*F26,4)</f>
        <v>0</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0</v>
      </c>
      <c r="D29" s="1339"/>
      <c r="E29" s="1337"/>
      <c r="F29" s="1340"/>
      <c r="G29" s="1851"/>
      <c r="H29" s="380" t="s">
        <v>1029</v>
      </c>
      <c r="I29" s="381" t="s">
        <v>1473</v>
      </c>
      <c r="J29" s="382">
        <f ca="1">ROUND(J26/(1+F40)^F41,0)</f>
        <v>0</v>
      </c>
      <c r="K29" s="383" t="s">
        <v>1474</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0</v>
      </c>
      <c r="D30" s="1334" t="s">
        <v>1419</v>
      </c>
      <c r="E30" s="1335"/>
      <c r="F30" s="1291"/>
      <c r="G30" s="1848"/>
      <c r="H30" s="745"/>
      <c r="I30" s="746"/>
      <c r="J30" s="747"/>
      <c r="K30" s="748"/>
      <c r="L30" s="749"/>
      <c r="M30" s="750"/>
    </row>
    <row r="31" spans="1:37" ht="18" customHeight="1">
      <c r="A31" s="1198" t="s">
        <v>1031</v>
      </c>
      <c r="B31" s="347" t="s">
        <v>1423</v>
      </c>
      <c r="C31" s="24">
        <f ca="1">ROUND(IF(项目基本情况!B11="自然人",C6*F31/(1+'数据-取费表'!C42),C32+C33+C34),0)</f>
        <v>0</v>
      </c>
      <c r="D31" s="1797" t="s">
        <v>1424</v>
      </c>
      <c r="E31" s="1795"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IF(项目基本情况!B11="自然人","——",ROUND(C6*F32/(1+'数据-取费表'!C42),0))</f>
        <v>0</v>
      </c>
      <c r="D32" s="1795"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IF(项目基本情况!B11="自然人","——",IF(D33="按租金收入计税",ROUND(C6*F33/(1+'数据-取费表'!C42),0),IF(D33="按房产原值计税",ROUND(C29*F33*0.7,0),INDIRECT("'数据-取费表'!Aj"&amp;$G$1))))</f>
        <v>0</v>
      </c>
      <c r="D33" s="1825" t="s">
        <v>1432</v>
      </c>
      <c r="E33" s="347" t="s">
        <v>1416</v>
      </c>
      <c r="F33" s="367">
        <f>IF(D33="按票据","——",IF(D33="按租金收入计税",'数据-取费表'!B51,'数据-取费表'!B50))</f>
        <v>1.2E-2</v>
      </c>
      <c r="G33" s="1848"/>
      <c r="H33" s="1856"/>
      <c r="I33" s="1857"/>
      <c r="J33" s="1858"/>
      <c r="K33" s="1859"/>
      <c r="L33" s="1856"/>
      <c r="M33" s="1856"/>
    </row>
    <row r="34" spans="1:18" ht="18" customHeight="1">
      <c r="A34" s="1288" t="s">
        <v>1383</v>
      </c>
      <c r="B34" s="164" t="s">
        <v>1435</v>
      </c>
      <c r="C34" s="25">
        <f ca="1">IF(项目基本情况!B11="自然人","——",ROUND(F34*F35,))</f>
        <v>0</v>
      </c>
      <c r="D34" s="370" t="s">
        <v>1436</v>
      </c>
      <c r="E34" s="347" t="s">
        <v>1437</v>
      </c>
      <c r="F34" s="371">
        <f>'数据-取费表'!B52</f>
        <v>18</v>
      </c>
      <c r="G34" s="1848"/>
      <c r="H34" s="745"/>
      <c r="I34" s="1857"/>
      <c r="J34" s="1858"/>
      <c r="K34" s="1860"/>
      <c r="L34" s="1861"/>
      <c r="M34" s="1861"/>
    </row>
    <row r="35" spans="1:18" ht="18" customHeight="1">
      <c r="A35" s="1350"/>
      <c r="B35" s="1348"/>
      <c r="C35" s="29"/>
      <c r="D35" s="373"/>
      <c r="E35" s="347" t="s">
        <v>1441</v>
      </c>
      <c r="F35" s="348">
        <f ca="1">INDIRECT("'数据-取费表'!r"&amp;$G$1)</f>
        <v>0</v>
      </c>
      <c r="G35" s="1848"/>
      <c r="H35" s="745"/>
      <c r="I35" s="1857"/>
      <c r="J35" s="1858"/>
      <c r="K35" s="1859"/>
      <c r="L35" s="1856"/>
      <c r="M35" s="1856"/>
    </row>
    <row r="36" spans="1:18" ht="18" customHeight="1">
      <c r="A36" s="1349" t="s">
        <v>1035</v>
      </c>
      <c r="B36" s="347" t="s">
        <v>1443</v>
      </c>
      <c r="C36" s="24">
        <f ca="1">ROUND(C29*F36,0)</f>
        <v>0</v>
      </c>
      <c r="D36" s="1795" t="s">
        <v>1476</v>
      </c>
      <c r="E36" s="347" t="s">
        <v>1416</v>
      </c>
      <c r="F36" s="374">
        <f ca="1">INDIRECT("'数据-取费表'!Ak"&amp;$G$1)</f>
        <v>0</v>
      </c>
      <c r="G36" s="1848"/>
      <c r="H36" s="1856"/>
      <c r="I36" s="1857"/>
      <c r="J36" s="1858"/>
      <c r="K36" s="751"/>
      <c r="L36" s="1856"/>
      <c r="M36" s="1856"/>
    </row>
    <row r="37" spans="1:18" ht="18" customHeight="1">
      <c r="A37" s="1198" t="s">
        <v>1071</v>
      </c>
      <c r="B37" s="347" t="s">
        <v>1447</v>
      </c>
      <c r="C37" s="24">
        <f ca="1">ROUND(C13*F37,0)</f>
        <v>0</v>
      </c>
      <c r="D37" s="1795" t="s">
        <v>1448</v>
      </c>
      <c r="E37" s="347" t="s">
        <v>1449</v>
      </c>
      <c r="F37" s="376">
        <f ca="1">INDIRECT("'数据-取费表'!Al"&amp;$G$1)</f>
        <v>0</v>
      </c>
      <c r="G37" s="1848"/>
      <c r="H37" s="1856"/>
      <c r="I37" s="1857"/>
      <c r="J37" s="1858"/>
      <c r="K37" s="751"/>
      <c r="L37" s="1856"/>
      <c r="M37" s="1856"/>
    </row>
    <row r="38" spans="1:18" ht="18" customHeight="1" thickBot="1">
      <c r="A38" s="1336" t="s">
        <v>1387</v>
      </c>
      <c r="B38" s="1337" t="s">
        <v>1433</v>
      </c>
      <c r="C38" s="1338">
        <f ca="1">ROUND(C5*F38,1)</f>
        <v>0</v>
      </c>
      <c r="D38" s="1339" t="s">
        <v>1453</v>
      </c>
      <c r="E38" s="1337" t="s">
        <v>1449</v>
      </c>
      <c r="F38" s="1333">
        <f ca="1">INDIRECT("'数据-取费表'!Am"&amp;$G$1)</f>
        <v>0</v>
      </c>
      <c r="G38" s="1848"/>
      <c r="H38" s="1856"/>
      <c r="I38" s="1857"/>
      <c r="J38" s="1858"/>
      <c r="K38" s="1862"/>
      <c r="L38" s="1856"/>
      <c r="M38" s="1856"/>
    </row>
    <row r="39" spans="1:18" ht="24.6" customHeight="1" thickTop="1">
      <c r="A39" s="1326" t="s">
        <v>1027</v>
      </c>
      <c r="B39" s="1341" t="s">
        <v>1477</v>
      </c>
      <c r="C39" s="355">
        <f ca="1">C5-C30</f>
        <v>0</v>
      </c>
      <c r="D39" s="1342" t="s">
        <v>1478</v>
      </c>
      <c r="E39" s="1343"/>
      <c r="F39" s="1344"/>
      <c r="G39" s="1848"/>
      <c r="H39" s="1856"/>
      <c r="I39" s="1857"/>
      <c r="J39" s="1858"/>
      <c r="K39" s="1862"/>
      <c r="L39" s="1856"/>
      <c r="M39" s="1856"/>
    </row>
    <row r="40" spans="1:18" ht="18" customHeight="1">
      <c r="A40" s="344" t="s">
        <v>1028</v>
      </c>
      <c r="B40" s="345" t="s">
        <v>1479</v>
      </c>
      <c r="C40" s="346" t="e">
        <f ca="1">ROUND(C39*(1-((1+F42)/(1+F40))^F41)/(F40-F42),0)</f>
        <v>#DIV/0!</v>
      </c>
      <c r="D40" s="370" t="s">
        <v>1463</v>
      </c>
      <c r="E40" s="347" t="s">
        <v>1464</v>
      </c>
      <c r="F40" s="357">
        <f ca="1">INDIRECT("'数据-取费表'!I"&amp;$G$1)</f>
        <v>0</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1471</v>
      </c>
      <c r="F42" s="357">
        <f ca="1">INDIRECT("'数据-取费表'!v"&amp;$G$1)</f>
        <v>0</v>
      </c>
      <c r="G42" s="1848"/>
      <c r="H42" s="732"/>
      <c r="I42" s="1857"/>
      <c r="J42" s="1858"/>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5" t="e">
        <f ca="1">C68-C40</f>
        <v>#DIV/0!</v>
      </c>
      <c r="D45" s="1936" t="s">
        <v>1598</v>
      </c>
      <c r="E45" s="1863"/>
      <c r="F45" s="1863"/>
      <c r="O45" s="1866" t="s">
        <v>1513</v>
      </c>
      <c r="P45" s="1836"/>
      <c r="Q45" s="1836"/>
      <c r="R45" s="1836"/>
    </row>
    <row r="46" spans="1:18" s="1839" customFormat="1" ht="13.5" thickBot="1">
      <c r="A46" s="1867" t="s">
        <v>1514</v>
      </c>
      <c r="C46" s="1868" t="e">
        <f ca="1">ROUND(C45/10000,0)</f>
        <v>#DIV/0!</v>
      </c>
      <c r="D46" s="1869" t="str">
        <f>C2</f>
        <v>万元</v>
      </c>
      <c r="I46" s="1870" t="s">
        <v>1515</v>
      </c>
      <c r="J46" s="1871"/>
      <c r="K46" s="1872"/>
      <c r="L46" s="1873" t="e">
        <f ca="1">IF(M47="住宅",0,IF(L48&gt;J51,L60,J60))</f>
        <v>#DIV/0!</v>
      </c>
      <c r="O46" s="1874" t="s">
        <v>1516</v>
      </c>
      <c r="P46" s="1875" t="s">
        <v>1517</v>
      </c>
      <c r="Q46" s="1876" t="s">
        <v>1518</v>
      </c>
      <c r="R46" s="1876" t="s">
        <v>1519</v>
      </c>
    </row>
    <row r="47" spans="1:18" s="1839" customFormat="1" ht="13.5" thickBot="1">
      <c r="A47" s="1162" t="s">
        <v>1390</v>
      </c>
      <c r="B47" s="1194" t="s">
        <v>1391</v>
      </c>
      <c r="C47" s="1194" t="s">
        <v>1392</v>
      </c>
      <c r="D47" s="1194" t="s">
        <v>1393</v>
      </c>
      <c r="E47" s="1276" t="s">
        <v>1394</v>
      </c>
      <c r="F47" s="1277"/>
      <c r="G47" s="792"/>
      <c r="I47" s="1877" t="s">
        <v>1520</v>
      </c>
      <c r="J47" s="1878"/>
      <c r="K47" s="1879" t="s">
        <v>1521</v>
      </c>
      <c r="L47" s="1880">
        <f ca="1">INDIRECT("'数据-取费表'!d"&amp;$G$1)</f>
        <v>0</v>
      </c>
      <c r="M47" s="1835" t="str">
        <f>IF(ISNUMBER(FIND("住宅",C1)),"住宅","非住宅")</f>
        <v>非住宅</v>
      </c>
      <c r="O47" s="1881" t="s">
        <v>1036</v>
      </c>
      <c r="P47" s="1882" t="s">
        <v>1522</v>
      </c>
      <c r="Q47" s="1883" t="e">
        <f ca="1">C40+J29</f>
        <v>#DIV/0!</v>
      </c>
      <c r="R47" s="1883" t="s">
        <v>1523</v>
      </c>
    </row>
    <row r="48" spans="1:18" s="1839" customFormat="1" ht="28.5" thickBot="1">
      <c r="A48" s="1357" t="s">
        <v>1131</v>
      </c>
      <c r="B48" s="345" t="s">
        <v>1395</v>
      </c>
      <c r="C48" s="1814">
        <f ca="1">C49+C53+C55</f>
        <v>0</v>
      </c>
      <c r="D48" s="1359"/>
      <c r="E48" s="1360"/>
      <c r="F48" s="1178"/>
      <c r="G48" s="792"/>
      <c r="H48" s="793"/>
      <c r="I48" s="1884" t="s">
        <v>1524</v>
      </c>
      <c r="J48" s="1885"/>
      <c r="K48" s="1886" t="s">
        <v>1525</v>
      </c>
      <c r="L48" s="1887">
        <f ca="1">INDIRECT("'数据-取费表'!f"&amp;$G$1)</f>
        <v>0</v>
      </c>
      <c r="O48" s="1881" t="s">
        <v>1037</v>
      </c>
      <c r="P48" s="1882" t="s">
        <v>1526</v>
      </c>
      <c r="Q48" s="1883" t="e">
        <f ca="1">J60</f>
        <v>#DIV/0!</v>
      </c>
      <c r="R48" s="1883" t="s">
        <v>1527</v>
      </c>
    </row>
    <row r="49" spans="1:18" s="1839" customFormat="1" ht="13.5" thickBot="1">
      <c r="A49" s="1191" t="s">
        <v>1132</v>
      </c>
      <c r="B49" s="1826" t="s">
        <v>1484</v>
      </c>
      <c r="C49" s="1361">
        <f ca="1">ROUND(F49*F51*F50*(1-F52),0)</f>
        <v>0</v>
      </c>
      <c r="D49" s="1273" t="s">
        <v>1398</v>
      </c>
      <c r="E49" s="1827" t="s">
        <v>1485</v>
      </c>
      <c r="F49" s="1278"/>
      <c r="G49" s="1888"/>
      <c r="H49" s="793"/>
      <c r="I49" s="1884" t="s">
        <v>1528</v>
      </c>
      <c r="J49" s="1889"/>
      <c r="K49" s="1886" t="s">
        <v>1529</v>
      </c>
      <c r="L49" s="1890"/>
      <c r="O49" s="1891" t="s">
        <v>1038</v>
      </c>
      <c r="P49" s="1882" t="s">
        <v>1530</v>
      </c>
      <c r="Q49" s="1883">
        <f ca="1">C29</f>
        <v>0</v>
      </c>
      <c r="R49" s="1883" t="s">
        <v>1523</v>
      </c>
    </row>
    <row r="50" spans="1:18" s="1839" customFormat="1" ht="13.5" thickBot="1">
      <c r="A50" s="1192"/>
      <c r="B50" s="1195"/>
      <c r="C50" s="1196"/>
      <c r="D50" s="1169"/>
      <c r="E50" s="1274" t="s">
        <v>1400</v>
      </c>
      <c r="F50" s="1275">
        <f ca="1">F7</f>
        <v>0</v>
      </c>
      <c r="H50" s="793"/>
      <c r="I50" s="1884" t="s">
        <v>1531</v>
      </c>
      <c r="J50" s="1892">
        <f>SUMPRODUCT((I63:I65=J47)*(J62:L62=J48)*(J63:L65))</f>
        <v>0</v>
      </c>
      <c r="K50" s="1886" t="s">
        <v>1532</v>
      </c>
      <c r="L50" s="1890"/>
      <c r="M50" s="1893"/>
      <c r="O50" s="1891" t="s">
        <v>1039</v>
      </c>
      <c r="P50" s="1882" t="s">
        <v>1533</v>
      </c>
      <c r="Q50" s="1894" t="e">
        <f ca="1">J58</f>
        <v>#DIV/0!</v>
      </c>
      <c r="R50" s="1883"/>
    </row>
    <row r="51" spans="1:18" s="1839" customFormat="1" ht="13.5" thickBot="1">
      <c r="A51" s="1193"/>
      <c r="B51" s="1195"/>
      <c r="C51" s="1196"/>
      <c r="D51" s="1169"/>
      <c r="E51" s="1197" t="s">
        <v>1401</v>
      </c>
      <c r="F51" s="348">
        <f ca="1">F8</f>
        <v>0</v>
      </c>
      <c r="I51" s="1895" t="s">
        <v>1534</v>
      </c>
      <c r="J51" s="1896">
        <f>IF(J49="",J50,J49+J50-YEAR('数据-取费表'!B2))</f>
        <v>0</v>
      </c>
      <c r="K51" s="1897" t="s">
        <v>1535</v>
      </c>
      <c r="L51" s="1898">
        <f ca="1">ROUND(-PV(INDIRECT("'数据-取费表'!h"&amp;$G$1),L48,(C39-C13*C76),0),0)</f>
        <v>0</v>
      </c>
      <c r="M51" s="1899"/>
      <c r="O51" s="1891" t="s">
        <v>1040</v>
      </c>
      <c r="P51" s="1882" t="s">
        <v>1536</v>
      </c>
      <c r="Q51" s="1894">
        <f>J52</f>
        <v>0</v>
      </c>
      <c r="R51" s="1883"/>
    </row>
    <row r="52" spans="1:18" s="1839" customFormat="1" ht="13.5" thickBot="1">
      <c r="A52" s="1193"/>
      <c r="B52" s="1195"/>
      <c r="C52" s="1196"/>
      <c r="D52" s="1169"/>
      <c r="E52" s="1197" t="s">
        <v>1402</v>
      </c>
      <c r="F52" s="1272"/>
      <c r="I52" s="1900" t="s">
        <v>1537</v>
      </c>
      <c r="J52" s="1901"/>
      <c r="K52" s="1900" t="s">
        <v>1538</v>
      </c>
      <c r="L52" s="1901"/>
      <c r="O52" s="1891" t="s">
        <v>1041</v>
      </c>
      <c r="P52" s="1882" t="s">
        <v>1539</v>
      </c>
      <c r="Q52" s="1883">
        <f ca="1">J53</f>
        <v>-1</v>
      </c>
      <c r="R52" s="1883" t="s">
        <v>1540</v>
      </c>
    </row>
    <row r="53" spans="1:18" s="1839" customFormat="1" ht="30.75" customHeight="1" thickBot="1">
      <c r="A53" s="1358" t="s">
        <v>1133</v>
      </c>
      <c r="B53" s="369" t="s">
        <v>1403</v>
      </c>
      <c r="C53" s="361">
        <f ca="1">ROUND(IF(F53="押一",C49/12*F11,IF(F53="押二",C49/12*2*F11,IF(F53="押三",C49/12*3*F11,C54*F11))),0)</f>
        <v>0</v>
      </c>
      <c r="D53" s="1821" t="s">
        <v>3029</v>
      </c>
      <c r="E53" s="358" t="s">
        <v>1404</v>
      </c>
      <c r="F53" s="1363"/>
      <c r="I53" s="1902" t="s">
        <v>1541</v>
      </c>
      <c r="J53" s="2942">
        <f ca="1">IF(M47="住宅",IF(D1="——",MAX(J51,L48),MAX(J51,L48-'数据-取费表'!B24)),IF(D1="——",MIN(J51,L48),MIN(J51,L48-'数据-取费表'!B24)))</f>
        <v>-1</v>
      </c>
      <c r="K53" s="3336" t="s">
        <v>1542</v>
      </c>
      <c r="L53" s="3337"/>
      <c r="O53" s="1881" t="s">
        <v>1042</v>
      </c>
      <c r="P53" s="1882" t="s">
        <v>1543</v>
      </c>
      <c r="Q53" s="1883" t="e">
        <f ca="1">Q47+Q48</f>
        <v>#DIV/0!</v>
      </c>
      <c r="R53" s="1883" t="s">
        <v>1043</v>
      </c>
    </row>
    <row r="54" spans="1:18" s="1839" customFormat="1" ht="13.5" thickBot="1">
      <c r="A54" s="1191"/>
      <c r="B54" s="1937" t="s">
        <v>1597</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1544</v>
      </c>
      <c r="P54" s="1836"/>
      <c r="Q54" s="1836"/>
      <c r="R54" s="1836"/>
    </row>
    <row r="55" spans="1:18" s="1839" customFormat="1" ht="13.5" thickBot="1">
      <c r="A55" s="1330" t="s">
        <v>1071</v>
      </c>
      <c r="B55" s="1824" t="s">
        <v>1407</v>
      </c>
      <c r="C55" s="1331"/>
      <c r="D55" s="1821"/>
      <c r="E55" s="1829"/>
      <c r="F55" s="1903"/>
      <c r="I55" s="1906" t="s">
        <v>1545</v>
      </c>
      <c r="J55" s="1907" t="e">
        <f ca="1">ROUND(IF(J47="钢混",J57/J50,1-(1-2%)*(J50-J57)/J50),3)</f>
        <v>#DIV/0!</v>
      </c>
      <c r="K55" s="1908" t="s">
        <v>1546</v>
      </c>
      <c r="L55" s="1909"/>
      <c r="O55" s="1874" t="s">
        <v>1516</v>
      </c>
      <c r="P55" s="1875" t="s">
        <v>1517</v>
      </c>
      <c r="Q55" s="1876" t="s">
        <v>1518</v>
      </c>
      <c r="R55" s="1876" t="s">
        <v>1519</v>
      </c>
    </row>
    <row r="56" spans="1:18" s="1839" customFormat="1" ht="36" customHeight="1" thickTop="1" thickBot="1">
      <c r="A56" s="1173">
        <v>2</v>
      </c>
      <c r="B56" s="1174" t="s">
        <v>1408</v>
      </c>
      <c r="C56" s="276">
        <f ca="1">C13</f>
        <v>0</v>
      </c>
      <c r="D56" s="1910"/>
      <c r="E56" s="1911"/>
      <c r="F56" s="1903"/>
      <c r="I56" s="1912" t="s">
        <v>1548</v>
      </c>
      <c r="J56" s="1913"/>
      <c r="K56" s="1884" t="s">
        <v>1549</v>
      </c>
      <c r="L56" s="1887">
        <f ca="1">IF(L48&lt;J51,"——",L48-J51)</f>
        <v>0</v>
      </c>
      <c r="O56" s="1881" t="s">
        <v>1036</v>
      </c>
      <c r="P56" s="1882" t="s">
        <v>1522</v>
      </c>
      <c r="Q56" s="1883" t="e">
        <f ca="1">C40+J29</f>
        <v>#DIV/0!</v>
      </c>
      <c r="R56" s="1883" t="s">
        <v>1523</v>
      </c>
    </row>
    <row r="57" spans="1:18" s="1839" customFormat="1" ht="24.75" thickBot="1">
      <c r="A57" s="1914"/>
      <c r="B57" s="1166" t="s">
        <v>1472</v>
      </c>
      <c r="C57" s="282">
        <f ca="1">C29</f>
        <v>0</v>
      </c>
      <c r="D57" s="1915"/>
      <c r="E57" s="1916"/>
      <c r="F57" s="1917"/>
      <c r="I57" s="1918" t="s">
        <v>1550</v>
      </c>
      <c r="J57" s="1919">
        <f ca="1">IF(OR(M47="住宅",J51&lt;L48,J56="是"),"——",J51-L48)</f>
        <v>0</v>
      </c>
      <c r="K57" s="1884" t="s">
        <v>1599</v>
      </c>
      <c r="L57" s="1887">
        <f ca="1">IF(L48&lt;J51,"——",IF(L55="比较法",L49,IF(L55="基准地价",L50,L51)))</f>
        <v>0</v>
      </c>
      <c r="O57" s="1881" t="s">
        <v>1037</v>
      </c>
      <c r="P57" s="1882" t="s">
        <v>1600</v>
      </c>
      <c r="Q57" s="1883" t="e">
        <f ca="1">L60</f>
        <v>#DIV/0!</v>
      </c>
      <c r="R57" s="1883" t="s">
        <v>1601</v>
      </c>
    </row>
    <row r="58" spans="1:18" s="1839" customFormat="1" ht="24.75" thickBot="1">
      <c r="A58" s="360" t="s">
        <v>1026</v>
      </c>
      <c r="B58" s="1174" t="s">
        <v>1418</v>
      </c>
      <c r="C58" s="361">
        <f ca="1">ROUND(C59+C64+C65+C66,0)</f>
        <v>0</v>
      </c>
      <c r="D58" s="1176" t="s">
        <v>1419</v>
      </c>
      <c r="E58" s="1177"/>
      <c r="F58" s="1178"/>
      <c r="I58" s="1918" t="s">
        <v>1554</v>
      </c>
      <c r="J58" s="1920" t="e">
        <f ca="1">IF(J55&lt;0.4,0.4,J55)</f>
        <v>#DIV/0!</v>
      </c>
      <c r="K58" s="1897" t="s">
        <v>1602</v>
      </c>
      <c r="L58" s="1887" t="e">
        <f ca="1">ROUND(POWER(1+L52,L47-L48)*(POWER(1+L52,L48)-1)/(POWER(1+L52,L47)-1),4)</f>
        <v>#DIV/0!</v>
      </c>
      <c r="O58" s="1891" t="s">
        <v>1038</v>
      </c>
      <c r="P58" s="1882" t="s">
        <v>1556</v>
      </c>
      <c r="Q58" s="1883">
        <f>IF(L55="比较法",L49,IF(L55="基准地价",L50,0))</f>
        <v>0</v>
      </c>
      <c r="R58" s="1883" t="s">
        <v>1523</v>
      </c>
    </row>
    <row r="59" spans="1:18" s="1839" customFormat="1" ht="24.75" thickBot="1">
      <c r="A59" s="1198" t="s">
        <v>1031</v>
      </c>
      <c r="B59" s="1166" t="s">
        <v>1423</v>
      </c>
      <c r="C59" s="24">
        <f ca="1">ROUND(IF(项目基本情况!B11="自然人",C48*F59,C60+C61+C62),0)</f>
        <v>0</v>
      </c>
      <c r="D59" s="1179" t="s">
        <v>1424</v>
      </c>
      <c r="E59" s="1180" t="s">
        <v>1425</v>
      </c>
      <c r="F59" s="368" t="str">
        <f ca="1">IF(项目基本情况!B11="企业","",IF(INDIRECT("'数据-取费表'!c"&amp;$G$1)="住宅",5%,IF(F49*F50*F51/12/(1+'数据-取费表'!C42)&gt;20000,12%,7%)))</f>
        <v/>
      </c>
      <c r="I59" s="1918" t="s">
        <v>1557</v>
      </c>
      <c r="J59" s="1919"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1039</v>
      </c>
      <c r="P59" s="1882" t="s">
        <v>1558</v>
      </c>
      <c r="Q59" s="1894">
        <f>L52</f>
        <v>0</v>
      </c>
      <c r="R59" s="1883"/>
    </row>
    <row r="60" spans="1:18" s="1839" customFormat="1" ht="16.5" thickBot="1">
      <c r="A60" s="1198" t="s">
        <v>1030</v>
      </c>
      <c r="B60" s="1166" t="s">
        <v>1427</v>
      </c>
      <c r="C60" s="24">
        <f ca="1">IF(项目基本情况!B11="自然人","——",ROUND(C48*F60/(1+'数据-取费表'!C42),0))</f>
        <v>0</v>
      </c>
      <c r="D60" s="1180" t="s">
        <v>1428</v>
      </c>
      <c r="E60" s="1166" t="s">
        <v>1416</v>
      </c>
      <c r="F60" s="377">
        <f t="shared" ref="F60:F66" si="0">F32</f>
        <v>5.6000000000000001E-2</v>
      </c>
      <c r="I60" s="1921" t="s">
        <v>1559</v>
      </c>
      <c r="J60" s="1922" t="e">
        <f ca="1">IF(OR(M47="住宅",J51&lt;L48,J56="是"),"0",ROUND(J59/(1+J52)^J53,0))</f>
        <v>#DIV/0!</v>
      </c>
      <c r="K60" s="1923" t="s">
        <v>1560</v>
      </c>
      <c r="L60" s="1922" t="e">
        <f ca="1">IF(OR(M47="住宅",L48&lt;J51),0,ROUND(L57*(L58/L59-1),0))</f>
        <v>#DIV/0!</v>
      </c>
      <c r="O60" s="1891" t="s">
        <v>1040</v>
      </c>
      <c r="P60" s="1882" t="s">
        <v>1561</v>
      </c>
      <c r="Q60" s="1883" t="e">
        <f ca="1">L58</f>
        <v>#DIV/0!</v>
      </c>
      <c r="R60" s="1883" t="s">
        <v>1562</v>
      </c>
    </row>
    <row r="61" spans="1:18" s="1839" customFormat="1" ht="13.5" thickBot="1">
      <c r="A61" s="1198" t="s">
        <v>1486</v>
      </c>
      <c r="B61" s="1166" t="s">
        <v>1487</v>
      </c>
      <c r="C61" s="24">
        <f ca="1">IF(项目基本情况!B11="自然人","——",IF(D61="按租金收入计税",ROUND(C48*F61,0),IF(D61="按房产原值计税",ROUND(C57*F61*0.7,0),INDIRECT("'数据-取费表'!Aj"&amp;$G$1))))</f>
        <v>0</v>
      </c>
      <c r="D61" s="1825" t="s">
        <v>1432</v>
      </c>
      <c r="E61" s="1166" t="s">
        <v>1488</v>
      </c>
      <c r="F61" s="367">
        <f t="shared" si="0"/>
        <v>1.2E-2</v>
      </c>
      <c r="I61" s="1924"/>
      <c r="J61" s="1924"/>
      <c r="K61" s="1924"/>
      <c r="L61" s="1924"/>
      <c r="O61" s="1891" t="s">
        <v>1041</v>
      </c>
      <c r="P61" s="1882" t="str">
        <f>K59</f>
        <v>建设期及建筑物耐用年限下的土地年期修正系数Kn</v>
      </c>
      <c r="Q61" s="1883" t="e">
        <f ca="1">L59</f>
        <v>#DIV/0!</v>
      </c>
      <c r="R61" s="1883" t="s">
        <v>1563</v>
      </c>
    </row>
    <row r="62" spans="1:18" s="1839" customFormat="1" ht="13.5" thickBot="1">
      <c r="A62" s="1198" t="s">
        <v>1489</v>
      </c>
      <c r="B62" s="1165" t="s">
        <v>1490</v>
      </c>
      <c r="C62" s="25">
        <f ca="1">IF(项目基本情况!B11="自然人","——",ROUND(F62*F63,0))</f>
        <v>0</v>
      </c>
      <c r="D62" s="1181" t="s">
        <v>1491</v>
      </c>
      <c r="E62" s="1166" t="s">
        <v>1492</v>
      </c>
      <c r="F62" s="371">
        <f t="shared" si="0"/>
        <v>18</v>
      </c>
      <c r="I62" s="1925" t="s">
        <v>1564</v>
      </c>
      <c r="J62" s="1926" t="s">
        <v>1565</v>
      </c>
      <c r="K62" s="1926" t="s">
        <v>1566</v>
      </c>
      <c r="L62" s="1926" t="s">
        <v>1567</v>
      </c>
      <c r="M62" s="1927" t="s">
        <v>1568</v>
      </c>
      <c r="O62" s="1881" t="s">
        <v>1042</v>
      </c>
      <c r="P62" s="1882" t="s">
        <v>1569</v>
      </c>
      <c r="Q62" s="1883" t="e">
        <f ca="1">Q56+Q57</f>
        <v>#DIV/0!</v>
      </c>
      <c r="R62" s="1883" t="s">
        <v>1043</v>
      </c>
    </row>
    <row r="63" spans="1:18" s="1839" customFormat="1" ht="13.5" thickBot="1">
      <c r="A63" s="372"/>
      <c r="B63" s="1172"/>
      <c r="C63" s="29"/>
      <c r="D63" s="1182"/>
      <c r="E63" s="1166" t="s">
        <v>1493</v>
      </c>
      <c r="F63" s="348">
        <f t="shared" ca="1" si="0"/>
        <v>0</v>
      </c>
      <c r="I63" s="1925" t="s">
        <v>1570</v>
      </c>
      <c r="J63" s="1926">
        <v>70</v>
      </c>
      <c r="K63" s="1926">
        <v>50</v>
      </c>
      <c r="L63" s="1926">
        <v>80</v>
      </c>
      <c r="M63" s="1928">
        <v>0.02</v>
      </c>
      <c r="O63" s="1866" t="s">
        <v>1571</v>
      </c>
      <c r="P63" s="1836"/>
      <c r="Q63" s="1836"/>
      <c r="R63" s="1836"/>
    </row>
    <row r="64" spans="1:18" s="1839" customFormat="1" ht="13.5" thickBot="1">
      <c r="A64" s="1198" t="s">
        <v>1494</v>
      </c>
      <c r="B64" s="1166" t="s">
        <v>1495</v>
      </c>
      <c r="C64" s="24">
        <f ca="1">ROUND(C57*F64,0)</f>
        <v>0</v>
      </c>
      <c r="D64" s="1180" t="s">
        <v>1496</v>
      </c>
      <c r="E64" s="1166" t="s">
        <v>1488</v>
      </c>
      <c r="F64" s="374">
        <f t="shared" ca="1" si="0"/>
        <v>0</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ROUND(C56*F65,0)</f>
        <v>0</v>
      </c>
      <c r="D65" s="1180" t="s">
        <v>1448</v>
      </c>
      <c r="E65" s="1166" t="s">
        <v>1449</v>
      </c>
      <c r="F65" s="376">
        <f t="shared" ca="1" si="0"/>
        <v>0</v>
      </c>
      <c r="I65" s="1925" t="s">
        <v>1573</v>
      </c>
      <c r="J65" s="1926">
        <v>40</v>
      </c>
      <c r="K65" s="1926">
        <v>30</v>
      </c>
      <c r="L65" s="1926">
        <v>50</v>
      </c>
      <c r="M65" s="1928">
        <v>0.02</v>
      </c>
      <c r="O65" s="1881" t="s">
        <v>1036</v>
      </c>
      <c r="P65" s="1882" t="s">
        <v>1574</v>
      </c>
      <c r="Q65" s="1883" t="e">
        <f ca="1">C40+J29</f>
        <v>#DIV/0!</v>
      </c>
      <c r="R65" s="1883" t="s">
        <v>1523</v>
      </c>
    </row>
    <row r="66" spans="1:18" s="1839" customFormat="1" ht="16.5" thickBot="1">
      <c r="A66" s="1198" t="s">
        <v>1498</v>
      </c>
      <c r="B66" s="1166" t="s">
        <v>1433</v>
      </c>
      <c r="C66" s="24">
        <f ca="1">ROUND(C48*F66,0)</f>
        <v>0</v>
      </c>
      <c r="D66" s="1180" t="s">
        <v>1499</v>
      </c>
      <c r="E66" s="1166" t="s">
        <v>1416</v>
      </c>
      <c r="F66" s="357">
        <f t="shared" ca="1" si="0"/>
        <v>0</v>
      </c>
      <c r="O66" s="1881" t="s">
        <v>1037</v>
      </c>
      <c r="P66" s="1882" t="s">
        <v>1552</v>
      </c>
      <c r="Q66" s="1883" t="e">
        <f ca="1">L60</f>
        <v>#DIV/0!</v>
      </c>
      <c r="R66" s="1883" t="s">
        <v>1575</v>
      </c>
    </row>
    <row r="67" spans="1:18" s="1839" customFormat="1" ht="16.5" thickBot="1">
      <c r="A67" s="1173" t="s">
        <v>1027</v>
      </c>
      <c r="B67" s="1183" t="s">
        <v>1457</v>
      </c>
      <c r="C67" s="361">
        <f ca="1">C48-C58</f>
        <v>0</v>
      </c>
      <c r="D67" s="1179" t="s">
        <v>1458</v>
      </c>
      <c r="E67" s="1184"/>
      <c r="F67" s="1185"/>
      <c r="O67" s="1891" t="s">
        <v>1038</v>
      </c>
      <c r="P67" s="1882" t="s">
        <v>1556</v>
      </c>
      <c r="Q67" s="1929">
        <f ca="1">L51</f>
        <v>0</v>
      </c>
      <c r="R67" s="1883" t="s">
        <v>1576</v>
      </c>
    </row>
    <row r="68" spans="1:18" s="1839" customFormat="1" ht="16.5" thickBot="1">
      <c r="A68" s="1163" t="s">
        <v>1028</v>
      </c>
      <c r="B68" s="1164" t="s">
        <v>1479</v>
      </c>
      <c r="C68" s="346" t="e">
        <f ca="1">ROUND(C67*(1-((1+F70)/(1+F68))^F69)/(F68-F70),0)</f>
        <v>#DIV/0!</v>
      </c>
      <c r="D68" s="1181" t="s">
        <v>1463</v>
      </c>
      <c r="E68" s="1166" t="s">
        <v>1464</v>
      </c>
      <c r="F68" s="357">
        <f ca="1">F40</f>
        <v>0</v>
      </c>
      <c r="O68" s="1891" t="s">
        <v>1039</v>
      </c>
      <c r="P68" s="1930" t="s">
        <v>1577</v>
      </c>
      <c r="Q68" s="1883">
        <f ca="1">ROUND(Q69-Q70*Q71,0)</f>
        <v>0</v>
      </c>
      <c r="R68" s="1883" t="s">
        <v>1047</v>
      </c>
    </row>
    <row r="69" spans="1:18" s="1839" customFormat="1" ht="13.5" thickBot="1">
      <c r="A69" s="1167"/>
      <c r="B69" s="1168"/>
      <c r="C69" s="351"/>
      <c r="D69" s="1186" t="s">
        <v>1467</v>
      </c>
      <c r="E69" s="1166" t="s">
        <v>1468</v>
      </c>
      <c r="F69" s="379">
        <f ca="1">F41</f>
        <v>0</v>
      </c>
      <c r="O69" s="1891" t="s">
        <v>1044</v>
      </c>
      <c r="P69" s="1930" t="s">
        <v>1578</v>
      </c>
      <c r="Q69" s="1883">
        <f ca="1">C39</f>
        <v>0</v>
      </c>
      <c r="R69" s="1883" t="s">
        <v>1523</v>
      </c>
    </row>
    <row r="70" spans="1:18" s="1839" customFormat="1" ht="13.5" thickBot="1">
      <c r="A70" s="1170"/>
      <c r="B70" s="1171"/>
      <c r="C70" s="355"/>
      <c r="D70" s="1182"/>
      <c r="E70" s="1166" t="s">
        <v>1471</v>
      </c>
      <c r="F70" s="1272">
        <f ca="1">F42</f>
        <v>0</v>
      </c>
      <c r="O70" s="1891" t="s">
        <v>1045</v>
      </c>
      <c r="P70" s="1930" t="s">
        <v>1579</v>
      </c>
      <c r="Q70" s="1883">
        <f ca="1">C13</f>
        <v>0</v>
      </c>
      <c r="R70" s="1883" t="s">
        <v>1523</v>
      </c>
    </row>
    <row r="71" spans="1:18" s="1839" customFormat="1" ht="13.5" thickBot="1">
      <c r="A71" s="1187" t="s">
        <v>1029</v>
      </c>
      <c r="B71" s="1188" t="s">
        <v>1481</v>
      </c>
      <c r="C71" s="382" t="e">
        <f ca="1">ROUND(C68/F71,0)</f>
        <v>#DIV/0!</v>
      </c>
      <c r="D71" s="1189" t="s">
        <v>1482</v>
      </c>
      <c r="E71" s="1190" t="s">
        <v>1483</v>
      </c>
      <c r="F71" s="385">
        <f ca="1">F43</f>
        <v>0</v>
      </c>
      <c r="O71" s="1891" t="s">
        <v>1046</v>
      </c>
      <c r="P71" s="1930" t="s">
        <v>1580</v>
      </c>
      <c r="Q71" s="1894">
        <f ca="1">C76</f>
        <v>0</v>
      </c>
      <c r="R71" s="1883"/>
    </row>
    <row r="72" spans="1:18" s="1839" customFormat="1" ht="13.5" thickBot="1">
      <c r="B72" s="796"/>
      <c r="C72" s="796"/>
      <c r="O72" s="1891" t="s">
        <v>1040</v>
      </c>
      <c r="P72" s="1882" t="s">
        <v>1558</v>
      </c>
      <c r="Q72" s="1894">
        <f>L52</f>
        <v>0</v>
      </c>
      <c r="R72" s="1883"/>
    </row>
    <row r="73" spans="1:18" ht="16.5"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建设期及建筑物耐用年限下的土地年期修正系数Kn</v>
      </c>
      <c r="Q74" s="1883" t="e">
        <f ca="1">L59</f>
        <v>#DIV/0!</v>
      </c>
      <c r="R74" s="1883" t="s">
        <v>1563</v>
      </c>
    </row>
    <row r="75" spans="1:18" ht="13.5" thickBot="1">
      <c r="A75" s="1839"/>
      <c r="B75" s="386" t="s">
        <v>1500</v>
      </c>
      <c r="C75" s="387">
        <f ca="1">ROUND(C13*C76,0)</f>
        <v>0</v>
      </c>
      <c r="D75" s="1839"/>
      <c r="E75" s="1839"/>
      <c r="F75" s="1839"/>
      <c r="K75" s="1865"/>
      <c r="L75" s="1839"/>
      <c r="O75" s="1881" t="s">
        <v>1042</v>
      </c>
      <c r="P75" s="1882" t="s">
        <v>1543</v>
      </c>
      <c r="Q75" s="1883" t="e">
        <f ca="1">Q65+Q66</f>
        <v>#DIV/0!</v>
      </c>
      <c r="R75" s="1883" t="s">
        <v>1043</v>
      </c>
    </row>
    <row r="76" spans="1:18">
      <c r="B76" s="388" t="s">
        <v>1501</v>
      </c>
      <c r="C76" s="389">
        <f ca="1">INDIRECT("'数据-取费表'!j"&amp;$G$1)</f>
        <v>0</v>
      </c>
      <c r="I76" s="1839"/>
      <c r="J76" s="1839"/>
      <c r="K76" s="1865"/>
      <c r="L76" s="1839"/>
    </row>
    <row r="77" spans="1:18">
      <c r="B77" s="390" t="s">
        <v>1502</v>
      </c>
      <c r="C77" s="391"/>
      <c r="I77" s="1839"/>
      <c r="J77" s="1839"/>
      <c r="K77" s="1865"/>
      <c r="L77" s="1839"/>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3" t="s">
        <v>2513</v>
      </c>
      <c r="B1" s="2554"/>
      <c r="C1" s="2554"/>
      <c r="D1" s="2554"/>
      <c r="E1" s="2555"/>
    </row>
    <row r="2" spans="1:6" ht="15.75">
      <c r="A2" s="2556" t="s">
        <v>2317</v>
      </c>
      <c r="B2" s="2557">
        <f ca="1">SUMIF(B6:B13,"&lt;&gt;#ref!",B6:B13)</f>
        <v>17491</v>
      </c>
      <c r="C2" s="2558" t="s">
        <v>2506</v>
      </c>
      <c r="D2" s="2559" t="s">
        <v>2507</v>
      </c>
      <c r="E2" s="2560">
        <f>SUM(E6:E13)</f>
        <v>5457.62</v>
      </c>
    </row>
    <row r="3" spans="1:6" ht="15.75">
      <c r="A3" s="2556" t="s">
        <v>1389</v>
      </c>
      <c r="B3" s="2557">
        <f ca="1">ROUND(B2*10000/E2,0)</f>
        <v>32049</v>
      </c>
      <c r="C3" s="2558" t="s">
        <v>2514</v>
      </c>
      <c r="D3" s="2561"/>
      <c r="E3" s="2562"/>
    </row>
    <row r="4" spans="1:6" ht="15.75">
      <c r="A4" s="2563"/>
      <c r="B4" s="2561"/>
      <c r="C4" s="2561"/>
      <c r="D4" s="2561"/>
      <c r="E4" s="2562"/>
    </row>
    <row r="5" spans="1:6" ht="15">
      <c r="A5" s="2564" t="s">
        <v>2508</v>
      </c>
      <c r="B5" s="3341" t="s">
        <v>2509</v>
      </c>
      <c r="C5" s="3341"/>
      <c r="D5" s="2565"/>
      <c r="E5" s="2566" t="s">
        <v>2510</v>
      </c>
      <c r="F5" s="2567" t="s">
        <v>2511</v>
      </c>
    </row>
    <row r="6" spans="1:6">
      <c r="A6" s="2568">
        <f>'数据-取费表'!AN6</f>
        <v>0</v>
      </c>
      <c r="B6" s="2567" t="e">
        <f ca="1">IF(F6="是",'数据-取费表'!AO6,0)</f>
        <v>#REF!</v>
      </c>
      <c r="C6" s="2558" t="s">
        <v>2506</v>
      </c>
      <c r="D6" s="2561"/>
      <c r="E6" s="2569">
        <f>IF(OR(A6=0,F6="否"),0,'数据-取费表'!K6+'数据-取费表'!S6)</f>
        <v>0</v>
      </c>
      <c r="F6" s="2570" t="s">
        <v>2512</v>
      </c>
    </row>
    <row r="7" spans="1:6">
      <c r="A7" s="2568">
        <f>'数据-取费表'!AN7</f>
        <v>0</v>
      </c>
      <c r="B7" s="2567" t="e">
        <f ca="1">IF(F7="是",'数据-取费表'!AO7,0)</f>
        <v>#REF!</v>
      </c>
      <c r="C7" s="2558" t="s">
        <v>2506</v>
      </c>
      <c r="D7" s="2561"/>
      <c r="E7" s="2569">
        <f>IF(OR(A7=0,F7="否"),0,'数据-取费表'!K7+'数据-取费表'!S7)</f>
        <v>0</v>
      </c>
      <c r="F7" s="2570" t="s">
        <v>2512</v>
      </c>
    </row>
    <row r="8" spans="1:6">
      <c r="A8" s="2568" t="str">
        <f>'数据-取费表'!AN8</f>
        <v>收益法</v>
      </c>
      <c r="B8" s="2567">
        <f ca="1">IF(F8="是",'数据-取费表'!AO8,0)</f>
        <v>17491</v>
      </c>
      <c r="C8" s="2558" t="s">
        <v>2506</v>
      </c>
      <c r="D8" s="2561"/>
      <c r="E8" s="2569">
        <f>IF(OR(A8=0,F8="否"),0,'数据-取费表'!K8+'数据-取费表'!S8)</f>
        <v>5457.62</v>
      </c>
      <c r="F8" s="2570" t="s">
        <v>2512</v>
      </c>
    </row>
    <row r="9" spans="1:6">
      <c r="A9" s="2568">
        <f>'数据-取费表'!AN9</f>
        <v>0</v>
      </c>
      <c r="B9" s="2567" t="e">
        <f ca="1">IF(F9="是",'数据-取费表'!AO9,0)</f>
        <v>#REF!</v>
      </c>
      <c r="C9" s="2558" t="s">
        <v>2506</v>
      </c>
      <c r="D9" s="2561"/>
      <c r="E9" s="2569">
        <f>IF(OR(A9=0,F9="否"),0,'数据-取费表'!K9+'数据-取费表'!S9)</f>
        <v>0</v>
      </c>
      <c r="F9" s="2570" t="s">
        <v>2512</v>
      </c>
    </row>
    <row r="10" spans="1:6">
      <c r="A10" s="2568">
        <f>'数据-取费表'!AN10</f>
        <v>0</v>
      </c>
      <c r="B10" s="2567" t="e">
        <f ca="1">IF(F10="是",'数据-取费表'!AO10,0)</f>
        <v>#REF!</v>
      </c>
      <c r="C10" s="2558" t="s">
        <v>2506</v>
      </c>
      <c r="D10" s="2561"/>
      <c r="E10" s="2569">
        <f>IF(OR(A10=0,F10="否"),0,'数据-取费表'!K10+'数据-取费表'!S10)</f>
        <v>0</v>
      </c>
      <c r="F10" s="2570" t="s">
        <v>2512</v>
      </c>
    </row>
    <row r="11" spans="1:6">
      <c r="A11" s="2568">
        <f>'数据-取费表'!AN11</f>
        <v>0</v>
      </c>
      <c r="B11" s="2567" t="e">
        <f ca="1">IF(F11="是",'数据-取费表'!AO11,0)</f>
        <v>#REF!</v>
      </c>
      <c r="C11" s="2558" t="s">
        <v>2506</v>
      </c>
      <c r="D11" s="2561"/>
      <c r="E11" s="2569">
        <f>IF(OR(A11=0,F11="否"),0,'数据-取费表'!K11+'数据-取费表'!S11)</f>
        <v>0</v>
      </c>
      <c r="F11" s="2570" t="s">
        <v>2512</v>
      </c>
    </row>
    <row r="12" spans="1:6">
      <c r="A12" s="2568">
        <f>'数据-取费表'!AN12</f>
        <v>0</v>
      </c>
      <c r="B12" s="2567" t="e">
        <f ca="1">IF(F12="是",'数据-取费表'!AO12,0)</f>
        <v>#REF!</v>
      </c>
      <c r="C12" s="2558" t="s">
        <v>2506</v>
      </c>
      <c r="D12" s="2561"/>
      <c r="E12" s="2569">
        <f>IF(OR(A12=0,F12="否"),0,'数据-取费表'!K12+'数据-取费表'!S12)</f>
        <v>0</v>
      </c>
      <c r="F12" s="2570" t="s">
        <v>2512</v>
      </c>
    </row>
    <row r="13" spans="1:6" ht="15" thickBot="1">
      <c r="A13" s="2571">
        <f>'数据-取费表'!AN13</f>
        <v>0</v>
      </c>
      <c r="B13" s="2567" t="e">
        <f ca="1">IF(F13="是",'数据-取费表'!AO13,0)</f>
        <v>#REF!</v>
      </c>
      <c r="C13" s="2572" t="s">
        <v>2506</v>
      </c>
      <c r="D13" s="2573"/>
      <c r="E13" s="2569">
        <f>IF(OR(A13=0,F13="否"),0,'数据-取费表'!K13+'数据-取费表'!S13)</f>
        <v>0</v>
      </c>
      <c r="F13" s="2570" t="s">
        <v>2512</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342" t="s">
        <v>1072</v>
      </c>
      <c r="B1" s="3343"/>
      <c r="C1" s="3344"/>
      <c r="D1" s="3345">
        <f>SUM(I10,I15,I20,I21,I23)</f>
        <v>0</v>
      </c>
      <c r="E1" s="3345"/>
      <c r="F1" s="3345"/>
      <c r="G1" s="3345"/>
      <c r="H1" s="3345"/>
      <c r="I1" s="3346"/>
    </row>
    <row r="2" spans="1:9">
      <c r="A2" s="3347" t="s">
        <v>1073</v>
      </c>
      <c r="B2" s="3348" t="s">
        <v>1074</v>
      </c>
      <c r="C2" s="3348"/>
      <c r="D2" s="1298" t="s">
        <v>1075</v>
      </c>
      <c r="E2" s="1298" t="s">
        <v>1076</v>
      </c>
      <c r="F2" s="1298" t="s">
        <v>1077</v>
      </c>
      <c r="G2" s="1298" t="s">
        <v>1078</v>
      </c>
      <c r="H2" s="1298" t="s">
        <v>1079</v>
      </c>
      <c r="I2" s="1299" t="s">
        <v>1080</v>
      </c>
    </row>
    <row r="3" spans="1:9">
      <c r="A3" s="3347"/>
      <c r="B3" s="3348" t="s">
        <v>1081</v>
      </c>
      <c r="C3" s="3348"/>
      <c r="D3" s="1300"/>
      <c r="E3" s="1298"/>
      <c r="F3" s="1301"/>
      <c r="G3" s="1301"/>
      <c r="H3" s="1302"/>
      <c r="I3" s="1303">
        <f>ROUND(D3*E3*F3*G3*H3/10000,0)</f>
        <v>0</v>
      </c>
    </row>
    <row r="4" spans="1:9">
      <c r="A4" s="3347"/>
      <c r="B4" s="3348" t="s">
        <v>1082</v>
      </c>
      <c r="C4" s="3348"/>
      <c r="D4" s="1300"/>
      <c r="E4" s="1298"/>
      <c r="F4" s="1301"/>
      <c r="G4" s="1301"/>
      <c r="H4" s="1302"/>
      <c r="I4" s="1303">
        <f t="shared" ref="I4:I9" si="0">ROUND(D4*E4*F4*G4*H4/10000,0)</f>
        <v>0</v>
      </c>
    </row>
    <row r="5" spans="1:9">
      <c r="A5" s="3347"/>
      <c r="B5" s="3348" t="s">
        <v>1083</v>
      </c>
      <c r="C5" s="3348"/>
      <c r="D5" s="1300"/>
      <c r="E5" s="1298"/>
      <c r="F5" s="1301"/>
      <c r="G5" s="1301"/>
      <c r="H5" s="1302"/>
      <c r="I5" s="1303">
        <f t="shared" si="0"/>
        <v>0</v>
      </c>
    </row>
    <row r="6" spans="1:9">
      <c r="A6" s="3347"/>
      <c r="B6" s="3348" t="s">
        <v>1084</v>
      </c>
      <c r="C6" s="3348"/>
      <c r="D6" s="1300"/>
      <c r="E6" s="1298"/>
      <c r="F6" s="1301"/>
      <c r="G6" s="1301"/>
      <c r="H6" s="1302"/>
      <c r="I6" s="1303">
        <f t="shared" si="0"/>
        <v>0</v>
      </c>
    </row>
    <row r="7" spans="1:9">
      <c r="A7" s="3347"/>
      <c r="B7" s="3348" t="s">
        <v>1085</v>
      </c>
      <c r="C7" s="3348"/>
      <c r="D7" s="1300"/>
      <c r="E7" s="1298"/>
      <c r="F7" s="1301"/>
      <c r="G7" s="1301"/>
      <c r="H7" s="1302"/>
      <c r="I7" s="1303">
        <f t="shared" si="0"/>
        <v>0</v>
      </c>
    </row>
    <row r="8" spans="1:9">
      <c r="A8" s="3347"/>
      <c r="B8" s="3348" t="s">
        <v>1086</v>
      </c>
      <c r="C8" s="3348"/>
      <c r="D8" s="1300"/>
      <c r="E8" s="1298"/>
      <c r="F8" s="1301"/>
      <c r="G8" s="1301"/>
      <c r="H8" s="1302"/>
      <c r="I8" s="1303">
        <f t="shared" si="0"/>
        <v>0</v>
      </c>
    </row>
    <row r="9" spans="1:9">
      <c r="A9" s="3347"/>
      <c r="B9" s="3348" t="s">
        <v>1087</v>
      </c>
      <c r="C9" s="3348"/>
      <c r="D9" s="1300"/>
      <c r="E9" s="1298"/>
      <c r="F9" s="1301"/>
      <c r="G9" s="1301"/>
      <c r="H9" s="1302"/>
      <c r="I9" s="1303">
        <f t="shared" si="0"/>
        <v>0</v>
      </c>
    </row>
    <row r="10" spans="1:9">
      <c r="A10" s="3347"/>
      <c r="B10" s="3349" t="s">
        <v>1088</v>
      </c>
      <c r="C10" s="3349"/>
      <c r="D10" s="1304"/>
      <c r="E10" s="1304" t="e">
        <f>ROUND(D1*10000/D10/H9,0)</f>
        <v>#DIV/0!</v>
      </c>
      <c r="F10" s="1305"/>
      <c r="G10" s="1305"/>
      <c r="H10" s="1306"/>
      <c r="I10" s="1307">
        <f>SUM(I3:I9)</f>
        <v>0</v>
      </c>
    </row>
    <row r="11" spans="1:9" ht="14.25">
      <c r="A11" s="3347" t="s">
        <v>1089</v>
      </c>
      <c r="B11" s="3348" t="s">
        <v>1090</v>
      </c>
      <c r="C11" s="3348"/>
      <c r="D11" s="1300" t="s">
        <v>1091</v>
      </c>
      <c r="E11" s="1300" t="s">
        <v>1092</v>
      </c>
      <c r="F11" s="1301" t="s">
        <v>1093</v>
      </c>
      <c r="G11" s="1301" t="s">
        <v>1079</v>
      </c>
      <c r="H11" s="1308" t="s">
        <v>1094</v>
      </c>
      <c r="I11" s="1299" t="s">
        <v>1080</v>
      </c>
    </row>
    <row r="12" spans="1:9">
      <c r="A12" s="3347"/>
      <c r="B12" s="3348" t="s">
        <v>1095</v>
      </c>
      <c r="C12" s="3348"/>
      <c r="D12" s="1300"/>
      <c r="E12" s="1300"/>
      <c r="F12" s="1301"/>
      <c r="G12" s="1302"/>
      <c r="H12" s="1309"/>
      <c r="I12" s="1299">
        <f>ROUND(D12*E12*F12*G12/10000,0)</f>
        <v>0</v>
      </c>
    </row>
    <row r="13" spans="1:9">
      <c r="A13" s="3347"/>
      <c r="B13" s="3348" t="s">
        <v>1096</v>
      </c>
      <c r="C13" s="3348"/>
      <c r="D13" s="1300"/>
      <c r="E13" s="1300"/>
      <c r="F13" s="1301"/>
      <c r="G13" s="1302"/>
      <c r="H13" s="1309"/>
      <c r="I13" s="1299">
        <f>ROUND(D13*E13*F13*G13/10000,0)</f>
        <v>0</v>
      </c>
    </row>
    <row r="14" spans="1:9">
      <c r="A14" s="3347"/>
      <c r="B14" s="3348" t="s">
        <v>1097</v>
      </c>
      <c r="C14" s="3348"/>
      <c r="D14" s="1300"/>
      <c r="E14" s="1300"/>
      <c r="F14" s="1301"/>
      <c r="G14" s="1302"/>
      <c r="H14" s="1309"/>
      <c r="I14" s="1299">
        <f>ROUND(D14*E14*F14*G14/10000,0)</f>
        <v>0</v>
      </c>
    </row>
    <row r="15" spans="1:9">
      <c r="A15" s="3347"/>
      <c r="B15" s="3349" t="s">
        <v>1088</v>
      </c>
      <c r="C15" s="3349"/>
      <c r="D15" s="1304"/>
      <c r="E15" s="1304">
        <f>SUM(E12:E14)</f>
        <v>0</v>
      </c>
      <c r="F15" s="1305"/>
      <c r="G15" s="1302"/>
      <c r="H15" s="1309"/>
      <c r="I15" s="1310">
        <f>SUM(I12:I14)</f>
        <v>0</v>
      </c>
    </row>
    <row r="16" spans="1:9" ht="24">
      <c r="A16" s="3347" t="s">
        <v>1098</v>
      </c>
      <c r="B16" s="3348" t="s">
        <v>1099</v>
      </c>
      <c r="C16" s="3348"/>
      <c r="D16" s="1300" t="s">
        <v>1075</v>
      </c>
      <c r="E16" s="1311" t="s">
        <v>1100</v>
      </c>
      <c r="F16" s="1301" t="s">
        <v>1101</v>
      </c>
      <c r="G16" s="1302" t="s">
        <v>1079</v>
      </c>
      <c r="H16" s="1308" t="s">
        <v>1094</v>
      </c>
      <c r="I16" s="1299" t="s">
        <v>1080</v>
      </c>
    </row>
    <row r="17" spans="1:9" ht="14.25">
      <c r="A17" s="3347"/>
      <c r="B17" s="3348" t="s">
        <v>1102</v>
      </c>
      <c r="C17" s="3348"/>
      <c r="D17" s="1300"/>
      <c r="E17" s="1300"/>
      <c r="F17" s="1301"/>
      <c r="G17" s="1302"/>
      <c r="H17" s="1312"/>
      <c r="I17" s="1313">
        <f>ROUND(D17*E17*F17*G17/10000,0)</f>
        <v>0</v>
      </c>
    </row>
    <row r="18" spans="1:9" ht="14.25">
      <c r="A18" s="3347"/>
      <c r="B18" s="3348" t="s">
        <v>1103</v>
      </c>
      <c r="C18" s="3348"/>
      <c r="D18" s="1300"/>
      <c r="E18" s="1300"/>
      <c r="F18" s="1301"/>
      <c r="G18" s="1302"/>
      <c r="H18" s="1312"/>
      <c r="I18" s="1313">
        <f>ROUND(D18*E18*F18*G18/10000,0)</f>
        <v>0</v>
      </c>
    </row>
    <row r="19" spans="1:9" ht="14.25">
      <c r="A19" s="3347"/>
      <c r="B19" s="3348" t="s">
        <v>1104</v>
      </c>
      <c r="C19" s="3348"/>
      <c r="D19" s="1300"/>
      <c r="E19" s="1300"/>
      <c r="F19" s="1301"/>
      <c r="G19" s="1302"/>
      <c r="H19" s="1312"/>
      <c r="I19" s="1313">
        <f>ROUND(D19*E19*F19*G19/10000,0)</f>
        <v>0</v>
      </c>
    </row>
    <row r="20" spans="1:9">
      <c r="A20" s="3347"/>
      <c r="B20" s="3349" t="s">
        <v>1088</v>
      </c>
      <c r="C20" s="3349"/>
      <c r="D20" s="1304">
        <f>SUM(D17:D19)</f>
        <v>0</v>
      </c>
      <c r="E20" s="1304"/>
      <c r="F20" s="1305"/>
      <c r="G20" s="1302"/>
      <c r="H20" s="1309"/>
      <c r="I20" s="1310">
        <f>SUM(I17:I19)</f>
        <v>0</v>
      </c>
    </row>
    <row r="21" spans="1:9">
      <c r="A21" s="3347" t="s">
        <v>1105</v>
      </c>
      <c r="B21" s="3351"/>
      <c r="C21" s="3351"/>
      <c r="D21" s="3351"/>
      <c r="E21" s="3351"/>
      <c r="F21" s="3351"/>
      <c r="G21" s="3351"/>
      <c r="H21" s="1762">
        <v>0.1</v>
      </c>
      <c r="I21" s="1307">
        <f>ROUND(I10*H21,0)</f>
        <v>0</v>
      </c>
    </row>
    <row r="22" spans="1:9" ht="14.25">
      <c r="A22" s="3352" t="s">
        <v>1106</v>
      </c>
      <c r="B22" s="3353"/>
      <c r="C22" s="3354"/>
      <c r="D22" s="1314" t="s">
        <v>1107</v>
      </c>
      <c r="E22" s="1314" t="s">
        <v>1108</v>
      </c>
      <c r="F22" s="1315" t="s">
        <v>1109</v>
      </c>
      <c r="G22" s="1315" t="s">
        <v>1110</v>
      </c>
      <c r="H22" s="1308" t="s">
        <v>1111</v>
      </c>
      <c r="I22" s="1299" t="s">
        <v>1112</v>
      </c>
    </row>
    <row r="23" spans="1:9" ht="14.25" thickBot="1">
      <c r="A23" s="3355"/>
      <c r="B23" s="3356"/>
      <c r="C23" s="3357"/>
      <c r="D23" s="1316"/>
      <c r="E23" s="1316"/>
      <c r="F23" s="1316"/>
      <c r="G23" s="1317"/>
      <c r="H23" s="1318"/>
      <c r="I23" s="1319">
        <f>ROUND(E23*D23*F23*(1-G23)/10000,0)</f>
        <v>0</v>
      </c>
    </row>
    <row r="26" spans="1:9">
      <c r="A26" s="1320" t="s">
        <v>1113</v>
      </c>
      <c r="B26" s="1320"/>
      <c r="C26" s="1320"/>
      <c r="D26" s="1320"/>
      <c r="E26" s="3358">
        <f>C27-C30-C31-C32</f>
        <v>0</v>
      </c>
      <c r="F26" s="3358"/>
      <c r="G26" s="3358"/>
      <c r="H26" s="1734" t="s">
        <v>1335</v>
      </c>
    </row>
    <row r="27" spans="1:9">
      <c r="A27" s="1321">
        <v>1</v>
      </c>
      <c r="B27" s="1322" t="s">
        <v>1114</v>
      </c>
      <c r="C27" s="1322">
        <f>C28+C29</f>
        <v>0</v>
      </c>
      <c r="D27" s="1322"/>
      <c r="E27" s="3359"/>
      <c r="F27" s="3359"/>
      <c r="G27" s="3359"/>
    </row>
    <row r="28" spans="1:9">
      <c r="A28" s="1323" t="s">
        <v>1115</v>
      </c>
      <c r="B28" s="1322" t="s">
        <v>1116</v>
      </c>
      <c r="C28" s="1322"/>
      <c r="D28" s="1322"/>
      <c r="E28" s="3359"/>
      <c r="F28" s="3359"/>
      <c r="G28" s="3359"/>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350"/>
      <c r="F32" s="3350"/>
      <c r="G32" s="3350"/>
    </row>
    <row r="33" spans="1:7" hidden="1">
      <c r="A33" s="3360" t="s">
        <v>1125</v>
      </c>
      <c r="B33" s="3361"/>
      <c r="C33" s="3361"/>
      <c r="D33" s="3362"/>
      <c r="E33" s="3358"/>
      <c r="F33" s="3358"/>
      <c r="G33" s="3358"/>
    </row>
    <row r="34" spans="1:7" hidden="1">
      <c r="A34" s="1325">
        <v>1</v>
      </c>
      <c r="B34" s="1322" t="s">
        <v>1126</v>
      </c>
      <c r="C34" s="1322"/>
      <c r="D34" s="1322"/>
      <c r="E34" s="3359"/>
      <c r="F34" s="3359"/>
      <c r="G34" s="3359"/>
    </row>
    <row r="35" spans="1:7" hidden="1">
      <c r="A35" s="1325">
        <v>2</v>
      </c>
      <c r="B35" s="1322" t="s">
        <v>1127</v>
      </c>
      <c r="C35" s="1322"/>
      <c r="D35" s="1322"/>
      <c r="E35" s="3359"/>
      <c r="F35" s="3359"/>
      <c r="G35" s="3359"/>
    </row>
    <row r="36" spans="1:7" hidden="1">
      <c r="A36" s="1325">
        <v>3</v>
      </c>
      <c r="B36" s="1322" t="s">
        <v>1128</v>
      </c>
      <c r="C36" s="1322"/>
      <c r="D36" s="1322"/>
      <c r="E36" s="3359"/>
      <c r="F36" s="3359"/>
      <c r="G36" s="3359"/>
    </row>
    <row r="37" spans="1:7" hidden="1">
      <c r="A37" s="1325">
        <v>4</v>
      </c>
      <c r="B37" s="1322" t="s">
        <v>1129</v>
      </c>
      <c r="C37" s="1322"/>
      <c r="D37" s="1322"/>
      <c r="E37" s="3359"/>
      <c r="F37" s="3359"/>
      <c r="G37" s="3359"/>
    </row>
    <row r="38" spans="1:7" hidden="1">
      <c r="A38" s="3360" t="s">
        <v>1130</v>
      </c>
      <c r="B38" s="3361"/>
      <c r="C38" s="3361"/>
      <c r="D38" s="3362"/>
      <c r="E38" s="3358"/>
      <c r="F38" s="3358"/>
      <c r="G38" s="33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2515</v>
      </c>
      <c r="B1" s="2574" t="s">
        <v>2629</v>
      </c>
      <c r="C1" s="1631" t="s">
        <v>2517</v>
      </c>
      <c r="D1" s="1618"/>
      <c r="E1" s="2649"/>
      <c r="F1" s="2576"/>
      <c r="G1" s="1628" t="s">
        <v>2630</v>
      </c>
      <c r="H1" s="1627"/>
      <c r="I1" s="1627"/>
      <c r="J1" s="1627"/>
      <c r="K1" s="1629"/>
      <c r="L1" s="1630"/>
      <c r="M1" s="1631"/>
      <c r="N1" s="1631"/>
      <c r="O1" s="1631"/>
      <c r="P1" s="2650"/>
      <c r="Q1" s="2651"/>
      <c r="R1" s="2651"/>
      <c r="S1" s="2651"/>
      <c r="T1" s="2651"/>
      <c r="U1" s="2651"/>
      <c r="V1" s="2651"/>
      <c r="W1" s="2651"/>
      <c r="X1" s="2651"/>
      <c r="Y1" s="2651"/>
      <c r="Z1" s="2651"/>
      <c r="AA1" s="2651"/>
      <c r="AB1" s="2651"/>
      <c r="AC1" s="2652"/>
    </row>
    <row r="2" spans="1:29" s="398" customFormat="1" ht="28.5" customHeight="1" thickTop="1">
      <c r="A2" s="1614" t="s">
        <v>2317</v>
      </c>
      <c r="B2" s="1415" t="e">
        <f ca="1">IF(C2="——",ROUND(C49*D3/10000,0),ROUND(C49*D3/10000,0)-D2)</f>
        <v>#DIV/0!</v>
      </c>
      <c r="C2" s="2578"/>
      <c r="D2" s="1362" t="e">
        <f ca="1">SUMIF(INDIRECT("'"&amp;F2&amp;"'"&amp;"!A:A"),"承租人权益价值",INDIRECT("'"&amp;F2&amp;"'"&amp;"!c:c"))</f>
        <v>#REF!</v>
      </c>
      <c r="E2" s="2579" t="s">
        <v>2318</v>
      </c>
      <c r="F2" s="2580"/>
      <c r="G2" s="1122"/>
      <c r="H2" s="1122"/>
      <c r="I2" s="1122"/>
      <c r="J2" s="1122"/>
      <c r="K2" s="1122"/>
      <c r="L2" s="1125"/>
      <c r="M2" s="1126"/>
      <c r="N2" s="1126"/>
      <c r="O2" s="1126"/>
      <c r="P2" s="2653"/>
      <c r="Q2" s="1126"/>
      <c r="R2" s="1126"/>
      <c r="S2" s="1126"/>
      <c r="T2" s="1126"/>
      <c r="U2" s="1126"/>
      <c r="V2" s="1126"/>
      <c r="W2" s="1126"/>
      <c r="X2" s="1126"/>
      <c r="Y2" s="1126"/>
      <c r="Z2" s="1126"/>
      <c r="AA2" s="1126"/>
      <c r="AB2" s="1126"/>
      <c r="AC2" s="2654"/>
    </row>
    <row r="3" spans="1:29" s="398" customFormat="1" ht="28.5" customHeight="1" thickBot="1">
      <c r="A3" s="247" t="s">
        <v>2319</v>
      </c>
      <c r="B3" s="609" t="e">
        <f ca="1">IF(C2="——",C49,ROUND(B2*10000/D3,0))</f>
        <v>#DIV/0!</v>
      </c>
      <c r="C3" s="400" t="s">
        <v>2631</v>
      </c>
      <c r="D3" s="399">
        <f>IF(D1="",'数据-汇总表'!E3,SUMIF('数据-汇总表'!$C19:$C33,D1,'数据-汇总表'!$E19:$E33))</f>
        <v>120164.37999999998</v>
      </c>
      <c r="E3" s="2655"/>
      <c r="F3" s="1123"/>
      <c r="G3" s="1122"/>
      <c r="H3" s="1122"/>
      <c r="I3" s="1122"/>
      <c r="J3" s="1122"/>
      <c r="K3" s="1124"/>
      <c r="L3" s="1125"/>
      <c r="M3" s="1126"/>
      <c r="N3" s="1126"/>
      <c r="O3" s="1126"/>
      <c r="P3" s="2653"/>
      <c r="Q3" s="1126"/>
      <c r="R3" s="1126"/>
      <c r="S3" s="1126"/>
      <c r="T3" s="1126"/>
      <c r="U3" s="1126"/>
      <c r="V3" s="1126"/>
      <c r="W3" s="1126"/>
      <c r="X3" s="1126"/>
      <c r="Y3" s="1126"/>
      <c r="Z3" s="1126"/>
      <c r="AA3" s="1126"/>
      <c r="AB3" s="1126"/>
      <c r="AC3" s="2655"/>
    </row>
    <row r="4" spans="1:29" ht="15">
      <c r="A4" s="401" t="s">
        <v>2632</v>
      </c>
      <c r="B4" s="402"/>
      <c r="C4" s="3294" t="s">
        <v>2633</v>
      </c>
      <c r="D4" s="3295"/>
      <c r="E4" s="3296" t="s">
        <v>2634</v>
      </c>
      <c r="F4" s="3297"/>
      <c r="G4" s="3294" t="s">
        <v>2635</v>
      </c>
      <c r="H4" s="3295"/>
      <c r="I4" s="3294" t="s">
        <v>2636</v>
      </c>
      <c r="J4" s="3295"/>
      <c r="K4" s="610" t="s">
        <v>2637</v>
      </c>
      <c r="L4" s="1127"/>
      <c r="M4" s="1128"/>
      <c r="N4" s="1128"/>
      <c r="O4" s="1128"/>
      <c r="P4" s="3298" t="s">
        <v>2638</v>
      </c>
      <c r="Q4" s="3299"/>
      <c r="R4" s="3284" t="s">
        <v>2634</v>
      </c>
      <c r="S4" s="3285"/>
      <c r="T4" s="3284" t="s">
        <v>2635</v>
      </c>
      <c r="U4" s="3285"/>
      <c r="V4" s="3306" t="s">
        <v>2636</v>
      </c>
      <c r="W4" s="3306"/>
      <c r="X4" s="1810"/>
      <c r="Y4" s="3284" t="s">
        <v>2638</v>
      </c>
      <c r="Z4" s="3285"/>
      <c r="AA4" s="3279" t="s">
        <v>2634</v>
      </c>
      <c r="AB4" s="3306" t="s">
        <v>2635</v>
      </c>
      <c r="AC4" s="3279" t="s">
        <v>2636</v>
      </c>
    </row>
    <row r="5" spans="1:29" ht="15">
      <c r="A5" s="404"/>
      <c r="B5" s="405"/>
      <c r="C5" s="3321" t="s">
        <v>2529</v>
      </c>
      <c r="D5" s="3322"/>
      <c r="E5" s="3363" t="s">
        <v>2530</v>
      </c>
      <c r="F5" s="3320"/>
      <c r="G5" s="3321" t="s">
        <v>2531</v>
      </c>
      <c r="H5" s="3322"/>
      <c r="I5" s="3321" t="s">
        <v>2532</v>
      </c>
      <c r="J5" s="3322"/>
      <c r="K5" s="610"/>
      <c r="L5" s="1127"/>
      <c r="M5" s="1128"/>
      <c r="N5" s="1128"/>
      <c r="O5" s="1128"/>
      <c r="P5" s="3300"/>
      <c r="Q5" s="3301"/>
      <c r="R5" s="3286"/>
      <c r="S5" s="3287"/>
      <c r="T5" s="3286"/>
      <c r="U5" s="3287"/>
      <c r="V5" s="3306"/>
      <c r="W5" s="3306"/>
      <c r="X5" s="1810"/>
      <c r="Y5" s="3286"/>
      <c r="Z5" s="3287"/>
      <c r="AA5" s="3280"/>
      <c r="AB5" s="3306"/>
      <c r="AC5" s="3280"/>
    </row>
    <row r="6" spans="1:29" ht="15.75" thickBot="1">
      <c r="A6" s="406"/>
      <c r="B6" s="407"/>
      <c r="C6" s="3323" t="s">
        <v>2533</v>
      </c>
      <c r="D6" s="3324"/>
      <c r="E6" s="3326" t="s">
        <v>2533</v>
      </c>
      <c r="F6" s="3327"/>
      <c r="G6" s="3323" t="s">
        <v>2533</v>
      </c>
      <c r="H6" s="3324"/>
      <c r="I6" s="3323" t="s">
        <v>2533</v>
      </c>
      <c r="J6" s="3324"/>
      <c r="K6" s="610" t="s">
        <v>2534</v>
      </c>
      <c r="L6" s="1127"/>
      <c r="M6" s="1128"/>
      <c r="N6" s="1128"/>
      <c r="O6" s="1128"/>
      <c r="P6" s="3302"/>
      <c r="Q6" s="3303"/>
      <c r="R6" s="3286"/>
      <c r="S6" s="3287"/>
      <c r="T6" s="3304"/>
      <c r="U6" s="3305"/>
      <c r="V6" s="3306"/>
      <c r="W6" s="3306"/>
      <c r="X6" s="1810"/>
      <c r="Y6" s="3304"/>
      <c r="Z6" s="3305"/>
      <c r="AA6" s="3281"/>
      <c r="AB6" s="3306"/>
      <c r="AC6" s="3281"/>
    </row>
    <row r="7" spans="1:29" s="117" customFormat="1" ht="15.75" thickBot="1">
      <c r="A7" s="408" t="s">
        <v>2535</v>
      </c>
      <c r="B7" s="409"/>
      <c r="C7" s="410">
        <f>'数据-取费表'!B2</f>
        <v>43951</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82" t="s">
        <v>2536</v>
      </c>
      <c r="Q7" s="3307"/>
      <c r="R7" s="770" t="s">
        <v>17</v>
      </c>
      <c r="S7" s="771">
        <f t="shared" ref="S7:S15" si="0">F7</f>
        <v>0</v>
      </c>
      <c r="T7" s="770" t="s">
        <v>17</v>
      </c>
      <c r="U7" s="771">
        <f t="shared" ref="U7:U15" si="1">H7</f>
        <v>0</v>
      </c>
      <c r="V7" s="770" t="s">
        <v>17</v>
      </c>
      <c r="W7" s="771">
        <f t="shared" ref="W7:W15" si="2">J7</f>
        <v>0</v>
      </c>
      <c r="X7" s="772"/>
      <c r="Y7" s="3282" t="s">
        <v>2536</v>
      </c>
      <c r="Z7" s="3283"/>
      <c r="AA7" s="773" t="e">
        <f>D7/F7</f>
        <v>#DIV/0!</v>
      </c>
      <c r="AB7" s="773" t="e">
        <f>D7/H7</f>
        <v>#DIV/0!</v>
      </c>
      <c r="AC7" s="773" t="e">
        <f>D7/J7</f>
        <v>#DIV/0!</v>
      </c>
    </row>
    <row r="8" spans="1:29" s="117" customFormat="1" ht="15.75" thickBot="1">
      <c r="A8" s="408" t="s">
        <v>2537</v>
      </c>
      <c r="B8" s="409"/>
      <c r="C8" s="414" t="s">
        <v>2639</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82" t="s">
        <v>2539</v>
      </c>
      <c r="Q8" s="3283"/>
      <c r="R8" s="770" t="s">
        <v>17</v>
      </c>
      <c r="S8" s="771">
        <f t="shared" si="0"/>
        <v>0</v>
      </c>
      <c r="T8" s="770" t="s">
        <v>17</v>
      </c>
      <c r="U8" s="771">
        <f t="shared" si="1"/>
        <v>0</v>
      </c>
      <c r="V8" s="770" t="s">
        <v>17</v>
      </c>
      <c r="W8" s="771">
        <f t="shared" si="2"/>
        <v>0</v>
      </c>
      <c r="X8" s="772"/>
      <c r="Y8" s="3282" t="s">
        <v>2539</v>
      </c>
      <c r="Z8" s="3283"/>
      <c r="AA8" s="773" t="e">
        <f t="shared" ref="AA8:AA46" si="3">D8/F8</f>
        <v>#DIV/0!</v>
      </c>
      <c r="AB8" s="773" t="e">
        <f t="shared" ref="AB8:AB46" si="4">D8/H8</f>
        <v>#DIV/0!</v>
      </c>
      <c r="AC8" s="773" t="e">
        <f t="shared" ref="AC8:AC46" si="5">D8/J8</f>
        <v>#DIV/0!</v>
      </c>
    </row>
    <row r="9" spans="1:29" s="117" customFormat="1">
      <c r="A9" s="415" t="s">
        <v>2540</v>
      </c>
      <c r="B9" s="71" t="s">
        <v>2541</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317" t="s">
        <v>2542</v>
      </c>
      <c r="Q9" s="1792" t="str">
        <f t="shared" ref="Q9:Q15" si="6">B9</f>
        <v>用途</v>
      </c>
      <c r="R9" s="770" t="s">
        <v>17</v>
      </c>
      <c r="S9" s="771">
        <f t="shared" si="0"/>
        <v>100</v>
      </c>
      <c r="T9" s="770" t="s">
        <v>17</v>
      </c>
      <c r="U9" s="771">
        <f t="shared" si="1"/>
        <v>100</v>
      </c>
      <c r="V9" s="770" t="s">
        <v>17</v>
      </c>
      <c r="W9" s="771">
        <f t="shared" si="2"/>
        <v>100</v>
      </c>
      <c r="X9" s="772"/>
      <c r="Y9" s="3125"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317"/>
      <c r="Q10" s="1792" t="str">
        <f t="shared" si="6"/>
        <v>土地使用年限（年）</v>
      </c>
      <c r="R10" s="770" t="s">
        <v>17</v>
      </c>
      <c r="S10" s="771">
        <f t="shared" si="0"/>
        <v>100</v>
      </c>
      <c r="T10" s="770" t="s">
        <v>17</v>
      </c>
      <c r="U10" s="771">
        <f t="shared" si="1"/>
        <v>100</v>
      </c>
      <c r="V10" s="770" t="s">
        <v>17</v>
      </c>
      <c r="W10" s="771">
        <f t="shared" si="2"/>
        <v>100</v>
      </c>
      <c r="X10" s="772"/>
      <c r="Y10" s="3125"/>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317"/>
      <c r="Q11" s="1792" t="str">
        <f t="shared" si="6"/>
        <v>容积率</v>
      </c>
      <c r="R11" s="770" t="s">
        <v>17</v>
      </c>
      <c r="S11" s="771" t="e">
        <f t="shared" si="0"/>
        <v>#N/A</v>
      </c>
      <c r="T11" s="770" t="s">
        <v>17</v>
      </c>
      <c r="U11" s="771" t="e">
        <f t="shared" si="1"/>
        <v>#N/A</v>
      </c>
      <c r="V11" s="770" t="s">
        <v>17</v>
      </c>
      <c r="W11" s="771" t="e">
        <f t="shared" si="2"/>
        <v>#N/A</v>
      </c>
      <c r="X11" s="772"/>
      <c r="Y11" s="3125"/>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317"/>
      <c r="Q12" s="1792">
        <f t="shared" si="6"/>
        <v>111</v>
      </c>
      <c r="R12" s="770" t="s">
        <v>17</v>
      </c>
      <c r="S12" s="771">
        <f t="shared" si="0"/>
        <v>100</v>
      </c>
      <c r="T12" s="770" t="s">
        <v>17</v>
      </c>
      <c r="U12" s="771">
        <f t="shared" si="1"/>
        <v>100</v>
      </c>
      <c r="V12" s="770" t="s">
        <v>17</v>
      </c>
      <c r="W12" s="771">
        <f t="shared" si="2"/>
        <v>100</v>
      </c>
      <c r="X12" s="772"/>
      <c r="Y12" s="3125"/>
      <c r="Z12" s="55">
        <f t="shared" si="7"/>
        <v>111</v>
      </c>
      <c r="AA12" s="773">
        <f>D12/F12</f>
        <v>1</v>
      </c>
      <c r="AB12" s="773">
        <f>D12/H12</f>
        <v>1</v>
      </c>
      <c r="AC12" s="773">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317"/>
      <c r="Q13" s="1792">
        <f t="shared" si="6"/>
        <v>111</v>
      </c>
      <c r="R13" s="770" t="s">
        <v>17</v>
      </c>
      <c r="S13" s="771">
        <f t="shared" si="0"/>
        <v>100</v>
      </c>
      <c r="T13" s="770" t="s">
        <v>17</v>
      </c>
      <c r="U13" s="771">
        <f t="shared" si="1"/>
        <v>100</v>
      </c>
      <c r="V13" s="770" t="s">
        <v>17</v>
      </c>
      <c r="W13" s="771">
        <f t="shared" si="2"/>
        <v>100</v>
      </c>
      <c r="X13" s="772"/>
      <c r="Y13" s="3125"/>
      <c r="Z13" s="55">
        <f t="shared" si="7"/>
        <v>111</v>
      </c>
      <c r="AA13" s="773">
        <f t="shared" si="3"/>
        <v>1</v>
      </c>
      <c r="AB13" s="773">
        <f t="shared" si="4"/>
        <v>1</v>
      </c>
      <c r="AC13" s="773">
        <f t="shared" si="5"/>
        <v>1</v>
      </c>
    </row>
    <row r="14" spans="1:29" ht="15.75" thickBot="1">
      <c r="A14" s="436"/>
      <c r="B14" s="2594">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317"/>
      <c r="Q14" s="1792">
        <f t="shared" si="6"/>
        <v>111</v>
      </c>
      <c r="R14" s="770" t="s">
        <v>17</v>
      </c>
      <c r="S14" s="771">
        <f t="shared" si="0"/>
        <v>100</v>
      </c>
      <c r="T14" s="770" t="s">
        <v>17</v>
      </c>
      <c r="U14" s="771">
        <f t="shared" si="1"/>
        <v>100</v>
      </c>
      <c r="V14" s="770" t="s">
        <v>17</v>
      </c>
      <c r="W14" s="771">
        <f t="shared" si="2"/>
        <v>100</v>
      </c>
      <c r="X14" s="772"/>
      <c r="Y14" s="3125"/>
      <c r="Z14" s="55">
        <f t="shared" si="7"/>
        <v>111</v>
      </c>
      <c r="AA14" s="773">
        <f t="shared" si="3"/>
        <v>1</v>
      </c>
      <c r="AB14" s="773">
        <f t="shared" si="4"/>
        <v>1</v>
      </c>
      <c r="AC14" s="773">
        <f t="shared" si="5"/>
        <v>1</v>
      </c>
    </row>
    <row r="15" spans="1:29" ht="15">
      <c r="A15" s="440" t="s">
        <v>2546</v>
      </c>
      <c r="B15" s="69" t="s">
        <v>2640</v>
      </c>
      <c r="C15" s="2595">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334" t="s">
        <v>2547</v>
      </c>
      <c r="Q15" s="1807" t="str">
        <f t="shared" si="6"/>
        <v>商业繁华度</v>
      </c>
      <c r="R15" s="774" t="s">
        <v>17</v>
      </c>
      <c r="S15" s="775">
        <f t="shared" si="0"/>
        <v>100</v>
      </c>
      <c r="T15" s="774" t="s">
        <v>17</v>
      </c>
      <c r="U15" s="775">
        <f t="shared" si="1"/>
        <v>100</v>
      </c>
      <c r="V15" s="774" t="s">
        <v>17</v>
      </c>
      <c r="W15" s="775">
        <f t="shared" si="2"/>
        <v>100</v>
      </c>
      <c r="X15" s="1810"/>
      <c r="Y15" s="3308" t="s">
        <v>2547</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335"/>
      <c r="Q16" s="1807"/>
      <c r="R16" s="774"/>
      <c r="S16" s="775"/>
      <c r="T16" s="774"/>
      <c r="U16" s="775"/>
      <c r="V16" s="774"/>
      <c r="W16" s="775"/>
      <c r="X16" s="1810"/>
      <c r="Y16" s="3309"/>
      <c r="Z16" s="1811"/>
      <c r="AA16" s="1808">
        <v>1</v>
      </c>
      <c r="AB16" s="1808">
        <v>1</v>
      </c>
      <c r="AC16" s="1808">
        <v>1</v>
      </c>
    </row>
    <row r="17" spans="1:29" ht="15">
      <c r="A17" s="428"/>
      <c r="B17" s="451" t="s">
        <v>2090</v>
      </c>
      <c r="C17" s="2599">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335"/>
      <c r="Q17" s="1807" t="str">
        <f>B17</f>
        <v>交通便捷度</v>
      </c>
      <c r="R17" s="774" t="s">
        <v>17</v>
      </c>
      <c r="S17" s="775">
        <f>F17</f>
        <v>100</v>
      </c>
      <c r="T17" s="774" t="s">
        <v>17</v>
      </c>
      <c r="U17" s="775">
        <f>H17</f>
        <v>100</v>
      </c>
      <c r="V17" s="774" t="s">
        <v>17</v>
      </c>
      <c r="W17" s="775">
        <f>J17</f>
        <v>100</v>
      </c>
      <c r="X17" s="1810"/>
      <c r="Y17" s="3309"/>
      <c r="Z17" s="1811" t="str">
        <f>Q17</f>
        <v>交通便捷度</v>
      </c>
      <c r="AA17" s="1808">
        <f t="shared" si="3"/>
        <v>1</v>
      </c>
      <c r="AB17" s="1808">
        <f t="shared" si="4"/>
        <v>1</v>
      </c>
      <c r="AC17" s="1808">
        <f t="shared" si="5"/>
        <v>1</v>
      </c>
    </row>
    <row r="18" spans="1:29" ht="15">
      <c r="A18" s="428"/>
      <c r="B18" s="456"/>
      <c r="C18" s="2600"/>
      <c r="D18" s="450"/>
      <c r="E18" s="2602"/>
      <c r="F18" s="453"/>
      <c r="G18" s="2601"/>
      <c r="H18" s="448"/>
      <c r="I18" s="2602"/>
      <c r="J18" s="448"/>
      <c r="K18" s="615"/>
      <c r="L18" s="1137"/>
      <c r="M18" s="1128"/>
      <c r="N18" s="1128"/>
      <c r="O18" s="1128"/>
      <c r="P18" s="3335"/>
      <c r="Q18" s="1807"/>
      <c r="R18" s="774"/>
      <c r="S18" s="775"/>
      <c r="T18" s="774"/>
      <c r="U18" s="775"/>
      <c r="V18" s="774"/>
      <c r="W18" s="775"/>
      <c r="X18" s="1810"/>
      <c r="Y18" s="3309"/>
      <c r="Z18" s="1811"/>
      <c r="AA18" s="1808">
        <v>1</v>
      </c>
      <c r="AB18" s="1808">
        <v>1</v>
      </c>
      <c r="AC18" s="1808">
        <v>1</v>
      </c>
    </row>
    <row r="19" spans="1:29" ht="15">
      <c r="A19" s="428"/>
      <c r="B19" s="451" t="s">
        <v>2641</v>
      </c>
      <c r="C19" s="2599">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335"/>
      <c r="Q19" s="1807" t="str">
        <f>B19</f>
        <v>公共配套设施</v>
      </c>
      <c r="R19" s="774" t="s">
        <v>17</v>
      </c>
      <c r="S19" s="775">
        <f>F19</f>
        <v>100</v>
      </c>
      <c r="T19" s="774" t="s">
        <v>17</v>
      </c>
      <c r="U19" s="775">
        <f>H19</f>
        <v>100</v>
      </c>
      <c r="V19" s="774" t="s">
        <v>17</v>
      </c>
      <c r="W19" s="775">
        <f>J19</f>
        <v>100</v>
      </c>
      <c r="X19" s="1810"/>
      <c r="Y19" s="3309"/>
      <c r="Z19" s="1811" t="str">
        <f>Q19</f>
        <v>公共配套设施</v>
      </c>
      <c r="AA19" s="1808">
        <f t="shared" si="3"/>
        <v>1</v>
      </c>
      <c r="AB19" s="1808">
        <f t="shared" si="4"/>
        <v>1</v>
      </c>
      <c r="AC19" s="1808">
        <f t="shared" si="5"/>
        <v>1</v>
      </c>
    </row>
    <row r="20" spans="1:29" ht="15">
      <c r="A20" s="428"/>
      <c r="B20" s="456"/>
      <c r="C20" s="447"/>
      <c r="D20" s="448"/>
      <c r="E20" s="2597"/>
      <c r="F20" s="449"/>
      <c r="G20" s="2596"/>
      <c r="H20" s="448"/>
      <c r="I20" s="2597"/>
      <c r="J20" s="448"/>
      <c r="K20" s="615"/>
      <c r="L20" s="1137"/>
      <c r="M20" s="1128"/>
      <c r="N20" s="1128"/>
      <c r="O20" s="1128"/>
      <c r="P20" s="3335"/>
      <c r="Q20" s="1807"/>
      <c r="R20" s="774"/>
      <c r="S20" s="775"/>
      <c r="T20" s="774"/>
      <c r="U20" s="775"/>
      <c r="V20" s="774"/>
      <c r="W20" s="775"/>
      <c r="X20" s="1810"/>
      <c r="Y20" s="3309"/>
      <c r="Z20" s="1811"/>
      <c r="AA20" s="1808">
        <v>1</v>
      </c>
      <c r="AB20" s="1808">
        <v>1</v>
      </c>
      <c r="AC20" s="1808">
        <v>1</v>
      </c>
    </row>
    <row r="21" spans="1:29" ht="15">
      <c r="A21" s="428"/>
      <c r="B21" s="1381" t="s">
        <v>2642</v>
      </c>
      <c r="C21" s="2599">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335"/>
      <c r="Q21" s="1807" t="str">
        <f>B21</f>
        <v>基础设施水平</v>
      </c>
      <c r="R21" s="774" t="s">
        <v>17</v>
      </c>
      <c r="S21" s="775">
        <f>F21</f>
        <v>100</v>
      </c>
      <c r="T21" s="774" t="s">
        <v>17</v>
      </c>
      <c r="U21" s="775">
        <f>H21</f>
        <v>100</v>
      </c>
      <c r="V21" s="774" t="s">
        <v>17</v>
      </c>
      <c r="W21" s="775">
        <f>J21</f>
        <v>100</v>
      </c>
      <c r="X21" s="1810"/>
      <c r="Y21" s="3309"/>
      <c r="Z21" s="1811" t="str">
        <f>Q21</f>
        <v>基础设施水平</v>
      </c>
      <c r="AA21" s="1808">
        <f t="shared" ref="AA21" si="8">D21/F21</f>
        <v>1</v>
      </c>
      <c r="AB21" s="1808">
        <f t="shared" ref="AB21" si="9">D21/H21</f>
        <v>1</v>
      </c>
      <c r="AC21" s="1808">
        <f t="shared" ref="AC21" si="10">D21/J21</f>
        <v>1</v>
      </c>
    </row>
    <row r="22" spans="1:29" ht="15">
      <c r="A22" s="428"/>
      <c r="B22" s="1381"/>
      <c r="C22" s="2600"/>
      <c r="D22" s="448"/>
      <c r="E22" s="447"/>
      <c r="F22" s="449"/>
      <c r="G22" s="447"/>
      <c r="H22" s="448"/>
      <c r="I22" s="447"/>
      <c r="J22" s="448"/>
      <c r="K22" s="1380"/>
      <c r="L22" s="1137"/>
      <c r="M22" s="1128"/>
      <c r="N22" s="1128"/>
      <c r="O22" s="1128"/>
      <c r="P22" s="3335"/>
      <c r="Q22" s="1807"/>
      <c r="R22" s="774"/>
      <c r="S22" s="775"/>
      <c r="T22" s="774"/>
      <c r="U22" s="775"/>
      <c r="V22" s="774"/>
      <c r="W22" s="775"/>
      <c r="X22" s="1810"/>
      <c r="Y22" s="3309"/>
      <c r="Z22" s="1811"/>
      <c r="AA22" s="1808">
        <v>1</v>
      </c>
      <c r="AB22" s="1808">
        <v>1</v>
      </c>
      <c r="AC22" s="1808">
        <v>1</v>
      </c>
    </row>
    <row r="23" spans="1:29" ht="15">
      <c r="A23" s="428"/>
      <c r="B23" s="451" t="s">
        <v>2093</v>
      </c>
      <c r="C23" s="2656">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335"/>
      <c r="Q23" s="1807" t="str">
        <f>B23</f>
        <v>自然及人文环境</v>
      </c>
      <c r="R23" s="774" t="s">
        <v>17</v>
      </c>
      <c r="S23" s="775">
        <f>F23</f>
        <v>100</v>
      </c>
      <c r="T23" s="774" t="s">
        <v>17</v>
      </c>
      <c r="U23" s="775">
        <f>H23</f>
        <v>100</v>
      </c>
      <c r="V23" s="774" t="s">
        <v>17</v>
      </c>
      <c r="W23" s="775">
        <f>J23</f>
        <v>100</v>
      </c>
      <c r="X23" s="1810"/>
      <c r="Y23" s="3309"/>
      <c r="Z23" s="1811" t="str">
        <f>Q23</f>
        <v>自然及人文环境</v>
      </c>
      <c r="AA23" s="1808">
        <f t="shared" si="3"/>
        <v>1</v>
      </c>
      <c r="AB23" s="1808">
        <f t="shared" si="4"/>
        <v>1</v>
      </c>
      <c r="AC23" s="1808">
        <f t="shared" si="5"/>
        <v>1</v>
      </c>
    </row>
    <row r="24" spans="1:29" ht="15">
      <c r="A24" s="428"/>
      <c r="B24" s="456"/>
      <c r="C24" s="447"/>
      <c r="D24" s="448"/>
      <c r="E24" s="2597"/>
      <c r="F24" s="449"/>
      <c r="G24" s="2596"/>
      <c r="H24" s="448"/>
      <c r="I24" s="2597"/>
      <c r="J24" s="448"/>
      <c r="K24" s="615"/>
      <c r="L24" s="1137"/>
      <c r="M24" s="1128"/>
      <c r="N24" s="1128"/>
      <c r="O24" s="1128"/>
      <c r="P24" s="3335"/>
      <c r="Q24" s="1807"/>
      <c r="R24" s="774"/>
      <c r="S24" s="775"/>
      <c r="T24" s="774"/>
      <c r="U24" s="775"/>
      <c r="V24" s="774"/>
      <c r="W24" s="775"/>
      <c r="X24" s="1810"/>
      <c r="Y24" s="3309"/>
      <c r="Z24" s="1811"/>
      <c r="AA24" s="1808">
        <v>1</v>
      </c>
      <c r="AB24" s="1808">
        <v>1</v>
      </c>
      <c r="AC24" s="1808">
        <v>1</v>
      </c>
    </row>
    <row r="25" spans="1:29" ht="15">
      <c r="A25" s="428"/>
      <c r="B25" s="422" t="s">
        <v>2643</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335"/>
      <c r="Q25" s="1807" t="str">
        <f t="shared" ref="Q25:Q46" si="11">B25</f>
        <v>临街状况</v>
      </c>
      <c r="R25" s="774" t="s">
        <v>17</v>
      </c>
      <c r="S25" s="775">
        <f>F25</f>
        <v>100</v>
      </c>
      <c r="T25" s="774" t="s">
        <v>17</v>
      </c>
      <c r="U25" s="775">
        <f>H25</f>
        <v>100</v>
      </c>
      <c r="V25" s="774" t="s">
        <v>17</v>
      </c>
      <c r="W25" s="775">
        <f>J25</f>
        <v>100</v>
      </c>
      <c r="X25" s="1810"/>
      <c r="Y25" s="3309"/>
      <c r="Z25" s="1811" t="str">
        <f>Q25</f>
        <v>临街状况</v>
      </c>
      <c r="AA25" s="1808">
        <f t="shared" si="3"/>
        <v>1</v>
      </c>
      <c r="AB25" s="1808">
        <f t="shared" si="4"/>
        <v>1</v>
      </c>
      <c r="AC25" s="1808">
        <f t="shared" si="5"/>
        <v>1</v>
      </c>
    </row>
    <row r="26" spans="1:29" ht="15">
      <c r="A26" s="428"/>
      <c r="B26" s="1383" t="s">
        <v>2644</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335"/>
      <c r="Q26" s="1807" t="str">
        <f t="shared" si="11"/>
        <v>平面位置/可视性</v>
      </c>
      <c r="R26" s="774" t="s">
        <v>17</v>
      </c>
      <c r="S26" s="775">
        <f>F26</f>
        <v>100</v>
      </c>
      <c r="T26" s="774" t="s">
        <v>17</v>
      </c>
      <c r="U26" s="775">
        <f>H26</f>
        <v>100</v>
      </c>
      <c r="V26" s="774" t="s">
        <v>17</v>
      </c>
      <c r="W26" s="775">
        <f>J26</f>
        <v>100</v>
      </c>
      <c r="X26" s="1810"/>
      <c r="Y26" s="3309"/>
      <c r="Z26" s="1811" t="str">
        <f>Q26</f>
        <v>平面位置/可视性</v>
      </c>
      <c r="AA26" s="1808">
        <f t="shared" si="3"/>
        <v>1</v>
      </c>
      <c r="AB26" s="1808">
        <f t="shared" si="4"/>
        <v>1</v>
      </c>
      <c r="AC26" s="1808">
        <f t="shared" si="5"/>
        <v>1</v>
      </c>
    </row>
    <row r="27" spans="1:29" s="117" customFormat="1" ht="15">
      <c r="A27" s="431"/>
      <c r="B27" s="451" t="s">
        <v>2645</v>
      </c>
      <c r="C27" s="2657"/>
      <c r="D27" s="462">
        <v>100</v>
      </c>
      <c r="E27" s="2657"/>
      <c r="F27" s="464">
        <f>SUMIF(90:90,E27,91:91)-SUMIF(90:90,C27,91:91)+100</f>
        <v>100</v>
      </c>
      <c r="G27" s="2657"/>
      <c r="H27" s="462">
        <f>SUMIF(90:90,G27,91:91)-SUMIF(90:90,C27,91:91)+100</f>
        <v>100</v>
      </c>
      <c r="I27" s="2657"/>
      <c r="J27" s="462">
        <f>SUMIF(90:90,I27,91:91)-SUMIF(90:90,C27,91:91)+100</f>
        <v>100</v>
      </c>
      <c r="K27" s="612"/>
      <c r="L27" s="1129"/>
      <c r="M27" s="1130"/>
      <c r="N27" s="1130"/>
      <c r="O27" s="1130"/>
      <c r="P27" s="3335"/>
      <c r="Q27" s="1792" t="str">
        <f t="shared" si="11"/>
        <v>人流量</v>
      </c>
      <c r="R27" s="770" t="s">
        <v>17</v>
      </c>
      <c r="S27" s="771">
        <f>F27</f>
        <v>100</v>
      </c>
      <c r="T27" s="770" t="s">
        <v>17</v>
      </c>
      <c r="U27" s="771">
        <f>H27</f>
        <v>100</v>
      </c>
      <c r="V27" s="770" t="s">
        <v>17</v>
      </c>
      <c r="W27" s="771">
        <f>J27</f>
        <v>100</v>
      </c>
      <c r="X27" s="772"/>
      <c r="Y27" s="3309"/>
      <c r="Z27" s="55" t="str">
        <f>Q27</f>
        <v>人流量</v>
      </c>
      <c r="AA27" s="1808">
        <f>D27/F27</f>
        <v>1</v>
      </c>
      <c r="AB27" s="1808">
        <f>D27/H27</f>
        <v>1</v>
      </c>
      <c r="AC27" s="1808">
        <f>D27/J27</f>
        <v>1</v>
      </c>
    </row>
    <row r="28" spans="1:29" ht="15">
      <c r="A28" s="428"/>
      <c r="B28" s="422" t="s">
        <v>2646</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335"/>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309"/>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335"/>
      <c r="Q29" s="1807">
        <f t="shared" si="11"/>
        <v>111</v>
      </c>
      <c r="R29" s="774" t="s">
        <v>17</v>
      </c>
      <c r="S29" s="775">
        <f t="shared" si="12"/>
        <v>100</v>
      </c>
      <c r="T29" s="774" t="s">
        <v>17</v>
      </c>
      <c r="U29" s="775">
        <f t="shared" si="13"/>
        <v>100</v>
      </c>
      <c r="V29" s="774" t="s">
        <v>17</v>
      </c>
      <c r="W29" s="775">
        <f t="shared" si="14"/>
        <v>100</v>
      </c>
      <c r="X29" s="1810"/>
      <c r="Y29" s="3309"/>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335"/>
      <c r="Q30" s="1807">
        <f t="shared" si="11"/>
        <v>111</v>
      </c>
      <c r="R30" s="774" t="s">
        <v>17</v>
      </c>
      <c r="S30" s="775">
        <f t="shared" si="12"/>
        <v>100</v>
      </c>
      <c r="T30" s="774" t="s">
        <v>17</v>
      </c>
      <c r="U30" s="775">
        <f t="shared" si="13"/>
        <v>100</v>
      </c>
      <c r="V30" s="774" t="s">
        <v>17</v>
      </c>
      <c r="W30" s="775">
        <f t="shared" si="14"/>
        <v>100</v>
      </c>
      <c r="X30" s="1810"/>
      <c r="Y30" s="3309"/>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335"/>
      <c r="Q31" s="1807">
        <f t="shared" si="11"/>
        <v>111</v>
      </c>
      <c r="R31" s="774" t="s">
        <v>17</v>
      </c>
      <c r="S31" s="775">
        <f t="shared" si="12"/>
        <v>100</v>
      </c>
      <c r="T31" s="774" t="s">
        <v>17</v>
      </c>
      <c r="U31" s="775">
        <f t="shared" si="13"/>
        <v>100</v>
      </c>
      <c r="V31" s="774" t="s">
        <v>17</v>
      </c>
      <c r="W31" s="775">
        <f t="shared" si="14"/>
        <v>100</v>
      </c>
      <c r="X31" s="1810"/>
      <c r="Y31" s="3309"/>
      <c r="Z31" s="1811">
        <f t="shared" si="15"/>
        <v>111</v>
      </c>
      <c r="AA31" s="1808">
        <f t="shared" si="3"/>
        <v>1</v>
      </c>
      <c r="AB31" s="1808">
        <f t="shared" si="4"/>
        <v>1</v>
      </c>
      <c r="AC31" s="1808">
        <f t="shared" si="5"/>
        <v>1</v>
      </c>
    </row>
    <row r="32" spans="1:29" ht="15">
      <c r="A32" s="440" t="s">
        <v>2550</v>
      </c>
      <c r="B32" s="71" t="s">
        <v>2647</v>
      </c>
      <c r="C32" s="2609"/>
      <c r="D32" s="467">
        <v>100</v>
      </c>
      <c r="E32" s="2609"/>
      <c r="F32" s="461">
        <f>SUMIF(100:100,E32,101:101)-SUMIF(100:100,C32,101:101)+100</f>
        <v>100</v>
      </c>
      <c r="G32" s="2609"/>
      <c r="H32" s="435">
        <f>SUMIF(100:100,G32,101:101)-SUMIF(100:100,C32,101:101)+100</f>
        <v>100</v>
      </c>
      <c r="I32" s="2609"/>
      <c r="J32" s="467">
        <f>SUMIF(100:100,I32,101:101)-SUMIF(100:100,C32,101:101)+100</f>
        <v>100</v>
      </c>
      <c r="K32" s="612"/>
      <c r="L32" s="1137"/>
      <c r="M32" s="1128"/>
      <c r="N32" s="1128"/>
      <c r="O32" s="1128"/>
      <c r="P32" s="3330" t="s">
        <v>2552</v>
      </c>
      <c r="Q32" s="1807" t="str">
        <f t="shared" si="11"/>
        <v>商业类型</v>
      </c>
      <c r="R32" s="774" t="s">
        <v>17</v>
      </c>
      <c r="S32" s="775">
        <f t="shared" si="12"/>
        <v>100</v>
      </c>
      <c r="T32" s="774" t="s">
        <v>17</v>
      </c>
      <c r="U32" s="775">
        <f t="shared" si="13"/>
        <v>100</v>
      </c>
      <c r="V32" s="774" t="s">
        <v>17</v>
      </c>
      <c r="W32" s="775">
        <f t="shared" si="14"/>
        <v>100</v>
      </c>
      <c r="X32" s="1810"/>
      <c r="Y32" s="3311" t="s">
        <v>2552</v>
      </c>
      <c r="Z32" s="1811" t="str">
        <f t="shared" si="15"/>
        <v>商业类型</v>
      </c>
      <c r="AA32" s="1808">
        <f t="shared" si="3"/>
        <v>1</v>
      </c>
      <c r="AB32" s="1808">
        <f t="shared" si="4"/>
        <v>1</v>
      </c>
      <c r="AC32" s="1808">
        <f t="shared" si="5"/>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331"/>
      <c r="Q33" s="776" t="str">
        <f t="shared" si="11"/>
        <v>项目建筑规模</v>
      </c>
      <c r="R33" s="777" t="s">
        <v>17</v>
      </c>
      <c r="S33" s="778" t="e">
        <f t="shared" si="12"/>
        <v>#N/A</v>
      </c>
      <c r="T33" s="777" t="s">
        <v>17</v>
      </c>
      <c r="U33" s="778" t="e">
        <f t="shared" si="13"/>
        <v>#N/A</v>
      </c>
      <c r="V33" s="777" t="s">
        <v>17</v>
      </c>
      <c r="W33" s="778" t="e">
        <f t="shared" si="14"/>
        <v>#N/A</v>
      </c>
      <c r="X33" s="779"/>
      <c r="Y33" s="3311"/>
      <c r="Z33" s="780" t="str">
        <f t="shared" si="15"/>
        <v>项目建筑规模</v>
      </c>
      <c r="AA33" s="1808" t="e">
        <f t="shared" si="3"/>
        <v>#N/A</v>
      </c>
      <c r="AB33" s="1808" t="e">
        <f t="shared" si="4"/>
        <v>#N/A</v>
      </c>
      <c r="AC33" s="1808" t="e">
        <f t="shared" si="5"/>
        <v>#N/A</v>
      </c>
    </row>
    <row r="34" spans="1:29" ht="15">
      <c r="A34" s="472"/>
      <c r="B34" s="422" t="s">
        <v>2554</v>
      </c>
      <c r="C34" s="2611"/>
      <c r="D34" s="435">
        <v>100</v>
      </c>
      <c r="E34" s="2611"/>
      <c r="F34" s="461">
        <f>SUMIF(105:105,E34,106:106)-SUMIF(105:105,C34,106:106)+100</f>
        <v>100</v>
      </c>
      <c r="G34" s="2611"/>
      <c r="H34" s="435">
        <f>SUMIF(105:105,G34,106:106)-SUMIF(105:105,C34,106:106)+100</f>
        <v>100</v>
      </c>
      <c r="I34" s="2611"/>
      <c r="J34" s="435">
        <f>SUMIF(105:105,I34,106:106)-SUMIF(105:105,C34,106:106)+100</f>
        <v>100</v>
      </c>
      <c r="K34" s="612"/>
      <c r="L34" s="1137"/>
      <c r="M34" s="1128"/>
      <c r="N34" s="1128"/>
      <c r="O34" s="1128"/>
      <c r="P34" s="3331"/>
      <c r="Q34" s="1807" t="str">
        <f t="shared" si="11"/>
        <v>建筑结构</v>
      </c>
      <c r="R34" s="774" t="s">
        <v>17</v>
      </c>
      <c r="S34" s="775">
        <f t="shared" si="12"/>
        <v>100</v>
      </c>
      <c r="T34" s="774" t="s">
        <v>17</v>
      </c>
      <c r="U34" s="775">
        <f t="shared" si="13"/>
        <v>100</v>
      </c>
      <c r="V34" s="774" t="s">
        <v>17</v>
      </c>
      <c r="W34" s="775">
        <f t="shared" si="14"/>
        <v>100</v>
      </c>
      <c r="X34" s="1810"/>
      <c r="Y34" s="3311"/>
      <c r="Z34" s="1811" t="str">
        <f t="shared" si="15"/>
        <v>建筑结构</v>
      </c>
      <c r="AA34" s="1808">
        <f t="shared" si="3"/>
        <v>1</v>
      </c>
      <c r="AB34" s="1808">
        <f t="shared" si="4"/>
        <v>1</v>
      </c>
      <c r="AC34" s="1808">
        <f t="shared" si="5"/>
        <v>1</v>
      </c>
    </row>
    <row r="35" spans="1:29" ht="15">
      <c r="A35" s="472"/>
      <c r="B35" s="422" t="s">
        <v>2648</v>
      </c>
      <c r="C35" s="2605"/>
      <c r="D35" s="435">
        <v>100</v>
      </c>
      <c r="E35" s="2605"/>
      <c r="F35" s="461">
        <f>SUMIF(107:107,E35,108:108)-SUMIF(107:107,C35,108:108)+100</f>
        <v>100</v>
      </c>
      <c r="G35" s="2605"/>
      <c r="H35" s="435">
        <f>SUMIF(107:107,G35,108:108)-SUMIF(107:107,C35,108:108)+100</f>
        <v>100</v>
      </c>
      <c r="I35" s="2605"/>
      <c r="J35" s="435">
        <f>SUMIF(107:107,I35,108:108)-SUMIF(107:107,C35,108:108)+100</f>
        <v>100</v>
      </c>
      <c r="K35" s="612"/>
      <c r="L35" s="1137"/>
      <c r="M35" s="1128"/>
      <c r="N35" s="1128"/>
      <c r="O35" s="1128"/>
      <c r="P35" s="3331"/>
      <c r="Q35" s="1807" t="str">
        <f t="shared" si="11"/>
        <v>公共部分装修</v>
      </c>
      <c r="R35" s="774" t="s">
        <v>17</v>
      </c>
      <c r="S35" s="775">
        <f t="shared" si="12"/>
        <v>100</v>
      </c>
      <c r="T35" s="774" t="s">
        <v>17</v>
      </c>
      <c r="U35" s="775">
        <f t="shared" si="13"/>
        <v>100</v>
      </c>
      <c r="V35" s="774" t="s">
        <v>17</v>
      </c>
      <c r="W35" s="775">
        <f t="shared" si="14"/>
        <v>100</v>
      </c>
      <c r="X35" s="1810"/>
      <c r="Y35" s="3311"/>
      <c r="Z35" s="1811" t="str">
        <f t="shared" si="15"/>
        <v>公共部分装修</v>
      </c>
      <c r="AA35" s="1808">
        <f t="shared" si="3"/>
        <v>1</v>
      </c>
      <c r="AB35" s="1808">
        <f t="shared" si="4"/>
        <v>1</v>
      </c>
      <c r="AC35" s="1808">
        <f t="shared" si="5"/>
        <v>1</v>
      </c>
    </row>
    <row r="36" spans="1:29" ht="15">
      <c r="A36" s="472"/>
      <c r="B36" s="422" t="s">
        <v>2649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331"/>
      <c r="Q36" s="1807" t="str">
        <f t="shared" si="11"/>
        <v>成新度</v>
      </c>
      <c r="R36" s="774" t="s">
        <v>17</v>
      </c>
      <c r="S36" s="775" t="e">
        <f t="shared" si="12"/>
        <v>#N/A</v>
      </c>
      <c r="T36" s="774" t="s">
        <v>17</v>
      </c>
      <c r="U36" s="775" t="e">
        <f t="shared" si="13"/>
        <v>#N/A</v>
      </c>
      <c r="V36" s="774" t="s">
        <v>17</v>
      </c>
      <c r="W36" s="775" t="e">
        <f t="shared" si="14"/>
        <v>#N/A</v>
      </c>
      <c r="X36" s="1810"/>
      <c r="Y36" s="3311"/>
      <c r="Z36" s="1811" t="str">
        <f t="shared" si="15"/>
        <v>成新度</v>
      </c>
      <c r="AA36" s="1808" t="e">
        <f t="shared" si="3"/>
        <v>#N/A</v>
      </c>
      <c r="AB36" s="1808" t="e">
        <f t="shared" si="4"/>
        <v>#N/A</v>
      </c>
      <c r="AC36" s="1808" t="e">
        <f t="shared" si="5"/>
        <v>#N/A</v>
      </c>
    </row>
    <row r="37" spans="1:29" s="117" customFormat="1" ht="15">
      <c r="A37" s="473"/>
      <c r="B37" s="422" t="s">
        <v>2650</v>
      </c>
      <c r="C37" s="2605"/>
      <c r="D37" s="136">
        <v>100</v>
      </c>
      <c r="E37" s="2605"/>
      <c r="F37" s="461">
        <f>SUMIF(112:112,E37,113:113)-SUMIF(112:112,C37,113:113)+100</f>
        <v>100</v>
      </c>
      <c r="G37" s="2605"/>
      <c r="H37" s="435">
        <f>SUMIF(112:112,G37,113:113)-SUMIF(112:112,C37,113:113)+100</f>
        <v>100</v>
      </c>
      <c r="I37" s="2605"/>
      <c r="J37" s="435">
        <f>SUMIF(112:112,I37,113:113)-SUMIF(112:112,C37,113:113)+100</f>
        <v>100</v>
      </c>
      <c r="K37" s="612"/>
      <c r="L37" s="1129"/>
      <c r="M37" s="1130"/>
      <c r="N37" s="1130"/>
      <c r="O37" s="1130"/>
      <c r="P37" s="3331"/>
      <c r="Q37" s="1792" t="str">
        <f t="shared" si="11"/>
        <v>市政基础设施</v>
      </c>
      <c r="R37" s="770" t="s">
        <v>17</v>
      </c>
      <c r="S37" s="771">
        <f t="shared" si="12"/>
        <v>100</v>
      </c>
      <c r="T37" s="770" t="s">
        <v>17</v>
      </c>
      <c r="U37" s="771">
        <f t="shared" si="13"/>
        <v>100</v>
      </c>
      <c r="V37" s="770" t="s">
        <v>17</v>
      </c>
      <c r="W37" s="771">
        <f t="shared" si="14"/>
        <v>100</v>
      </c>
      <c r="X37" s="772"/>
      <c r="Y37" s="3311"/>
      <c r="Z37" s="55" t="str">
        <f t="shared" si="15"/>
        <v>市政基础设施</v>
      </c>
      <c r="AA37" s="773">
        <f t="shared" si="3"/>
        <v>1</v>
      </c>
      <c r="AB37" s="773">
        <f t="shared" si="4"/>
        <v>1</v>
      </c>
      <c r="AC37" s="773">
        <f t="shared" si="5"/>
        <v>1</v>
      </c>
    </row>
    <row r="38" spans="1:29" ht="15">
      <c r="A38" s="472"/>
      <c r="B38" s="422" t="s">
        <v>2651</v>
      </c>
      <c r="C38" s="2605"/>
      <c r="D38" s="435">
        <v>100</v>
      </c>
      <c r="E38" s="2605"/>
      <c r="F38" s="461">
        <f>SUMIF(114:114,E38,115:115)-SUMIF(114:114,C38,115:115)+100</f>
        <v>100</v>
      </c>
      <c r="G38" s="2605"/>
      <c r="H38" s="435">
        <f>SUMIF(114:114,G38,115:115)-SUMIF(114:114,C38,115:115)+100</f>
        <v>100</v>
      </c>
      <c r="I38" s="2605"/>
      <c r="J38" s="435">
        <f>SUMIF(114:114,I38,115:115)-SUMIF(114:114,C38,115:115)+100</f>
        <v>100</v>
      </c>
      <c r="K38" s="612"/>
      <c r="L38" s="1137"/>
      <c r="M38" s="1128"/>
      <c r="N38" s="1128"/>
      <c r="O38" s="1128"/>
      <c r="P38" s="3331" t="s">
        <v>2552</v>
      </c>
      <c r="Q38" s="1807" t="str">
        <f t="shared" si="11"/>
        <v>业态</v>
      </c>
      <c r="R38" s="774" t="s">
        <v>17</v>
      </c>
      <c r="S38" s="775">
        <f t="shared" si="12"/>
        <v>100</v>
      </c>
      <c r="T38" s="774" t="s">
        <v>17</v>
      </c>
      <c r="U38" s="775">
        <f t="shared" si="13"/>
        <v>100</v>
      </c>
      <c r="V38" s="774" t="s">
        <v>17</v>
      </c>
      <c r="W38" s="775">
        <f t="shared" si="14"/>
        <v>100</v>
      </c>
      <c r="X38" s="1810"/>
      <c r="Y38" s="3311" t="s">
        <v>2552</v>
      </c>
      <c r="Z38" s="1811" t="str">
        <f t="shared" si="15"/>
        <v>业态</v>
      </c>
      <c r="AA38" s="1808">
        <f t="shared" si="3"/>
        <v>1</v>
      </c>
      <c r="AB38" s="1808">
        <f t="shared" si="4"/>
        <v>1</v>
      </c>
      <c r="AC38" s="1808">
        <f t="shared" si="5"/>
        <v>1</v>
      </c>
    </row>
    <row r="39" spans="1:29" ht="15">
      <c r="A39" s="472"/>
      <c r="B39" s="422" t="s">
        <v>2652</v>
      </c>
      <c r="C39" s="2605"/>
      <c r="D39" s="435">
        <v>100</v>
      </c>
      <c r="E39" s="2605"/>
      <c r="F39" s="461">
        <f>SUMIF(116:116,E39,117:117)-SUMIF(116:116,C39,117:117)+100</f>
        <v>100</v>
      </c>
      <c r="G39" s="2605"/>
      <c r="H39" s="435">
        <f>SUMIF(116:116,G39,117:117)-SUMIF(116:116,C39,117:117)+100</f>
        <v>100</v>
      </c>
      <c r="I39" s="2605"/>
      <c r="J39" s="435">
        <f>SUMIF(116:116,I39,117:117)-SUMIF(116:116,C39,117:117)+100</f>
        <v>100</v>
      </c>
      <c r="K39" s="612"/>
      <c r="L39" s="1137"/>
      <c r="M39" s="1128"/>
      <c r="N39" s="1128"/>
      <c r="O39" s="1128"/>
      <c r="P39" s="3331"/>
      <c r="Q39" s="1807" t="str">
        <f t="shared" si="11"/>
        <v>层高</v>
      </c>
      <c r="R39" s="774" t="s">
        <v>17</v>
      </c>
      <c r="S39" s="775">
        <f t="shared" si="12"/>
        <v>100</v>
      </c>
      <c r="T39" s="774" t="s">
        <v>17</v>
      </c>
      <c r="U39" s="775">
        <f t="shared" si="13"/>
        <v>100</v>
      </c>
      <c r="V39" s="774" t="s">
        <v>17</v>
      </c>
      <c r="W39" s="775">
        <f t="shared" si="14"/>
        <v>100</v>
      </c>
      <c r="X39" s="1810"/>
      <c r="Y39" s="3311"/>
      <c r="Z39" s="1811" t="str">
        <f t="shared" si="15"/>
        <v>层高</v>
      </c>
      <c r="AA39" s="1808">
        <f t="shared" si="3"/>
        <v>1</v>
      </c>
      <c r="AB39" s="1808">
        <f t="shared" si="4"/>
        <v>1</v>
      </c>
      <c r="AC39" s="1808">
        <f t="shared" si="5"/>
        <v>1</v>
      </c>
    </row>
    <row r="40" spans="1:29" ht="15">
      <c r="A40" s="472"/>
      <c r="B40" s="422" t="s">
        <v>2653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331"/>
      <c r="Q40" s="1807" t="str">
        <f t="shared" si="11"/>
        <v>单套建筑面积</v>
      </c>
      <c r="R40" s="774" t="s">
        <v>17</v>
      </c>
      <c r="S40" s="775">
        <f t="shared" si="12"/>
        <v>100</v>
      </c>
      <c r="T40" s="774" t="s">
        <v>17</v>
      </c>
      <c r="U40" s="775">
        <f t="shared" si="13"/>
        <v>100</v>
      </c>
      <c r="V40" s="774" t="s">
        <v>17</v>
      </c>
      <c r="W40" s="775">
        <f t="shared" si="14"/>
        <v>100</v>
      </c>
      <c r="X40" s="1810"/>
      <c r="Y40" s="3311"/>
      <c r="Z40" s="1811" t="str">
        <f t="shared" si="15"/>
        <v>单套建筑面积</v>
      </c>
      <c r="AA40" s="1808">
        <f t="shared" si="3"/>
        <v>1</v>
      </c>
      <c r="AB40" s="1808">
        <f t="shared" si="4"/>
        <v>1</v>
      </c>
      <c r="AC40" s="1808">
        <f t="shared" si="5"/>
        <v>1</v>
      </c>
    </row>
    <row r="41" spans="1:29" s="471" customFormat="1" ht="15">
      <c r="A41" s="468"/>
      <c r="B41" s="1809"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331"/>
      <c r="Q41" s="776" t="str">
        <f t="shared" si="11"/>
        <v>进深比</v>
      </c>
      <c r="R41" s="777" t="s">
        <v>17</v>
      </c>
      <c r="S41" s="778">
        <f t="shared" si="12"/>
        <v>100</v>
      </c>
      <c r="T41" s="777" t="s">
        <v>17</v>
      </c>
      <c r="U41" s="778">
        <f t="shared" si="13"/>
        <v>100</v>
      </c>
      <c r="V41" s="777" t="s">
        <v>17</v>
      </c>
      <c r="W41" s="778">
        <f t="shared" si="14"/>
        <v>100</v>
      </c>
      <c r="X41" s="779"/>
      <c r="Y41" s="3311"/>
      <c r="Z41" s="780" t="str">
        <f t="shared" si="15"/>
        <v>进深比</v>
      </c>
      <c r="AA41" s="1808">
        <f t="shared" si="3"/>
        <v>1</v>
      </c>
      <c r="AB41" s="1808">
        <f t="shared" si="4"/>
        <v>1</v>
      </c>
      <c r="AC41" s="1808">
        <f t="shared" si="5"/>
        <v>1</v>
      </c>
    </row>
    <row r="42" spans="1:29" ht="15">
      <c r="A42" s="472"/>
      <c r="B42" s="422" t="s">
        <v>2655</v>
      </c>
      <c r="C42" s="2605"/>
      <c r="D42" s="435">
        <v>100</v>
      </c>
      <c r="E42" s="2605"/>
      <c r="F42" s="461">
        <f>SUMIF(122:122,E42,123:123)-SUMIF(122:122,C42,123:123)+100</f>
        <v>100</v>
      </c>
      <c r="G42" s="2605"/>
      <c r="H42" s="435">
        <f>SUMIF(122:122,G42,123:123)-SUMIF(122:122,C42,123:123)+100</f>
        <v>100</v>
      </c>
      <c r="I42" s="2605"/>
      <c r="J42" s="435">
        <f>SUMIF(122:122,I42,123:123)-SUMIF(122:122,C42,123:123)+100</f>
        <v>100</v>
      </c>
      <c r="K42" s="612"/>
      <c r="L42" s="1137"/>
      <c r="M42" s="1128"/>
      <c r="N42" s="1128"/>
      <c r="O42" s="1128"/>
      <c r="P42" s="3331"/>
      <c r="Q42" s="1807" t="str">
        <f t="shared" si="11"/>
        <v>内部装修</v>
      </c>
      <c r="R42" s="774" t="s">
        <v>17</v>
      </c>
      <c r="S42" s="775">
        <f t="shared" si="12"/>
        <v>100</v>
      </c>
      <c r="T42" s="774" t="s">
        <v>17</v>
      </c>
      <c r="U42" s="775">
        <f t="shared" si="13"/>
        <v>100</v>
      </c>
      <c r="V42" s="774" t="s">
        <v>17</v>
      </c>
      <c r="W42" s="775">
        <f t="shared" si="14"/>
        <v>100</v>
      </c>
      <c r="X42" s="1810"/>
      <c r="Y42" s="3311"/>
      <c r="Z42" s="1811" t="str">
        <f t="shared" si="15"/>
        <v>内部装修</v>
      </c>
      <c r="AA42" s="1808">
        <f t="shared" si="3"/>
        <v>1</v>
      </c>
      <c r="AB42" s="1808">
        <f t="shared" si="4"/>
        <v>1</v>
      </c>
      <c r="AC42" s="1808">
        <f t="shared" si="5"/>
        <v>1</v>
      </c>
    </row>
    <row r="43" spans="1:29" ht="15">
      <c r="A43" s="472"/>
      <c r="B43" s="422" t="s">
        <v>2563</v>
      </c>
      <c r="C43" s="2605"/>
      <c r="D43" s="435">
        <v>100</v>
      </c>
      <c r="E43" s="2605"/>
      <c r="F43" s="461">
        <f>SUMIF(124:124,E43,125:125)-SUMIF(124:124,C43,125:125)+100</f>
        <v>100</v>
      </c>
      <c r="G43" s="2605"/>
      <c r="H43" s="435">
        <f>SUMIF(124:124,G43,125:125)-SUMIF(124:124,C43,125:125)+100</f>
        <v>100</v>
      </c>
      <c r="I43" s="2605"/>
      <c r="J43" s="435">
        <f>SUMIF(124:124,I43,125:125)-SUMIF(124:124,C43,125:125)+100</f>
        <v>100</v>
      </c>
      <c r="K43" s="612"/>
      <c r="L43" s="1137"/>
      <c r="M43" s="1128"/>
      <c r="N43" s="1128"/>
      <c r="O43" s="1128"/>
      <c r="P43" s="3331"/>
      <c r="Q43" s="1807" t="str">
        <f t="shared" si="11"/>
        <v>内部装修维护情况</v>
      </c>
      <c r="R43" s="774" t="s">
        <v>17</v>
      </c>
      <c r="S43" s="775">
        <f t="shared" si="12"/>
        <v>100</v>
      </c>
      <c r="T43" s="774" t="s">
        <v>17</v>
      </c>
      <c r="U43" s="775">
        <f t="shared" si="13"/>
        <v>100</v>
      </c>
      <c r="V43" s="774" t="s">
        <v>17</v>
      </c>
      <c r="W43" s="775">
        <f t="shared" si="14"/>
        <v>100</v>
      </c>
      <c r="X43" s="1810"/>
      <c r="Y43" s="3311"/>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331"/>
      <c r="Q44" s="1792">
        <f t="shared" si="11"/>
        <v>111</v>
      </c>
      <c r="R44" s="770" t="s">
        <v>17</v>
      </c>
      <c r="S44" s="771">
        <f t="shared" si="12"/>
        <v>100</v>
      </c>
      <c r="T44" s="770" t="s">
        <v>17</v>
      </c>
      <c r="U44" s="771">
        <f t="shared" si="13"/>
        <v>100</v>
      </c>
      <c r="V44" s="770" t="s">
        <v>17</v>
      </c>
      <c r="W44" s="771">
        <f t="shared" si="14"/>
        <v>100</v>
      </c>
      <c r="X44" s="772"/>
      <c r="Y44" s="3311"/>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331"/>
      <c r="Q45" s="1807">
        <f t="shared" si="11"/>
        <v>111</v>
      </c>
      <c r="R45" s="774" t="s">
        <v>17</v>
      </c>
      <c r="S45" s="775">
        <f t="shared" si="12"/>
        <v>100</v>
      </c>
      <c r="T45" s="774" t="s">
        <v>17</v>
      </c>
      <c r="U45" s="775">
        <f t="shared" si="13"/>
        <v>100</v>
      </c>
      <c r="V45" s="774" t="s">
        <v>17</v>
      </c>
      <c r="W45" s="775">
        <f t="shared" si="14"/>
        <v>100</v>
      </c>
      <c r="X45" s="1810"/>
      <c r="Y45" s="3311"/>
      <c r="Z45" s="1811">
        <f t="shared" si="15"/>
        <v>111</v>
      </c>
      <c r="AA45" s="1808">
        <f t="shared" si="3"/>
        <v>1</v>
      </c>
      <c r="AB45" s="1808">
        <f t="shared" si="4"/>
        <v>1</v>
      </c>
      <c r="AC45" s="1808">
        <f t="shared" si="5"/>
        <v>1</v>
      </c>
    </row>
    <row r="46" spans="1:29" ht="15.75"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332"/>
      <c r="Q46" s="1807">
        <f t="shared" si="11"/>
        <v>111</v>
      </c>
      <c r="R46" s="774" t="s">
        <v>17</v>
      </c>
      <c r="S46" s="775">
        <f t="shared" si="12"/>
        <v>100</v>
      </c>
      <c r="T46" s="774" t="s">
        <v>17</v>
      </c>
      <c r="U46" s="775">
        <f t="shared" si="13"/>
        <v>100</v>
      </c>
      <c r="V46" s="774" t="s">
        <v>17</v>
      </c>
      <c r="W46" s="775">
        <f t="shared" si="14"/>
        <v>100</v>
      </c>
      <c r="X46" s="1810"/>
      <c r="Y46" s="3333"/>
      <c r="Z46" s="1811">
        <f t="shared" si="15"/>
        <v>111</v>
      </c>
      <c r="AA46" s="1808">
        <f t="shared" si="3"/>
        <v>1</v>
      </c>
      <c r="AB46" s="1808">
        <f t="shared" si="4"/>
        <v>1</v>
      </c>
      <c r="AC46" s="1808">
        <f t="shared" si="5"/>
        <v>1</v>
      </c>
    </row>
    <row r="47" spans="1:29" ht="15">
      <c r="A47" s="479" t="s">
        <v>2564</v>
      </c>
      <c r="B47" s="480"/>
      <c r="C47" s="1404" t="s">
        <v>1</v>
      </c>
      <c r="D47" s="1405"/>
      <c r="E47" s="1406"/>
      <c r="F47" s="1407"/>
      <c r="G47" s="1408"/>
      <c r="H47" s="1409"/>
      <c r="I47" s="1406"/>
      <c r="J47" s="1409"/>
      <c r="K47" s="783"/>
      <c r="L47" s="1140"/>
      <c r="M47" s="1141"/>
      <c r="N47" s="1128"/>
      <c r="O47" s="1141"/>
      <c r="P47" s="3293" t="str">
        <f>A47</f>
        <v>成交单价（元/平方米）</v>
      </c>
      <c r="Q47" s="3293"/>
      <c r="R47" s="3306">
        <f>E47</f>
        <v>0</v>
      </c>
      <c r="S47" s="3306"/>
      <c r="T47" s="3306">
        <f>G47</f>
        <v>0</v>
      </c>
      <c r="U47" s="3306"/>
      <c r="V47" s="3306">
        <f>I47</f>
        <v>0</v>
      </c>
      <c r="W47" s="3306"/>
      <c r="X47" s="759"/>
      <c r="Y47" s="781"/>
      <c r="Z47" s="759"/>
      <c r="AA47" s="759"/>
      <c r="AB47" s="759"/>
      <c r="AC47" s="759"/>
    </row>
    <row r="48" spans="1:29" ht="15.75" thickBot="1">
      <c r="A48" s="486" t="s">
        <v>2656</v>
      </c>
      <c r="B48" s="487"/>
      <c r="C48" s="1410" t="e">
        <f>R49</f>
        <v>#DIV/0!</v>
      </c>
      <c r="D48" s="1411"/>
      <c r="E48" s="1412" t="e">
        <f>R48</f>
        <v>#DIV/0!</v>
      </c>
      <c r="F48" s="1412"/>
      <c r="G48" s="1410" t="e">
        <f>T48</f>
        <v>#DIV/0!</v>
      </c>
      <c r="H48" s="1411"/>
      <c r="I48" s="1412" t="e">
        <f>V48</f>
        <v>#DIV/0!</v>
      </c>
      <c r="J48" s="1411"/>
      <c r="K48" s="784"/>
      <c r="L48" s="1140"/>
      <c r="M48" s="1141"/>
      <c r="N48" s="1128"/>
      <c r="O48" s="1141"/>
      <c r="P48" s="3293" t="str">
        <f>A48</f>
        <v>比较价值（元/平方米）</v>
      </c>
      <c r="Q48" s="3293"/>
      <c r="R48" s="3329" t="e">
        <f>IF(F1="售价",ROUND(PRODUCT(R47,AA7:AA46),0),ROUND(PRODUCT(R47,AA7:AA46),1))</f>
        <v>#DIV/0!</v>
      </c>
      <c r="S48" s="3329"/>
      <c r="T48" s="3329" t="e">
        <f>IF(F1="售价",ROUND(PRODUCT(T47,AB7:AB46),0),ROUND(PRODUCT(T47,AB7:AB46),1))</f>
        <v>#DIV/0!</v>
      </c>
      <c r="U48" s="3329"/>
      <c r="V48" s="3329" t="e">
        <f>IF(F1="售价",ROUND(PRODUCT(V47,AC7:AC46),0),ROUND(PRODUCT(V47,AC7:AC46),1))</f>
        <v>#DIV/0!</v>
      </c>
      <c r="W48" s="3329"/>
      <c r="X48" s="759"/>
      <c r="Y48" s="759"/>
      <c r="Z48" s="759"/>
      <c r="AA48" s="759"/>
      <c r="AB48" s="759"/>
      <c r="AC48" s="759"/>
    </row>
    <row r="49" spans="1:29" ht="15.75" thickBot="1">
      <c r="A49" s="492" t="s">
        <v>2657</v>
      </c>
      <c r="B49" s="493"/>
      <c r="C49" s="1414" t="e">
        <f>R49</f>
        <v>#DIV/0!</v>
      </c>
      <c r="D49" s="1414"/>
      <c r="E49" s="1414"/>
      <c r="F49" s="1414"/>
      <c r="G49" s="1414"/>
      <c r="H49" s="1414"/>
      <c r="I49" s="1414"/>
      <c r="J49" s="1414"/>
      <c r="K49" s="785"/>
      <c r="L49" s="1140"/>
      <c r="M49" s="1141"/>
      <c r="N49" s="1128"/>
      <c r="O49" s="1141"/>
      <c r="P49" s="3313" t="str">
        <f>A49</f>
        <v>估价对象XX用房的比较价值（楼面单价，元/平方米）</v>
      </c>
      <c r="Q49" s="3314"/>
      <c r="R49" s="3328" t="e">
        <f>IF(F1="售价",ROUND(AVERAGE(R48:V48),0),ROUND(AVERAGE(R48:V48),1))</f>
        <v>#DIV/0!</v>
      </c>
      <c r="S49" s="3328"/>
      <c r="T49" s="3328"/>
      <c r="U49" s="3328"/>
      <c r="V49" s="3328"/>
      <c r="W49" s="3328"/>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2658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2659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58"/>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58"/>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2661</v>
      </c>
      <c r="B57" s="759"/>
      <c r="C57" s="764"/>
      <c r="D57" s="764"/>
      <c r="E57" s="764"/>
      <c r="F57" s="765"/>
      <c r="G57" s="765"/>
      <c r="H57" s="764"/>
      <c r="I57" s="764"/>
      <c r="J57" s="764"/>
      <c r="K57" s="766"/>
      <c r="L57" s="1158"/>
      <c r="M57" s="1156"/>
      <c r="N57" s="1156"/>
      <c r="O57" s="1156"/>
      <c r="P57" s="2659"/>
      <c r="Q57" s="2660"/>
      <c r="R57" s="759"/>
      <c r="S57" s="759"/>
      <c r="T57" s="759"/>
      <c r="U57" s="759"/>
      <c r="V57" s="759"/>
      <c r="W57" s="759"/>
      <c r="X57" s="759"/>
      <c r="Y57" s="759"/>
      <c r="Z57" s="759"/>
      <c r="AA57" s="759"/>
      <c r="AB57" s="759"/>
      <c r="AC57" s="759"/>
    </row>
    <row r="58" spans="1:29" s="508" customFormat="1" ht="15">
      <c r="A58" s="505" t="s">
        <v>2535</v>
      </c>
      <c r="B58" s="506"/>
      <c r="C58" s="1571" t="str">
        <f>YEAR(C7)&amp;"-"&amp;MONTH(C7)</f>
        <v>2020-4</v>
      </c>
      <c r="D58" s="1572">
        <f>EDATE(C58,-1)</f>
        <v>43891</v>
      </c>
      <c r="E58" s="1572">
        <f t="shared" ref="E58:N58" si="16">EDATE(D58,-1)</f>
        <v>43862</v>
      </c>
      <c r="F58" s="1572">
        <f t="shared" si="16"/>
        <v>43831</v>
      </c>
      <c r="G58" s="1572">
        <f t="shared" si="16"/>
        <v>43800</v>
      </c>
      <c r="H58" s="1572">
        <f t="shared" si="16"/>
        <v>43770</v>
      </c>
      <c r="I58" s="1572">
        <f t="shared" si="16"/>
        <v>43739</v>
      </c>
      <c r="J58" s="1572">
        <f t="shared" si="16"/>
        <v>43709</v>
      </c>
      <c r="K58" s="1572">
        <f t="shared" si="16"/>
        <v>43678</v>
      </c>
      <c r="L58" s="1572">
        <f t="shared" si="16"/>
        <v>43647</v>
      </c>
      <c r="M58" s="1572">
        <f t="shared" si="16"/>
        <v>43617</v>
      </c>
      <c r="N58" s="1572">
        <f t="shared" si="16"/>
        <v>43586</v>
      </c>
      <c r="O58" s="1572">
        <f>EDATE(N58,-1)</f>
        <v>43556</v>
      </c>
      <c r="P58" s="1567"/>
    </row>
    <row r="59" spans="1:29" s="117" customFormat="1" ht="15">
      <c r="A59" s="509"/>
      <c r="B59" s="510"/>
      <c r="C59" s="1570">
        <v>100</v>
      </c>
      <c r="D59" s="512"/>
      <c r="E59" s="512"/>
      <c r="F59" s="512"/>
      <c r="G59" s="512"/>
      <c r="H59" s="512"/>
      <c r="I59" s="512"/>
      <c r="J59" s="512"/>
      <c r="K59" s="512"/>
      <c r="L59" s="512"/>
      <c r="M59" s="513"/>
      <c r="N59" s="512"/>
      <c r="O59" s="513"/>
      <c r="P59" s="2620"/>
    </row>
    <row r="60" spans="1:29" s="117" customFormat="1" ht="15.75" thickBot="1">
      <c r="A60" s="515" t="s">
        <v>2572</v>
      </c>
      <c r="B60" s="516"/>
      <c r="C60" s="517"/>
      <c r="D60" s="518"/>
      <c r="E60" s="518"/>
      <c r="F60" s="518"/>
      <c r="G60" s="518"/>
      <c r="H60" s="518"/>
      <c r="I60" s="518"/>
      <c r="J60" s="518"/>
      <c r="K60" s="518"/>
      <c r="L60" s="518"/>
      <c r="M60" s="519"/>
      <c r="N60" s="518"/>
      <c r="O60" s="519"/>
      <c r="P60" s="2620"/>
      <c r="Q60" s="504"/>
    </row>
    <row r="61" spans="1:29" s="117" customFormat="1" ht="15">
      <c r="A61" s="521" t="s">
        <v>2537</v>
      </c>
      <c r="B61" s="510"/>
      <c r="C61" s="522" t="s">
        <v>2639</v>
      </c>
      <c r="D61" s="523"/>
      <c r="E61" s="523"/>
      <c r="F61" s="523"/>
      <c r="G61" s="523"/>
      <c r="H61" s="523"/>
      <c r="I61" s="523"/>
      <c r="J61" s="523"/>
      <c r="K61" s="523"/>
      <c r="L61" s="524"/>
      <c r="M61" s="525"/>
      <c r="N61" s="1148"/>
      <c r="O61" s="1148"/>
      <c r="P61" s="2621"/>
      <c r="Q61" s="504"/>
    </row>
    <row r="62" spans="1:29" s="117" customFormat="1" ht="15.75" thickBot="1">
      <c r="A62" s="521"/>
      <c r="B62" s="510"/>
      <c r="C62" s="511">
        <v>100</v>
      </c>
      <c r="D62" s="512"/>
      <c r="E62" s="512"/>
      <c r="F62" s="512"/>
      <c r="G62" s="512"/>
      <c r="H62" s="512"/>
      <c r="I62" s="512"/>
      <c r="J62" s="512"/>
      <c r="K62" s="512"/>
      <c r="L62" s="512"/>
      <c r="M62" s="514"/>
      <c r="N62" s="1148"/>
      <c r="O62" s="1148"/>
      <c r="P62" s="2620"/>
      <c r="Q62" s="504"/>
    </row>
    <row r="63" spans="1:29">
      <c r="A63" s="527" t="s">
        <v>2575</v>
      </c>
      <c r="B63" s="528" t="s">
        <v>2541</v>
      </c>
      <c r="C63" s="529">
        <f>C9</f>
        <v>0</v>
      </c>
      <c r="D63" s="530"/>
      <c r="E63" s="530"/>
      <c r="F63" s="530"/>
      <c r="G63" s="530"/>
      <c r="H63" s="530"/>
      <c r="I63" s="530"/>
      <c r="J63" s="530"/>
      <c r="K63" s="531"/>
      <c r="L63" s="532"/>
      <c r="M63" s="533"/>
      <c r="N63" s="1149"/>
      <c r="O63" s="1149"/>
      <c r="P63" s="2622"/>
      <c r="Q63" s="504"/>
    </row>
    <row r="64" spans="1:29" ht="15.75" thickBot="1">
      <c r="A64" s="534"/>
      <c r="B64" s="535"/>
      <c r="C64" s="536">
        <v>100</v>
      </c>
      <c r="D64" s="536"/>
      <c r="E64" s="536"/>
      <c r="F64" s="536"/>
      <c r="G64" s="536"/>
      <c r="H64" s="536"/>
      <c r="I64" s="536"/>
      <c r="J64" s="536"/>
      <c r="K64" s="536"/>
      <c r="L64" s="536"/>
      <c r="M64" s="537"/>
      <c r="N64" s="1150"/>
      <c r="O64" s="1150"/>
      <c r="P64" s="2622"/>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49"/>
      <c r="O65" s="1149"/>
      <c r="P65" s="262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2"/>
      <c r="Q66" s="504"/>
    </row>
    <row r="67" spans="1:17" ht="15.75" thickTop="1">
      <c r="A67" s="534"/>
      <c r="B67" s="546" t="s">
        <v>2545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2"/>
      <c r="Q67" s="504"/>
    </row>
    <row r="68" spans="1:17" ht="15">
      <c r="A68" s="534"/>
      <c r="B68" s="548"/>
      <c r="C68" s="549"/>
      <c r="D68" s="549"/>
      <c r="E68" s="549"/>
      <c r="F68" s="549"/>
      <c r="G68" s="549"/>
      <c r="H68" s="549"/>
      <c r="I68" s="549"/>
      <c r="J68" s="549"/>
      <c r="K68" s="550"/>
      <c r="L68" s="551"/>
      <c r="M68" s="552"/>
      <c r="N68" s="1149"/>
      <c r="O68" s="1149"/>
      <c r="P68" s="262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2"/>
      <c r="Q69" s="504"/>
    </row>
    <row r="70" spans="1:17" s="471" customFormat="1" ht="15.75" thickTop="1">
      <c r="A70" s="553"/>
      <c r="B70" s="538">
        <f>B12</f>
        <v>111</v>
      </c>
      <c r="C70" s="554"/>
      <c r="D70" s="554"/>
      <c r="E70" s="554"/>
      <c r="F70" s="554"/>
      <c r="G70" s="554"/>
      <c r="H70" s="555"/>
      <c r="I70" s="555"/>
      <c r="J70" s="555"/>
      <c r="K70" s="555"/>
      <c r="L70" s="556"/>
      <c r="M70" s="557"/>
      <c r="N70" s="1151"/>
      <c r="O70" s="1151"/>
      <c r="P70" s="2623"/>
      <c r="Q70" s="559"/>
    </row>
    <row r="71" spans="1:17" s="471" customFormat="1" ht="15.75" thickBot="1">
      <c r="A71" s="553"/>
      <c r="B71" s="543"/>
      <c r="C71" s="560"/>
      <c r="D71" s="536"/>
      <c r="E71" s="536"/>
      <c r="F71" s="536"/>
      <c r="G71" s="536"/>
      <c r="H71" s="536"/>
      <c r="I71" s="536"/>
      <c r="J71" s="536"/>
      <c r="K71" s="536"/>
      <c r="L71" s="536"/>
      <c r="M71" s="537"/>
      <c r="N71" s="1150"/>
      <c r="O71" s="1150"/>
      <c r="P71" s="2623"/>
      <c r="Q71" s="559"/>
    </row>
    <row r="72" spans="1:17" s="471" customFormat="1" ht="15.75" thickTop="1">
      <c r="A72" s="553"/>
      <c r="B72" s="538">
        <f>B13</f>
        <v>111</v>
      </c>
      <c r="C72" s="554"/>
      <c r="D72" s="554"/>
      <c r="E72" s="554"/>
      <c r="F72" s="554"/>
      <c r="G72" s="554"/>
      <c r="H72" s="555"/>
      <c r="I72" s="555"/>
      <c r="J72" s="555"/>
      <c r="K72" s="555"/>
      <c r="L72" s="556"/>
      <c r="M72" s="557"/>
      <c r="N72" s="1151"/>
      <c r="O72" s="1151"/>
      <c r="P72" s="2624"/>
      <c r="Q72" s="561"/>
    </row>
    <row r="73" spans="1:17" s="471" customFormat="1" ht="15.75" thickBot="1">
      <c r="A73" s="553"/>
      <c r="B73" s="543"/>
      <c r="C73" s="560"/>
      <c r="D73" s="536"/>
      <c r="E73" s="536"/>
      <c r="F73" s="536"/>
      <c r="G73" s="560"/>
      <c r="H73" s="562"/>
      <c r="I73" s="562"/>
      <c r="J73" s="562"/>
      <c r="K73" s="562"/>
      <c r="L73" s="562"/>
      <c r="M73" s="563"/>
      <c r="N73" s="1151"/>
      <c r="O73" s="1151"/>
      <c r="P73" s="2623"/>
      <c r="Q73" s="559"/>
    </row>
    <row r="74" spans="1:17" s="471" customFormat="1" ht="15.75" thickTop="1">
      <c r="A74" s="553"/>
      <c r="B74" s="546">
        <f>B14</f>
        <v>111</v>
      </c>
      <c r="C74" s="554"/>
      <c r="D74" s="554"/>
      <c r="E74" s="554"/>
      <c r="F74" s="554"/>
      <c r="G74" s="523"/>
      <c r="H74" s="564"/>
      <c r="I74" s="564"/>
      <c r="J74" s="564"/>
      <c r="K74" s="564"/>
      <c r="L74" s="565"/>
      <c r="M74" s="566"/>
      <c r="N74" s="1151"/>
      <c r="O74" s="1151"/>
      <c r="P74" s="2625"/>
      <c r="Q74" s="559"/>
    </row>
    <row r="75" spans="1:17" s="471" customFormat="1" ht="15.75" thickBot="1">
      <c r="A75" s="568"/>
      <c r="B75" s="569"/>
      <c r="C75" s="570"/>
      <c r="D75" s="570"/>
      <c r="E75" s="570"/>
      <c r="F75" s="570"/>
      <c r="G75" s="570"/>
      <c r="H75" s="571"/>
      <c r="I75" s="571"/>
      <c r="J75" s="571"/>
      <c r="K75" s="571"/>
      <c r="L75" s="571"/>
      <c r="M75" s="572"/>
      <c r="N75" s="1151"/>
      <c r="O75" s="1151"/>
      <c r="P75" s="2623"/>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49"/>
      <c r="O76" s="1149"/>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2"/>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49"/>
      <c r="O78" s="1149"/>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2"/>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49"/>
      <c r="O80" s="1149"/>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2"/>
      <c r="Q81" s="504"/>
    </row>
    <row r="82" spans="1:17" ht="15.75" thickTop="1">
      <c r="A82" s="534"/>
      <c r="B82" s="546" t="s">
        <v>2642</v>
      </c>
      <c r="C82" s="660" t="s">
        <v>2662</v>
      </c>
      <c r="D82" s="660" t="s">
        <v>2663</v>
      </c>
      <c r="E82" s="660" t="s">
        <v>2664</v>
      </c>
      <c r="F82" s="660" t="s">
        <v>2665</v>
      </c>
      <c r="G82" s="660" t="s">
        <v>2666</v>
      </c>
      <c r="H82" s="539"/>
      <c r="I82" s="539"/>
      <c r="J82" s="539"/>
      <c r="K82" s="539"/>
      <c r="L82" s="539"/>
      <c r="M82" s="1379"/>
      <c r="N82" s="1150"/>
      <c r="O82" s="1150"/>
      <c r="P82" s="262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2"/>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49"/>
      <c r="O84" s="1149"/>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2"/>
      <c r="Q85" s="504"/>
    </row>
    <row r="86" spans="1:17" s="117" customFormat="1" ht="15.75" thickTop="1">
      <c r="A86" s="579"/>
      <c r="B86" s="538" t="s">
        <v>2667</v>
      </c>
      <c r="C86" s="554"/>
      <c r="D86" s="554"/>
      <c r="E86" s="554"/>
      <c r="F86" s="554"/>
      <c r="G86" s="554"/>
      <c r="H86" s="554"/>
      <c r="I86" s="554"/>
      <c r="J86" s="554"/>
      <c r="K86" s="554"/>
      <c r="L86" s="580"/>
      <c r="M86" s="581"/>
      <c r="N86" s="1148"/>
      <c r="O86" s="1148"/>
      <c r="P86" s="262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2"/>
      <c r="Q87" s="504"/>
    </row>
    <row r="88" spans="1:17" s="117" customFormat="1" ht="15.75" thickTop="1">
      <c r="A88" s="579"/>
      <c r="B88" s="538" t="str">
        <f>B26</f>
        <v>平面位置/可视性</v>
      </c>
      <c r="C88" s="554"/>
      <c r="D88" s="554"/>
      <c r="E88" s="554"/>
      <c r="F88" s="2627"/>
      <c r="G88" s="554"/>
      <c r="H88" s="554"/>
      <c r="I88" s="554"/>
      <c r="J88" s="554"/>
      <c r="K88" s="554"/>
      <c r="L88" s="554"/>
      <c r="M88" s="581"/>
      <c r="N88" s="1148"/>
      <c r="O88" s="1148"/>
      <c r="P88" s="2622"/>
      <c r="Q88" s="504"/>
    </row>
    <row r="89" spans="1:17" s="117" customFormat="1" ht="15.75" thickBot="1">
      <c r="A89" s="579"/>
      <c r="B89" s="543"/>
      <c r="C89" s="560"/>
      <c r="D89" s="536"/>
      <c r="E89" s="536"/>
      <c r="F89" s="536"/>
      <c r="G89" s="536"/>
      <c r="H89" s="536"/>
      <c r="I89" s="536"/>
      <c r="J89" s="536"/>
      <c r="K89" s="536"/>
      <c r="L89" s="536"/>
      <c r="M89" s="536"/>
      <c r="N89" s="1150"/>
      <c r="O89" s="1150"/>
      <c r="P89" s="2622"/>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3"/>
      <c r="Q91" s="559"/>
    </row>
    <row r="92" spans="1:17" ht="15.75" thickTop="1">
      <c r="A92" s="534"/>
      <c r="B92" s="538" t="str">
        <f>B28</f>
        <v>楼层</v>
      </c>
      <c r="C92" s="554"/>
      <c r="D92" s="554"/>
      <c r="E92" s="554"/>
      <c r="F92" s="554"/>
      <c r="G92" s="554"/>
      <c r="H92" s="554"/>
      <c r="I92" s="554"/>
      <c r="J92" s="554"/>
      <c r="K92" s="554"/>
      <c r="L92" s="580"/>
      <c r="M92" s="581"/>
      <c r="N92" s="1149"/>
      <c r="O92" s="1149"/>
      <c r="P92" s="2622"/>
      <c r="Q92" s="504"/>
    </row>
    <row r="93" spans="1:17" ht="15.75" thickBot="1">
      <c r="A93" s="534"/>
      <c r="B93" s="543"/>
      <c r="C93" s="536"/>
      <c r="D93" s="536"/>
      <c r="E93" s="536"/>
      <c r="F93" s="536"/>
      <c r="G93" s="536"/>
      <c r="H93" s="536"/>
      <c r="I93" s="536"/>
      <c r="J93" s="536"/>
      <c r="K93" s="536"/>
      <c r="L93" s="536"/>
      <c r="M93" s="537"/>
      <c r="N93" s="1150"/>
      <c r="O93" s="1150"/>
      <c r="P93" s="2622"/>
      <c r="Q93" s="504"/>
    </row>
    <row r="94" spans="1:17" ht="15.75" thickTop="1">
      <c r="A94" s="534"/>
      <c r="B94" s="538">
        <f>B29</f>
        <v>111</v>
      </c>
      <c r="C94" s="554"/>
      <c r="D94" s="554"/>
      <c r="E94" s="554"/>
      <c r="F94" s="554"/>
      <c r="G94" s="583"/>
      <c r="H94" s="583"/>
      <c r="I94" s="583"/>
      <c r="J94" s="583"/>
      <c r="K94" s="584"/>
      <c r="L94" s="585"/>
      <c r="M94" s="586"/>
      <c r="N94" s="1149"/>
      <c r="O94" s="1149"/>
      <c r="P94" s="2622"/>
      <c r="Q94" s="504"/>
    </row>
    <row r="95" spans="1:17" ht="15.75" thickBot="1">
      <c r="A95" s="534"/>
      <c r="B95" s="543"/>
      <c r="C95" s="560"/>
      <c r="D95" s="536"/>
      <c r="E95" s="536"/>
      <c r="F95" s="536"/>
      <c r="G95" s="536"/>
      <c r="H95" s="536"/>
      <c r="I95" s="536"/>
      <c r="J95" s="536"/>
      <c r="K95" s="536"/>
      <c r="L95" s="536"/>
      <c r="M95" s="537"/>
      <c r="N95" s="1150"/>
      <c r="O95" s="1150"/>
      <c r="P95" s="2622"/>
      <c r="Q95" s="504"/>
    </row>
    <row r="96" spans="1:17" ht="15.75" thickTop="1">
      <c r="A96" s="534"/>
      <c r="B96" s="538">
        <f>B30</f>
        <v>111</v>
      </c>
      <c r="C96" s="554"/>
      <c r="D96" s="554"/>
      <c r="E96" s="554"/>
      <c r="F96" s="554"/>
      <c r="G96" s="583"/>
      <c r="H96" s="583"/>
      <c r="I96" s="583"/>
      <c r="J96" s="583"/>
      <c r="K96" s="584"/>
      <c r="L96" s="585"/>
      <c r="M96" s="586"/>
      <c r="N96" s="1149"/>
      <c r="O96" s="1149"/>
      <c r="P96" s="2622"/>
      <c r="Q96" s="504"/>
    </row>
    <row r="97" spans="1:17" ht="15.75" thickBot="1">
      <c r="A97" s="534"/>
      <c r="B97" s="543"/>
      <c r="C97" s="560"/>
      <c r="D97" s="536"/>
      <c r="E97" s="536"/>
      <c r="F97" s="536"/>
      <c r="G97" s="536"/>
      <c r="H97" s="536"/>
      <c r="I97" s="536"/>
      <c r="J97" s="536"/>
      <c r="K97" s="536"/>
      <c r="L97" s="536"/>
      <c r="M97" s="537"/>
      <c r="N97" s="1150"/>
      <c r="O97" s="1150"/>
      <c r="P97" s="2622"/>
      <c r="Q97" s="504"/>
    </row>
    <row r="98" spans="1:17" ht="15.75" thickTop="1">
      <c r="A98" s="534"/>
      <c r="B98" s="546">
        <f>B31</f>
        <v>111</v>
      </c>
      <c r="C98" s="554"/>
      <c r="D98" s="554"/>
      <c r="E98" s="554"/>
      <c r="F98" s="554"/>
      <c r="G98" s="587"/>
      <c r="H98" s="587"/>
      <c r="I98" s="587"/>
      <c r="J98" s="587"/>
      <c r="K98" s="588"/>
      <c r="L98" s="589"/>
      <c r="M98" s="590"/>
      <c r="N98" s="1149"/>
      <c r="O98" s="1149"/>
      <c r="P98" s="2622"/>
      <c r="Q98" s="504"/>
    </row>
    <row r="99" spans="1:17" ht="15.75" thickBot="1">
      <c r="A99" s="2628"/>
      <c r="B99" s="569"/>
      <c r="C99" s="570"/>
      <c r="D99" s="570"/>
      <c r="E99" s="570"/>
      <c r="F99" s="570"/>
      <c r="G99" s="591"/>
      <c r="H99" s="591"/>
      <c r="I99" s="591"/>
      <c r="J99" s="591"/>
      <c r="K99" s="591"/>
      <c r="L99" s="591"/>
      <c r="M99" s="592"/>
      <c r="N99" s="1150"/>
      <c r="O99" s="1150"/>
      <c r="P99" s="2622"/>
      <c r="Q99" s="504"/>
    </row>
    <row r="100" spans="1:17">
      <c r="A100" s="527" t="s">
        <v>2550</v>
      </c>
      <c r="B100" s="528" t="s">
        <v>2668</v>
      </c>
      <c r="C100" s="530"/>
      <c r="D100" s="530"/>
      <c r="E100" s="530"/>
      <c r="F100" s="530"/>
      <c r="G100" s="530"/>
      <c r="H100" s="530"/>
      <c r="I100" s="530"/>
      <c r="J100" s="530"/>
      <c r="K100" s="531"/>
      <c r="L100" s="532"/>
      <c r="M100" s="533"/>
      <c r="N100" s="1149"/>
      <c r="O100" s="1149"/>
      <c r="P100" s="262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2"/>
      <c r="Q101" s="504"/>
    </row>
    <row r="102" spans="1:17" ht="15.75" thickTop="1">
      <c r="A102" s="534"/>
      <c r="B102" s="538" t="s">
        <v>2600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2"/>
      <c r="Q102" s="504"/>
    </row>
    <row r="103" spans="1:17" s="471" customFormat="1">
      <c r="A103" s="593"/>
      <c r="B103" s="594"/>
      <c r="C103" s="595"/>
      <c r="D103" s="595"/>
      <c r="E103" s="595"/>
      <c r="F103" s="595"/>
      <c r="G103" s="595"/>
      <c r="H103" s="595"/>
      <c r="I103" s="595"/>
      <c r="J103" s="596"/>
      <c r="K103" s="596"/>
      <c r="L103" s="597"/>
      <c r="M103" s="598"/>
      <c r="N103" s="1151"/>
      <c r="O103" s="1151"/>
      <c r="P103" s="2623"/>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3"/>
      <c r="Q104" s="559"/>
    </row>
    <row r="105" spans="1:17" ht="15" thickTop="1">
      <c r="A105" s="599"/>
      <c r="B105" s="538" t="s">
        <v>2601</v>
      </c>
      <c r="C105" s="554"/>
      <c r="D105" s="554"/>
      <c r="E105" s="583"/>
      <c r="F105" s="583"/>
      <c r="G105" s="583"/>
      <c r="H105" s="583"/>
      <c r="I105" s="583"/>
      <c r="J105" s="583"/>
      <c r="K105" s="584"/>
      <c r="L105" s="585"/>
      <c r="M105" s="586"/>
      <c r="N105" s="1149"/>
      <c r="O105" s="1149"/>
      <c r="P105" s="262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2"/>
      <c r="Q106" s="504"/>
    </row>
    <row r="107" spans="1:17" ht="15" thickTop="1">
      <c r="A107" s="599"/>
      <c r="B107" s="538" t="s">
        <v>2603</v>
      </c>
      <c r="C107" s="554"/>
      <c r="D107" s="554"/>
      <c r="E107" s="554"/>
      <c r="F107" s="583"/>
      <c r="G107" s="583"/>
      <c r="H107" s="583"/>
      <c r="I107" s="583"/>
      <c r="J107" s="583"/>
      <c r="K107" s="584"/>
      <c r="L107" s="585"/>
      <c r="M107" s="586"/>
      <c r="N107" s="1149"/>
      <c r="O107" s="1149"/>
      <c r="P107" s="262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2"/>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2"/>
      <c r="Q111" s="504"/>
    </row>
    <row r="112" spans="1:17" s="471" customFormat="1" ht="15" thickTop="1">
      <c r="A112" s="593"/>
      <c r="B112" s="538" t="s">
        <v>2605</v>
      </c>
      <c r="C112" s="554"/>
      <c r="D112" s="554"/>
      <c r="E112" s="554"/>
      <c r="F112" s="554"/>
      <c r="G112" s="554"/>
      <c r="H112" s="583"/>
      <c r="I112" s="583"/>
      <c r="J112" s="583"/>
      <c r="K112" s="584"/>
      <c r="L112" s="585"/>
      <c r="M112" s="586"/>
      <c r="N112" s="1151"/>
      <c r="O112" s="1151"/>
      <c r="P112" s="262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3"/>
      <c r="Q113" s="559"/>
    </row>
    <row r="114" spans="1:17" ht="15" thickTop="1">
      <c r="A114" s="599"/>
      <c r="B114" s="538" t="s">
        <v>2669</v>
      </c>
      <c r="C114" s="554"/>
      <c r="D114" s="554"/>
      <c r="E114" s="583"/>
      <c r="F114" s="583"/>
      <c r="G114" s="583"/>
      <c r="H114" s="583"/>
      <c r="I114" s="583"/>
      <c r="J114" s="583"/>
      <c r="K114" s="584"/>
      <c r="L114" s="585"/>
      <c r="M114" s="586"/>
      <c r="N114" s="1149"/>
      <c r="O114" s="1149"/>
      <c r="P114" s="262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2"/>
      <c r="Q115" s="504"/>
    </row>
    <row r="116" spans="1:17" ht="15" thickTop="1">
      <c r="A116" s="599"/>
      <c r="B116" s="538" t="s">
        <v>2670</v>
      </c>
      <c r="C116" s="554"/>
      <c r="D116" s="554"/>
      <c r="E116" s="554"/>
      <c r="F116" s="554"/>
      <c r="G116" s="554"/>
      <c r="H116" s="583"/>
      <c r="I116" s="583"/>
      <c r="J116" s="583"/>
      <c r="K116" s="584"/>
      <c r="L116" s="585"/>
      <c r="M116" s="586"/>
      <c r="N116" s="1149"/>
      <c r="O116" s="1149"/>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2"/>
      <c r="Q117" s="504"/>
    </row>
    <row r="118" spans="1:17" ht="15" thickTop="1">
      <c r="A118" s="599"/>
      <c r="B118" s="538" t="s">
        <v>2671</v>
      </c>
      <c r="C118" s="627"/>
      <c r="D118" s="627"/>
      <c r="E118" s="627"/>
      <c r="F118" s="627"/>
      <c r="G118" s="627"/>
      <c r="H118" s="555"/>
      <c r="I118" s="555"/>
      <c r="J118" s="555"/>
      <c r="K118" s="555"/>
      <c r="L118" s="556"/>
      <c r="M118" s="557"/>
      <c r="N118" s="1149"/>
      <c r="O118" s="1149"/>
      <c r="P118" s="2622"/>
      <c r="Q118" s="504"/>
    </row>
    <row r="119" spans="1:17" ht="15.75" thickBot="1">
      <c r="A119" s="534"/>
      <c r="B119" s="543"/>
      <c r="C119" s="560"/>
      <c r="D119" s="536"/>
      <c r="E119" s="536"/>
      <c r="F119" s="536"/>
      <c r="G119" s="536"/>
      <c r="H119" s="536"/>
      <c r="I119" s="536"/>
      <c r="J119" s="536"/>
      <c r="K119" s="536"/>
      <c r="L119" s="536"/>
      <c r="M119" s="537"/>
      <c r="N119" s="1150"/>
      <c r="O119" s="1150"/>
      <c r="P119" s="2622"/>
      <c r="Q119" s="504"/>
    </row>
    <row r="120" spans="1:17" s="471" customFormat="1" ht="15" thickTop="1">
      <c r="A120" s="593"/>
      <c r="B120" s="538" t="s">
        <v>2672</v>
      </c>
      <c r="C120" s="583"/>
      <c r="D120" s="583"/>
      <c r="E120" s="583"/>
      <c r="F120" s="583"/>
      <c r="G120" s="555"/>
      <c r="H120" s="555"/>
      <c r="I120" s="555"/>
      <c r="J120" s="555"/>
      <c r="K120" s="555"/>
      <c r="L120" s="556"/>
      <c r="M120" s="557"/>
      <c r="N120" s="1151"/>
      <c r="O120" s="1151"/>
      <c r="P120" s="262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3"/>
      <c r="Q121" s="559"/>
    </row>
    <row r="122" spans="1:17" ht="15" thickTop="1">
      <c r="A122" s="599"/>
      <c r="B122" s="538" t="s">
        <v>2607</v>
      </c>
      <c r="C122" s="554"/>
      <c r="D122" s="554"/>
      <c r="E122" s="554"/>
      <c r="F122" s="583"/>
      <c r="G122" s="583"/>
      <c r="H122" s="583"/>
      <c r="I122" s="583"/>
      <c r="J122" s="583"/>
      <c r="K122" s="584"/>
      <c r="L122" s="585"/>
      <c r="M122" s="586"/>
      <c r="N122" s="1149"/>
      <c r="O122" s="1149"/>
      <c r="P122" s="262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2"/>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49"/>
      <c r="O124" s="1149"/>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2"/>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3"/>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3"/>
      <c r="Q127" s="559"/>
    </row>
    <row r="128" spans="1:17" ht="15" thickTop="1">
      <c r="A128" s="599"/>
      <c r="B128" s="538">
        <f>B45</f>
        <v>111</v>
      </c>
      <c r="C128" s="554"/>
      <c r="D128" s="554"/>
      <c r="E128" s="554"/>
      <c r="F128" s="554"/>
      <c r="G128" s="583"/>
      <c r="H128" s="583"/>
      <c r="I128" s="583"/>
      <c r="J128" s="583"/>
      <c r="K128" s="584"/>
      <c r="L128" s="585"/>
      <c r="M128" s="586"/>
      <c r="N128" s="1149"/>
      <c r="O128" s="1149"/>
      <c r="P128" s="2622"/>
      <c r="Q128" s="504"/>
    </row>
    <row r="129" spans="1:17" ht="15.75" thickBot="1">
      <c r="A129" s="534"/>
      <c r="B129" s="543"/>
      <c r="C129" s="560"/>
      <c r="D129" s="536"/>
      <c r="E129" s="536"/>
      <c r="F129" s="536"/>
      <c r="G129" s="536"/>
      <c r="H129" s="536"/>
      <c r="I129" s="536"/>
      <c r="J129" s="536"/>
      <c r="K129" s="536"/>
      <c r="L129" s="536"/>
      <c r="M129" s="537"/>
      <c r="N129" s="1150"/>
      <c r="O129" s="1150"/>
      <c r="P129" s="2622"/>
      <c r="Q129" s="504"/>
    </row>
    <row r="130" spans="1:17" ht="15" thickTop="1">
      <c r="A130" s="599"/>
      <c r="B130" s="546">
        <f>B46</f>
        <v>111</v>
      </c>
      <c r="C130" s="554"/>
      <c r="D130" s="554"/>
      <c r="E130" s="554"/>
      <c r="F130" s="554"/>
      <c r="G130" s="587"/>
      <c r="H130" s="587"/>
      <c r="I130" s="587"/>
      <c r="J130" s="587"/>
      <c r="K130" s="523"/>
      <c r="L130" s="524"/>
      <c r="M130" s="590"/>
      <c r="N130" s="1149"/>
      <c r="O130" s="1149"/>
      <c r="P130" s="2622"/>
      <c r="Q130" s="504"/>
    </row>
    <row r="131" spans="1:17" ht="15.75" thickBot="1">
      <c r="A131" s="2628"/>
      <c r="B131" s="569"/>
      <c r="C131" s="570"/>
      <c r="D131" s="570"/>
      <c r="E131" s="570"/>
      <c r="F131" s="570"/>
      <c r="G131" s="591"/>
      <c r="H131" s="591"/>
      <c r="I131" s="591"/>
      <c r="J131" s="591"/>
      <c r="K131" s="591"/>
      <c r="L131" s="591"/>
      <c r="M131" s="592"/>
      <c r="N131" s="1150"/>
      <c r="O131" s="1150"/>
      <c r="P131" s="262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2515</v>
      </c>
      <c r="B1" s="2661" t="s">
        <v>2673</v>
      </c>
      <c r="C1" s="1617" t="s">
        <v>2517</v>
      </c>
      <c r="D1" s="1618"/>
      <c r="E1" s="1627"/>
      <c r="F1" s="2576"/>
      <c r="G1" s="1628" t="s">
        <v>2630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2317</v>
      </c>
      <c r="B2" s="1415" t="e">
        <f ca="1">IF(C2="——",ROUND(C50*D3/10000,0),ROUND(C50*D3/10000,0)-D2)</f>
        <v>#DIV/0!</v>
      </c>
      <c r="C2" s="2578"/>
      <c r="D2" s="1362" t="e">
        <f ca="1">SUMIF(INDIRECT("'"&amp;F2&amp;"'"&amp;"!A:A"),"承租人权益价值",INDIRECT("'"&amp;F2&amp;"'"&amp;"!c:c"))</f>
        <v>#REF!</v>
      </c>
      <c r="E2" s="2579" t="s">
        <v>2318</v>
      </c>
      <c r="F2" s="2580"/>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2319</v>
      </c>
      <c r="B3" s="609" t="e">
        <f ca="1">IF(C2="——",C50,ROUND(B2*10000/D3,0))</f>
        <v>#DIV/0!</v>
      </c>
      <c r="C3" s="400" t="s">
        <v>2631</v>
      </c>
      <c r="D3" s="399">
        <f>IF(D1="",'数据-汇总表'!E3,SUMIF('数据-汇总表'!$C19:$C33,D1,'数据-汇总表'!$E19:$E33))</f>
        <v>120164.37999999998</v>
      </c>
      <c r="E3" s="2655"/>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2632</v>
      </c>
      <c r="B4" s="402"/>
      <c r="C4" s="3294" t="s">
        <v>2633</v>
      </c>
      <c r="D4" s="3295"/>
      <c r="E4" s="3296" t="s">
        <v>2634</v>
      </c>
      <c r="F4" s="3297"/>
      <c r="G4" s="3294" t="s">
        <v>2635</v>
      </c>
      <c r="H4" s="3295"/>
      <c r="I4" s="3294" t="s">
        <v>2636</v>
      </c>
      <c r="J4" s="3295"/>
      <c r="K4" s="610" t="s">
        <v>2637</v>
      </c>
      <c r="L4" s="1127"/>
      <c r="M4" s="1128"/>
      <c r="N4" s="1128"/>
      <c r="O4" s="1128"/>
      <c r="P4" s="3370" t="s">
        <v>2638</v>
      </c>
      <c r="Q4" s="3371"/>
      <c r="R4" s="3365" t="s">
        <v>2634</v>
      </c>
      <c r="S4" s="3366"/>
      <c r="T4" s="3365" t="s">
        <v>2635</v>
      </c>
      <c r="U4" s="3366"/>
      <c r="V4" s="3374" t="s">
        <v>2636</v>
      </c>
      <c r="W4" s="3374"/>
      <c r="X4" s="2662"/>
      <c r="Y4" s="3365" t="s">
        <v>2638</v>
      </c>
      <c r="Z4" s="3366"/>
      <c r="AA4" s="3364" t="s">
        <v>2634</v>
      </c>
      <c r="AB4" s="3364" t="s">
        <v>2635</v>
      </c>
      <c r="AC4" s="3367" t="s">
        <v>2636</v>
      </c>
    </row>
    <row r="5" spans="1:29" ht="15">
      <c r="A5" s="404"/>
      <c r="B5" s="405"/>
      <c r="C5" s="3321" t="s">
        <v>2529</v>
      </c>
      <c r="D5" s="3322"/>
      <c r="E5" s="3363" t="s">
        <v>2530</v>
      </c>
      <c r="F5" s="3320"/>
      <c r="G5" s="3321" t="s">
        <v>2531</v>
      </c>
      <c r="H5" s="3322"/>
      <c r="I5" s="3321" t="s">
        <v>2532</v>
      </c>
      <c r="J5" s="3322"/>
      <c r="K5" s="610"/>
      <c r="L5" s="1127"/>
      <c r="M5" s="1128"/>
      <c r="N5" s="1128"/>
      <c r="O5" s="1128"/>
      <c r="P5" s="3372"/>
      <c r="Q5" s="3301"/>
      <c r="R5" s="3286"/>
      <c r="S5" s="3287"/>
      <c r="T5" s="3286"/>
      <c r="U5" s="3287"/>
      <c r="V5" s="3306"/>
      <c r="W5" s="3306"/>
      <c r="X5" s="1810"/>
      <c r="Y5" s="3286"/>
      <c r="Z5" s="3287"/>
      <c r="AA5" s="3280"/>
      <c r="AB5" s="3280"/>
      <c r="AC5" s="3368"/>
    </row>
    <row r="6" spans="1:29" ht="15.75" thickBot="1">
      <c r="A6" s="406"/>
      <c r="B6" s="407"/>
      <c r="C6" s="3323" t="s">
        <v>2533</v>
      </c>
      <c r="D6" s="3324"/>
      <c r="E6" s="3326" t="s">
        <v>2533</v>
      </c>
      <c r="F6" s="3327"/>
      <c r="G6" s="3323" t="s">
        <v>2533</v>
      </c>
      <c r="H6" s="3324"/>
      <c r="I6" s="3323" t="s">
        <v>2533</v>
      </c>
      <c r="J6" s="3324"/>
      <c r="K6" s="610" t="s">
        <v>2534</v>
      </c>
      <c r="L6" s="1127"/>
      <c r="M6" s="1128"/>
      <c r="N6" s="1128"/>
      <c r="O6" s="1128"/>
      <c r="P6" s="3373"/>
      <c r="Q6" s="3303"/>
      <c r="R6" s="3286"/>
      <c r="S6" s="3287"/>
      <c r="T6" s="3304"/>
      <c r="U6" s="3305"/>
      <c r="V6" s="3306"/>
      <c r="W6" s="3306"/>
      <c r="X6" s="1810"/>
      <c r="Y6" s="3304"/>
      <c r="Z6" s="3305"/>
      <c r="AA6" s="3281"/>
      <c r="AB6" s="3281"/>
      <c r="AC6" s="3369"/>
    </row>
    <row r="7" spans="1:29" s="117" customFormat="1" ht="15.75" thickBot="1">
      <c r="A7" s="408" t="s">
        <v>2535</v>
      </c>
      <c r="B7" s="409"/>
      <c r="C7" s="410">
        <f>'数据-取费表'!B2</f>
        <v>43951</v>
      </c>
      <c r="D7" s="411">
        <v>100</v>
      </c>
      <c r="E7" s="412"/>
      <c r="F7" s="413">
        <f>SUMIF(59:59,YEAR(E7)&amp;"-"&amp;MONTH(E7),60:60)</f>
        <v>0</v>
      </c>
      <c r="G7" s="412"/>
      <c r="H7" s="411">
        <f>SUMIF(59:59,YEAR(G7)&amp;"-"&amp;MONTH(G7),60:60)</f>
        <v>0</v>
      </c>
      <c r="I7" s="412"/>
      <c r="J7" s="411">
        <f>SUMIF(59:59,YEAR(I7)&amp;"-"&amp;MONTH(I7),60:60)</f>
        <v>0</v>
      </c>
      <c r="K7" s="611"/>
      <c r="L7" s="1129"/>
      <c r="M7" s="1130"/>
      <c r="N7" s="1130"/>
      <c r="O7" s="1130"/>
      <c r="P7" s="3375" t="s">
        <v>2536</v>
      </c>
      <c r="Q7" s="3307"/>
      <c r="R7" s="770" t="s">
        <v>17</v>
      </c>
      <c r="S7" s="771">
        <f t="shared" ref="S7:S15" si="0">F7</f>
        <v>0</v>
      </c>
      <c r="T7" s="770" t="s">
        <v>17</v>
      </c>
      <c r="U7" s="771">
        <f t="shared" ref="U7:U15" si="1">H7</f>
        <v>0</v>
      </c>
      <c r="V7" s="770" t="s">
        <v>17</v>
      </c>
      <c r="W7" s="771">
        <f t="shared" ref="W7:W15" si="2">J7</f>
        <v>0</v>
      </c>
      <c r="X7" s="772"/>
      <c r="Y7" s="3282" t="s">
        <v>2536</v>
      </c>
      <c r="Z7" s="3283"/>
      <c r="AA7" s="773" t="e">
        <f>D7/F7</f>
        <v>#DIV/0!</v>
      </c>
      <c r="AB7" s="773" t="e">
        <f>D7/H7</f>
        <v>#DIV/0!</v>
      </c>
      <c r="AC7" s="2663" t="e">
        <f>D7/J7</f>
        <v>#DIV/0!</v>
      </c>
    </row>
    <row r="8" spans="1:29" s="117" customFormat="1" ht="15.75" thickBot="1">
      <c r="A8" s="408" t="s">
        <v>2537</v>
      </c>
      <c r="B8" s="409"/>
      <c r="C8" s="414" t="s">
        <v>2639</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375" t="s">
        <v>2539</v>
      </c>
      <c r="Q8" s="3283"/>
      <c r="R8" s="770" t="s">
        <v>17</v>
      </c>
      <c r="S8" s="771">
        <f t="shared" si="0"/>
        <v>0</v>
      </c>
      <c r="T8" s="770" t="s">
        <v>17</v>
      </c>
      <c r="U8" s="771">
        <f t="shared" si="1"/>
        <v>0</v>
      </c>
      <c r="V8" s="770" t="s">
        <v>17</v>
      </c>
      <c r="W8" s="771">
        <f t="shared" si="2"/>
        <v>0</v>
      </c>
      <c r="X8" s="772"/>
      <c r="Y8" s="3282" t="s">
        <v>2539</v>
      </c>
      <c r="Z8" s="3283"/>
      <c r="AA8" s="773" t="e">
        <f t="shared" ref="AA8:AA47" si="3">D8/F8</f>
        <v>#DIV/0!</v>
      </c>
      <c r="AB8" s="773" t="e">
        <f t="shared" ref="AB8:AB47" si="4">D8/H8</f>
        <v>#DIV/0!</v>
      </c>
      <c r="AC8" s="2663" t="e">
        <f t="shared" ref="AC8:AC47" si="5">D8/J8</f>
        <v>#DIV/0!</v>
      </c>
    </row>
    <row r="9" spans="1:29" s="117" customFormat="1">
      <c r="A9" s="415" t="s">
        <v>2540</v>
      </c>
      <c r="B9" s="71" t="s">
        <v>2541</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317" t="s">
        <v>2542</v>
      </c>
      <c r="Q9" s="1792" t="str">
        <f t="shared" ref="Q9:Q15" si="6">B9</f>
        <v>用途</v>
      </c>
      <c r="R9" s="770" t="s">
        <v>17</v>
      </c>
      <c r="S9" s="771">
        <f t="shared" si="0"/>
        <v>100</v>
      </c>
      <c r="T9" s="770" t="s">
        <v>17</v>
      </c>
      <c r="U9" s="771">
        <f t="shared" si="1"/>
        <v>100</v>
      </c>
      <c r="V9" s="770" t="s">
        <v>17</v>
      </c>
      <c r="W9" s="771">
        <f t="shared" si="2"/>
        <v>100</v>
      </c>
      <c r="X9" s="772"/>
      <c r="Y9" s="3125" t="s">
        <v>2543</v>
      </c>
      <c r="Z9" s="55" t="str">
        <f t="shared" ref="Z9:Z15" si="7">Q9</f>
        <v>用途</v>
      </c>
      <c r="AA9" s="773">
        <f t="shared" si="3"/>
        <v>1</v>
      </c>
      <c r="AB9" s="773">
        <f t="shared" si="4"/>
        <v>1</v>
      </c>
      <c r="AC9" s="2663">
        <f t="shared" si="5"/>
        <v>1</v>
      </c>
    </row>
    <row r="10" spans="1:29" s="427" customFormat="1" ht="27">
      <c r="A10" s="421"/>
      <c r="B10" s="422" t="s">
        <v>2544</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317"/>
      <c r="Q10" s="1792" t="str">
        <f t="shared" si="6"/>
        <v>土地使用年限（年）</v>
      </c>
      <c r="R10" s="770" t="s">
        <v>17</v>
      </c>
      <c r="S10" s="771">
        <f t="shared" si="0"/>
        <v>100</v>
      </c>
      <c r="T10" s="770" t="s">
        <v>17</v>
      </c>
      <c r="U10" s="771">
        <f t="shared" si="1"/>
        <v>100</v>
      </c>
      <c r="V10" s="770" t="s">
        <v>17</v>
      </c>
      <c r="W10" s="771">
        <f t="shared" si="2"/>
        <v>100</v>
      </c>
      <c r="X10" s="772"/>
      <c r="Y10" s="3125"/>
      <c r="Z10" s="55" t="str">
        <f t="shared" si="7"/>
        <v>土地使用年限（年）</v>
      </c>
      <c r="AA10" s="773">
        <f t="shared" si="3"/>
        <v>1</v>
      </c>
      <c r="AB10" s="773">
        <f t="shared" si="4"/>
        <v>1</v>
      </c>
      <c r="AC10" s="2663">
        <f t="shared" si="5"/>
        <v>1</v>
      </c>
    </row>
    <row r="11" spans="1:29" ht="15">
      <c r="A11" s="428"/>
      <c r="B11" s="422" t="s">
        <v>2545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317"/>
      <c r="Q11" s="1792" t="str">
        <f t="shared" si="6"/>
        <v>容积率</v>
      </c>
      <c r="R11" s="770" t="s">
        <v>17</v>
      </c>
      <c r="S11" s="771" t="e">
        <f t="shared" si="0"/>
        <v>#N/A</v>
      </c>
      <c r="T11" s="770" t="s">
        <v>17</v>
      </c>
      <c r="U11" s="771" t="e">
        <f t="shared" si="1"/>
        <v>#N/A</v>
      </c>
      <c r="V11" s="770" t="s">
        <v>17</v>
      </c>
      <c r="W11" s="771" t="e">
        <f t="shared" si="2"/>
        <v>#N/A</v>
      </c>
      <c r="X11" s="772"/>
      <c r="Y11" s="3125"/>
      <c r="Z11" s="55" t="str">
        <f t="shared" si="7"/>
        <v>容积率</v>
      </c>
      <c r="AA11" s="773" t="e">
        <f t="shared" si="3"/>
        <v>#N/A</v>
      </c>
      <c r="AB11" s="773" t="e">
        <f t="shared" si="4"/>
        <v>#N/A</v>
      </c>
      <c r="AC11" s="2663" t="e">
        <f t="shared" si="5"/>
        <v>#N/A</v>
      </c>
    </row>
    <row r="12" spans="1:29" s="117" customFormat="1" ht="15">
      <c r="A12" s="431"/>
      <c r="B12" s="2592">
        <v>111</v>
      </c>
      <c r="C12" s="432"/>
      <c r="D12" s="433">
        <v>100</v>
      </c>
      <c r="E12" s="432"/>
      <c r="F12" s="136">
        <f>SUMIF(71:71,E12,72:72)-SUMIF(71:71,C12,72:72)+100</f>
        <v>100</v>
      </c>
      <c r="G12" s="2664"/>
      <c r="H12" s="136">
        <f>SUMIF(71:71,G12,72:72)-SUMIF(71:71,C12,72:72)+100</f>
        <v>100</v>
      </c>
      <c r="I12" s="432"/>
      <c r="J12" s="136">
        <f>SUMIF(71:71,I12,72:72)-SUMIF(71:71,C12,72:72)+100</f>
        <v>100</v>
      </c>
      <c r="K12" s="613"/>
      <c r="L12" s="1129"/>
      <c r="M12" s="1130"/>
      <c r="N12" s="1130"/>
      <c r="O12" s="1130"/>
      <c r="P12" s="3317"/>
      <c r="Q12" s="1792">
        <f t="shared" si="6"/>
        <v>111</v>
      </c>
      <c r="R12" s="770" t="s">
        <v>17</v>
      </c>
      <c r="S12" s="771">
        <f t="shared" si="0"/>
        <v>100</v>
      </c>
      <c r="T12" s="770" t="s">
        <v>17</v>
      </c>
      <c r="U12" s="771">
        <f t="shared" si="1"/>
        <v>100</v>
      </c>
      <c r="V12" s="770" t="s">
        <v>17</v>
      </c>
      <c r="W12" s="771">
        <f t="shared" si="2"/>
        <v>100</v>
      </c>
      <c r="X12" s="772"/>
      <c r="Y12" s="3125"/>
      <c r="Z12" s="55">
        <f t="shared" si="7"/>
        <v>111</v>
      </c>
      <c r="AA12" s="773">
        <f>D12/F12</f>
        <v>1</v>
      </c>
      <c r="AB12" s="773">
        <f>D12/H12</f>
        <v>1</v>
      </c>
      <c r="AC12" s="2663">
        <f>D12/J12</f>
        <v>1</v>
      </c>
    </row>
    <row r="13" spans="1:29" ht="15">
      <c r="A13" s="428"/>
      <c r="B13" s="2592">
        <v>111</v>
      </c>
      <c r="C13" s="434"/>
      <c r="D13" s="435">
        <v>100</v>
      </c>
      <c r="E13" s="432"/>
      <c r="F13" s="136">
        <f>SUMIF(73:73,E13,74:74)-SUMIF(73:73,C13,74:74)+100</f>
        <v>100</v>
      </c>
      <c r="G13" s="2664"/>
      <c r="H13" s="435">
        <f>SUMIF(73:73,G13,74:74)-SUMIF(73:73,C13,74:74)+100</f>
        <v>100</v>
      </c>
      <c r="I13" s="432"/>
      <c r="J13" s="435">
        <f>SUMIF(73:73,I13,74:74)-SUMIF(73:73,C13,74:74)+100</f>
        <v>100</v>
      </c>
      <c r="K13" s="613"/>
      <c r="L13" s="1137"/>
      <c r="M13" s="1128"/>
      <c r="N13" s="1128"/>
      <c r="O13" s="1128"/>
      <c r="P13" s="3317"/>
      <c r="Q13" s="1792">
        <f t="shared" si="6"/>
        <v>111</v>
      </c>
      <c r="R13" s="770" t="s">
        <v>17</v>
      </c>
      <c r="S13" s="771">
        <f t="shared" si="0"/>
        <v>100</v>
      </c>
      <c r="T13" s="770" t="s">
        <v>17</v>
      </c>
      <c r="U13" s="771">
        <f t="shared" si="1"/>
        <v>100</v>
      </c>
      <c r="V13" s="770" t="s">
        <v>17</v>
      </c>
      <c r="W13" s="771">
        <f t="shared" si="2"/>
        <v>100</v>
      </c>
      <c r="X13" s="772"/>
      <c r="Y13" s="3125"/>
      <c r="Z13" s="55">
        <f t="shared" si="7"/>
        <v>111</v>
      </c>
      <c r="AA13" s="773">
        <f t="shared" si="3"/>
        <v>1</v>
      </c>
      <c r="AB13" s="773">
        <f t="shared" si="4"/>
        <v>1</v>
      </c>
      <c r="AC13" s="2663">
        <f t="shared" si="5"/>
        <v>1</v>
      </c>
    </row>
    <row r="14" spans="1:29" ht="15.75" thickBot="1">
      <c r="A14" s="436"/>
      <c r="B14" s="2594">
        <v>111</v>
      </c>
      <c r="C14" s="437"/>
      <c r="D14" s="438">
        <v>100</v>
      </c>
      <c r="E14" s="628"/>
      <c r="F14" s="438">
        <f>SUMIF(75:75,E14,76:76)-SUMIF(75:75,C14,76:76)+100</f>
        <v>100</v>
      </c>
      <c r="G14" s="2664"/>
      <c r="H14" s="438">
        <f>SUMIF(75:75,G14,76:76)-SUMIF(75:75,C14,76:76)+100</f>
        <v>100</v>
      </c>
      <c r="I14" s="432"/>
      <c r="J14" s="438">
        <f>SUMIF(75:75,I14,76:76)-SUMIF(75:75,C14,76:76)+100</f>
        <v>100</v>
      </c>
      <c r="K14" s="613"/>
      <c r="L14" s="1137"/>
      <c r="M14" s="1128"/>
      <c r="N14" s="1128"/>
      <c r="O14" s="1128"/>
      <c r="P14" s="3317"/>
      <c r="Q14" s="1792">
        <f t="shared" si="6"/>
        <v>111</v>
      </c>
      <c r="R14" s="770" t="s">
        <v>17</v>
      </c>
      <c r="S14" s="771">
        <f t="shared" si="0"/>
        <v>100</v>
      </c>
      <c r="T14" s="770" t="s">
        <v>17</v>
      </c>
      <c r="U14" s="771">
        <f t="shared" si="1"/>
        <v>100</v>
      </c>
      <c r="V14" s="770" t="s">
        <v>17</v>
      </c>
      <c r="W14" s="771">
        <f t="shared" si="2"/>
        <v>100</v>
      </c>
      <c r="X14" s="772"/>
      <c r="Y14" s="3125"/>
      <c r="Z14" s="55">
        <f t="shared" si="7"/>
        <v>111</v>
      </c>
      <c r="AA14" s="773">
        <f t="shared" si="3"/>
        <v>1</v>
      </c>
      <c r="AB14" s="773">
        <f t="shared" si="4"/>
        <v>1</v>
      </c>
      <c r="AC14" s="2663">
        <f t="shared" si="5"/>
        <v>1</v>
      </c>
    </row>
    <row r="15" spans="1:29" ht="15">
      <c r="A15" s="440" t="s">
        <v>2546</v>
      </c>
      <c r="B15" s="629" t="s">
        <v>2674</v>
      </c>
      <c r="C15" s="266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334" t="s">
        <v>2547</v>
      </c>
      <c r="Q15" s="1807" t="str">
        <f t="shared" si="6"/>
        <v>办公集聚程度</v>
      </c>
      <c r="R15" s="774" t="s">
        <v>17</v>
      </c>
      <c r="S15" s="775">
        <f t="shared" si="0"/>
        <v>100</v>
      </c>
      <c r="T15" s="774" t="s">
        <v>17</v>
      </c>
      <c r="U15" s="775">
        <f t="shared" si="1"/>
        <v>100</v>
      </c>
      <c r="V15" s="774" t="s">
        <v>17</v>
      </c>
      <c r="W15" s="775">
        <f t="shared" si="2"/>
        <v>100</v>
      </c>
      <c r="X15" s="1810"/>
      <c r="Y15" s="3308" t="s">
        <v>2547</v>
      </c>
      <c r="Z15" s="1811" t="str">
        <f t="shared" si="7"/>
        <v>办公集聚程度</v>
      </c>
      <c r="AA15" s="1808">
        <f t="shared" si="3"/>
        <v>1</v>
      </c>
      <c r="AB15" s="1808">
        <f t="shared" si="4"/>
        <v>1</v>
      </c>
      <c r="AC15" s="2666">
        <f t="shared" si="5"/>
        <v>1</v>
      </c>
    </row>
    <row r="16" spans="1:29" ht="15">
      <c r="A16" s="428"/>
      <c r="B16" s="630"/>
      <c r="C16" s="2603"/>
      <c r="D16" s="448"/>
      <c r="E16" s="447"/>
      <c r="F16" s="448"/>
      <c r="G16" s="2603"/>
      <c r="H16" s="450"/>
      <c r="I16" s="447"/>
      <c r="J16" s="448"/>
      <c r="K16" s="615"/>
      <c r="L16" s="1137"/>
      <c r="M16" s="1128"/>
      <c r="N16" s="1128"/>
      <c r="O16" s="1128"/>
      <c r="P16" s="3335"/>
      <c r="Q16" s="1807"/>
      <c r="R16" s="774"/>
      <c r="S16" s="775"/>
      <c r="T16" s="774"/>
      <c r="U16" s="775"/>
      <c r="V16" s="774"/>
      <c r="W16" s="775"/>
      <c r="X16" s="1810"/>
      <c r="Y16" s="3309"/>
      <c r="Z16" s="1811"/>
      <c r="AA16" s="1808">
        <v>1</v>
      </c>
      <c r="AB16" s="1808">
        <v>1</v>
      </c>
      <c r="AC16" s="2666">
        <v>1</v>
      </c>
    </row>
    <row r="17" spans="1:29" ht="15">
      <c r="A17" s="428"/>
      <c r="B17" s="631" t="s">
        <v>2090</v>
      </c>
      <c r="C17" s="2667">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335"/>
      <c r="Q17" s="1807" t="str">
        <f>B17</f>
        <v>交通便捷度</v>
      </c>
      <c r="R17" s="774" t="s">
        <v>17</v>
      </c>
      <c r="S17" s="775">
        <f>F17</f>
        <v>100</v>
      </c>
      <c r="T17" s="774" t="s">
        <v>17</v>
      </c>
      <c r="U17" s="775">
        <f>H17</f>
        <v>100</v>
      </c>
      <c r="V17" s="774" t="s">
        <v>17</v>
      </c>
      <c r="W17" s="775">
        <f>J17</f>
        <v>100</v>
      </c>
      <c r="X17" s="1810"/>
      <c r="Y17" s="3309"/>
      <c r="Z17" s="1811" t="str">
        <f>Q17</f>
        <v>交通便捷度</v>
      </c>
      <c r="AA17" s="1808">
        <f t="shared" si="3"/>
        <v>1</v>
      </c>
      <c r="AB17" s="1808">
        <f t="shared" si="4"/>
        <v>1</v>
      </c>
      <c r="AC17" s="2666">
        <f t="shared" si="5"/>
        <v>1</v>
      </c>
    </row>
    <row r="18" spans="1:29" ht="15">
      <c r="A18" s="428"/>
      <c r="B18" s="632"/>
      <c r="C18" s="2668"/>
      <c r="D18" s="450"/>
      <c r="E18" s="2601"/>
      <c r="F18" s="450"/>
      <c r="G18" s="2602"/>
      <c r="H18" s="448"/>
      <c r="I18" s="2602"/>
      <c r="J18" s="448"/>
      <c r="K18" s="615"/>
      <c r="L18" s="1137"/>
      <c r="M18" s="1128"/>
      <c r="N18" s="1128"/>
      <c r="O18" s="1128"/>
      <c r="P18" s="3335"/>
      <c r="Q18" s="1807"/>
      <c r="R18" s="774"/>
      <c r="S18" s="775"/>
      <c r="T18" s="774"/>
      <c r="U18" s="775"/>
      <c r="V18" s="774"/>
      <c r="W18" s="775"/>
      <c r="X18" s="1810"/>
      <c r="Y18" s="3309"/>
      <c r="Z18" s="1811"/>
      <c r="AA18" s="1808">
        <v>1</v>
      </c>
      <c r="AB18" s="1808">
        <v>1</v>
      </c>
      <c r="AC18" s="2666">
        <v>1</v>
      </c>
    </row>
    <row r="19" spans="1:29" ht="15">
      <c r="A19" s="428"/>
      <c r="B19" s="631" t="s">
        <v>2675</v>
      </c>
      <c r="C19" s="2667">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335"/>
      <c r="Q19" s="1807" t="str">
        <f>B19</f>
        <v>公共配套设施</v>
      </c>
      <c r="R19" s="774" t="s">
        <v>17</v>
      </c>
      <c r="S19" s="775">
        <f>F19</f>
        <v>100</v>
      </c>
      <c r="T19" s="774" t="s">
        <v>17</v>
      </c>
      <c r="U19" s="775">
        <f>H19</f>
        <v>100</v>
      </c>
      <c r="V19" s="774" t="s">
        <v>17</v>
      </c>
      <c r="W19" s="775">
        <f>J19</f>
        <v>100</v>
      </c>
      <c r="X19" s="1810"/>
      <c r="Y19" s="3309"/>
      <c r="Z19" s="1811" t="str">
        <f>Q19</f>
        <v>公共配套设施</v>
      </c>
      <c r="AA19" s="1808">
        <f t="shared" si="3"/>
        <v>1</v>
      </c>
      <c r="AB19" s="1808">
        <f t="shared" si="4"/>
        <v>1</v>
      </c>
      <c r="AC19" s="2666">
        <f t="shared" si="5"/>
        <v>1</v>
      </c>
    </row>
    <row r="20" spans="1:29" ht="15">
      <c r="A20" s="428"/>
      <c r="B20" s="632"/>
      <c r="C20" s="2603"/>
      <c r="D20" s="448"/>
      <c r="E20" s="2596"/>
      <c r="F20" s="448"/>
      <c r="G20" s="2597"/>
      <c r="H20" s="448"/>
      <c r="I20" s="2597"/>
      <c r="J20" s="448"/>
      <c r="K20" s="615"/>
      <c r="L20" s="1137"/>
      <c r="M20" s="1128"/>
      <c r="N20" s="1128"/>
      <c r="O20" s="1128"/>
      <c r="P20" s="3335"/>
      <c r="Q20" s="1807"/>
      <c r="R20" s="774"/>
      <c r="S20" s="775"/>
      <c r="T20" s="774"/>
      <c r="U20" s="775"/>
      <c r="V20" s="774"/>
      <c r="W20" s="775"/>
      <c r="X20" s="1810"/>
      <c r="Y20" s="3309"/>
      <c r="Z20" s="1811"/>
      <c r="AA20" s="1808">
        <v>1</v>
      </c>
      <c r="AB20" s="1808">
        <v>1</v>
      </c>
      <c r="AC20" s="2666">
        <v>1</v>
      </c>
    </row>
    <row r="21" spans="1:29" ht="15">
      <c r="A21" s="428"/>
      <c r="B21" s="633" t="s">
        <v>2676</v>
      </c>
      <c r="C21" s="2667">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335"/>
      <c r="Q21" s="1807" t="str">
        <f>B21</f>
        <v>基础设施水平</v>
      </c>
      <c r="R21" s="774" t="s">
        <v>17</v>
      </c>
      <c r="S21" s="775">
        <f>F21</f>
        <v>100</v>
      </c>
      <c r="T21" s="774" t="s">
        <v>17</v>
      </c>
      <c r="U21" s="775">
        <f>H21</f>
        <v>100</v>
      </c>
      <c r="V21" s="774" t="s">
        <v>17</v>
      </c>
      <c r="W21" s="775">
        <f>J21</f>
        <v>100</v>
      </c>
      <c r="X21" s="1810"/>
      <c r="Y21" s="3309"/>
      <c r="Z21" s="1811" t="str">
        <f>Q21</f>
        <v>基础设施水平</v>
      </c>
      <c r="AA21" s="1808">
        <f t="shared" ref="AA21" si="8">D21/F21</f>
        <v>1</v>
      </c>
      <c r="AB21" s="1808">
        <f t="shared" ref="AB21" si="9">D21/H21</f>
        <v>1</v>
      </c>
      <c r="AC21" s="2666">
        <f t="shared" ref="AC21" si="10">D21/J21</f>
        <v>1</v>
      </c>
    </row>
    <row r="22" spans="1:29" ht="15">
      <c r="A22" s="428"/>
      <c r="B22" s="633"/>
      <c r="C22" s="2668"/>
      <c r="D22" s="448"/>
      <c r="E22" s="447"/>
      <c r="F22" s="448"/>
      <c r="G22" s="2603"/>
      <c r="H22" s="448"/>
      <c r="I22" s="2603"/>
      <c r="J22" s="448"/>
      <c r="K22" s="1380"/>
      <c r="L22" s="1137"/>
      <c r="M22" s="1128"/>
      <c r="N22" s="1128"/>
      <c r="O22" s="1128"/>
      <c r="P22" s="3335"/>
      <c r="Q22" s="1807"/>
      <c r="R22" s="774"/>
      <c r="S22" s="775"/>
      <c r="T22" s="774"/>
      <c r="U22" s="775"/>
      <c r="V22" s="774"/>
      <c r="W22" s="775"/>
      <c r="X22" s="1810"/>
      <c r="Y22" s="3309"/>
      <c r="Z22" s="1811"/>
      <c r="AA22" s="1808">
        <v>1</v>
      </c>
      <c r="AB22" s="1808">
        <v>1</v>
      </c>
      <c r="AC22" s="2666">
        <v>1</v>
      </c>
    </row>
    <row r="23" spans="1:29" ht="15">
      <c r="A23" s="428"/>
      <c r="B23" s="631" t="s">
        <v>2677</v>
      </c>
      <c r="C23" s="2667">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335"/>
      <c r="Q23" s="1807" t="str">
        <f>B23</f>
        <v>环境质量</v>
      </c>
      <c r="R23" s="774" t="s">
        <v>17</v>
      </c>
      <c r="S23" s="775">
        <f>F23</f>
        <v>100</v>
      </c>
      <c r="T23" s="774" t="s">
        <v>17</v>
      </c>
      <c r="U23" s="775">
        <f>H23</f>
        <v>100</v>
      </c>
      <c r="V23" s="774" t="s">
        <v>17</v>
      </c>
      <c r="W23" s="775">
        <f>J23</f>
        <v>100</v>
      </c>
      <c r="X23" s="1810"/>
      <c r="Y23" s="3309"/>
      <c r="Z23" s="1811" t="str">
        <f>Q23</f>
        <v>环境质量</v>
      </c>
      <c r="AA23" s="1808">
        <f t="shared" si="3"/>
        <v>1</v>
      </c>
      <c r="AB23" s="1808">
        <f t="shared" si="4"/>
        <v>1</v>
      </c>
      <c r="AC23" s="2666">
        <f t="shared" si="5"/>
        <v>1</v>
      </c>
    </row>
    <row r="24" spans="1:29" ht="15">
      <c r="A24" s="428"/>
      <c r="B24" s="633"/>
      <c r="C24" s="2603"/>
      <c r="D24" s="448"/>
      <c r="E24" s="2596"/>
      <c r="F24" s="448"/>
      <c r="G24" s="2597"/>
      <c r="H24" s="448"/>
      <c r="I24" s="2597"/>
      <c r="J24" s="448"/>
      <c r="K24" s="615"/>
      <c r="L24" s="1137"/>
      <c r="M24" s="1128"/>
      <c r="N24" s="1128"/>
      <c r="O24" s="1128"/>
      <c r="P24" s="3335"/>
      <c r="Q24" s="1807"/>
      <c r="R24" s="774"/>
      <c r="S24" s="775"/>
      <c r="T24" s="774"/>
      <c r="U24" s="775"/>
      <c r="V24" s="774"/>
      <c r="W24" s="775"/>
      <c r="X24" s="1810"/>
      <c r="Y24" s="3309"/>
      <c r="Z24" s="1811"/>
      <c r="AA24" s="1808">
        <v>1</v>
      </c>
      <c r="AB24" s="1808">
        <v>1</v>
      </c>
      <c r="AC24" s="2666">
        <v>1</v>
      </c>
    </row>
    <row r="25" spans="1:29" ht="27">
      <c r="A25" s="404"/>
      <c r="B25" s="631" t="s">
        <v>2678</v>
      </c>
      <c r="C25" s="2607"/>
      <c r="D25" s="435">
        <v>100</v>
      </c>
      <c r="E25" s="434"/>
      <c r="F25" s="435">
        <f>SUMIF(87:87,E26,88:88)-SUMIF(87:87,C26,88:88)+100</f>
        <v>100</v>
      </c>
      <c r="G25" s="2607"/>
      <c r="H25" s="435">
        <f>SUMIF(87:87,G26,88:88)-SUMIF(87:87,C26,88:88)+100</f>
        <v>100</v>
      </c>
      <c r="I25" s="434"/>
      <c r="J25" s="435">
        <f>SUMIF(87:87,I26,88:88)-SUMIF(87:87,C26,88:88)+100</f>
        <v>100</v>
      </c>
      <c r="K25" s="614"/>
      <c r="L25" s="1137"/>
      <c r="M25" s="1128"/>
      <c r="N25" s="1128"/>
      <c r="O25" s="1128"/>
      <c r="P25" s="3335"/>
      <c r="Q25" s="1807" t="str">
        <f>B25</f>
        <v>毗邻道路的类型与等级</v>
      </c>
      <c r="R25" s="774" t="s">
        <v>17</v>
      </c>
      <c r="S25" s="775">
        <f>F25</f>
        <v>100</v>
      </c>
      <c r="T25" s="774" t="s">
        <v>17</v>
      </c>
      <c r="U25" s="775">
        <f>H25</f>
        <v>100</v>
      </c>
      <c r="V25" s="774" t="s">
        <v>17</v>
      </c>
      <c r="W25" s="775">
        <f>J25</f>
        <v>100</v>
      </c>
      <c r="X25" s="1810"/>
      <c r="Y25" s="3309"/>
      <c r="Z25" s="1811" t="str">
        <f>Q25</f>
        <v>毗邻道路的类型与等级</v>
      </c>
      <c r="AA25" s="1808">
        <f t="shared" si="3"/>
        <v>1</v>
      </c>
      <c r="AB25" s="1808">
        <f t="shared" si="4"/>
        <v>1</v>
      </c>
      <c r="AC25" s="2666">
        <f t="shared" si="5"/>
        <v>1</v>
      </c>
    </row>
    <row r="26" spans="1:29" ht="15">
      <c r="A26" s="404"/>
      <c r="B26" s="632"/>
      <c r="C26" s="634"/>
      <c r="D26" s="435"/>
      <c r="E26" s="616"/>
      <c r="F26" s="435"/>
      <c r="G26" s="634"/>
      <c r="H26" s="435"/>
      <c r="I26" s="616"/>
      <c r="J26" s="435"/>
      <c r="K26" s="615"/>
      <c r="L26" s="1137"/>
      <c r="M26" s="1128"/>
      <c r="N26" s="1128"/>
      <c r="O26" s="1128"/>
      <c r="P26" s="3335"/>
      <c r="Q26" s="1807"/>
      <c r="R26" s="774"/>
      <c r="S26" s="775"/>
      <c r="T26" s="774"/>
      <c r="U26" s="775"/>
      <c r="V26" s="774"/>
      <c r="W26" s="775"/>
      <c r="X26" s="1810"/>
      <c r="Y26" s="3309"/>
      <c r="Z26" s="1811"/>
      <c r="AA26" s="1808">
        <v>1</v>
      </c>
      <c r="AB26" s="1808">
        <v>1</v>
      </c>
      <c r="AC26" s="2666">
        <v>1</v>
      </c>
    </row>
    <row r="27" spans="1:29" ht="15">
      <c r="A27" s="428"/>
      <c r="B27" s="632" t="s">
        <v>2646</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335"/>
      <c r="Q27" s="1807" t="str">
        <f t="shared" ref="Q27:Q47" si="11">B27</f>
        <v>楼层</v>
      </c>
      <c r="R27" s="774" t="s">
        <v>17</v>
      </c>
      <c r="S27" s="775">
        <f>F27</f>
        <v>100</v>
      </c>
      <c r="T27" s="774" t="s">
        <v>17</v>
      </c>
      <c r="U27" s="775">
        <f>H27</f>
        <v>100</v>
      </c>
      <c r="V27" s="774" t="s">
        <v>17</v>
      </c>
      <c r="W27" s="775">
        <f>J27</f>
        <v>100</v>
      </c>
      <c r="X27" s="1810"/>
      <c r="Y27" s="3309"/>
      <c r="Z27" s="1811" t="str">
        <f>Q27</f>
        <v>楼层</v>
      </c>
      <c r="AA27" s="1808">
        <f t="shared" si="3"/>
        <v>1</v>
      </c>
      <c r="AB27" s="1808">
        <f t="shared" si="4"/>
        <v>1</v>
      </c>
      <c r="AC27" s="2666">
        <f t="shared" si="5"/>
        <v>1</v>
      </c>
    </row>
    <row r="28" spans="1:29" s="117" customFormat="1" ht="15">
      <c r="A28" s="431"/>
      <c r="B28" s="631" t="s">
        <v>2679</v>
      </c>
      <c r="C28" s="2669"/>
      <c r="D28" s="462">
        <v>100</v>
      </c>
      <c r="E28" s="2657"/>
      <c r="F28" s="462">
        <f>SUMIF(91:91,E28,92:92)-SUMIF(91:91,C28,92:92)+100</f>
        <v>100</v>
      </c>
      <c r="G28" s="2669"/>
      <c r="H28" s="462">
        <f>SUMIF(91:91,G28,92:92)-SUMIF(91:91,C28,92:92)+100</f>
        <v>100</v>
      </c>
      <c r="I28" s="2657"/>
      <c r="J28" s="462">
        <f>SUMIF(91:91,I28,92:92)-SUMIF(91:91,C28,92:92)+100</f>
        <v>100</v>
      </c>
      <c r="K28" s="612"/>
      <c r="L28" s="1129"/>
      <c r="M28" s="1130"/>
      <c r="N28" s="1130"/>
      <c r="O28" s="1130"/>
      <c r="P28" s="3335"/>
      <c r="Q28" s="1792" t="str">
        <f t="shared" si="11"/>
        <v>朝向</v>
      </c>
      <c r="R28" s="770" t="s">
        <v>17</v>
      </c>
      <c r="S28" s="771">
        <f>F28</f>
        <v>100</v>
      </c>
      <c r="T28" s="770" t="s">
        <v>17</v>
      </c>
      <c r="U28" s="771">
        <f>H28</f>
        <v>100</v>
      </c>
      <c r="V28" s="770" t="s">
        <v>17</v>
      </c>
      <c r="W28" s="771">
        <f>J28</f>
        <v>100</v>
      </c>
      <c r="X28" s="772"/>
      <c r="Y28" s="3309"/>
      <c r="Z28" s="55" t="str">
        <f>Q28</f>
        <v>朝向</v>
      </c>
      <c r="AA28" s="1808">
        <f>D28/F28</f>
        <v>1</v>
      </c>
      <c r="AB28" s="1808">
        <f>D28/H28</f>
        <v>1</v>
      </c>
      <c r="AC28" s="2666">
        <f>D28/J28</f>
        <v>1</v>
      </c>
    </row>
    <row r="29" spans="1:29" ht="15">
      <c r="A29" s="428"/>
      <c r="B29" s="2670">
        <v>111</v>
      </c>
      <c r="C29" s="2607"/>
      <c r="D29" s="435">
        <v>100</v>
      </c>
      <c r="E29" s="432"/>
      <c r="F29" s="435">
        <f>SUMIF(93:93,E29,94:94)-SUMIF(93:93,C29,94:94)+100</f>
        <v>100</v>
      </c>
      <c r="G29" s="2664"/>
      <c r="H29" s="435">
        <f>SUMIF(93:93,G29,94:94)-SUMIF(93:93,C29,94:94)+100</f>
        <v>100</v>
      </c>
      <c r="I29" s="432"/>
      <c r="J29" s="435">
        <f>SUMIF(93:93,I29,94:94)-SUMIF(93:93,C29,94:94)+100</f>
        <v>100</v>
      </c>
      <c r="K29" s="613"/>
      <c r="L29" s="1137"/>
      <c r="M29" s="1128"/>
      <c r="N29" s="1128"/>
      <c r="O29" s="1128"/>
      <c r="P29" s="3335"/>
      <c r="Q29" s="1807">
        <f t="shared" si="11"/>
        <v>111</v>
      </c>
      <c r="R29" s="774" t="s">
        <v>17</v>
      </c>
      <c r="S29" s="775">
        <f t="shared" ref="S29:S47" si="12">F29</f>
        <v>100</v>
      </c>
      <c r="T29" s="774" t="s">
        <v>17</v>
      </c>
      <c r="U29" s="775">
        <f t="shared" ref="U29:U47" si="13">H29</f>
        <v>100</v>
      </c>
      <c r="V29" s="774" t="s">
        <v>17</v>
      </c>
      <c r="W29" s="775">
        <f t="shared" ref="W29:W47" si="14">J29</f>
        <v>100</v>
      </c>
      <c r="X29" s="1810"/>
      <c r="Y29" s="3309"/>
      <c r="Z29" s="1811">
        <f t="shared" ref="Z29:Z47" si="15">Q29</f>
        <v>111</v>
      </c>
      <c r="AA29" s="1808">
        <f t="shared" si="3"/>
        <v>1</v>
      </c>
      <c r="AB29" s="1808">
        <f t="shared" si="4"/>
        <v>1</v>
      </c>
      <c r="AC29" s="2666">
        <f t="shared" si="5"/>
        <v>1</v>
      </c>
    </row>
    <row r="30" spans="1:29" ht="15">
      <c r="A30" s="428"/>
      <c r="B30" s="2670">
        <v>111</v>
      </c>
      <c r="C30" s="2607"/>
      <c r="D30" s="435">
        <v>100</v>
      </c>
      <c r="E30" s="432"/>
      <c r="F30" s="435">
        <f>SUMIF(95:95,E30,96:96)-SUMIF(95:95,C30,96:96)+100</f>
        <v>100</v>
      </c>
      <c r="G30" s="2664"/>
      <c r="H30" s="435">
        <f>SUMIF(95:95,G30,96:96)-SUMIF(95:95,C30,96:96)+100</f>
        <v>100</v>
      </c>
      <c r="I30" s="432"/>
      <c r="J30" s="435">
        <f>SUMIF(95:95,I30,96:96)-SUMIF(95:95,C30,96:96)+100</f>
        <v>100</v>
      </c>
      <c r="K30" s="613"/>
      <c r="L30" s="1137"/>
      <c r="M30" s="1128"/>
      <c r="N30" s="1128"/>
      <c r="O30" s="1128"/>
      <c r="P30" s="3335"/>
      <c r="Q30" s="1807">
        <f t="shared" si="11"/>
        <v>111</v>
      </c>
      <c r="R30" s="774" t="s">
        <v>17</v>
      </c>
      <c r="S30" s="775">
        <f t="shared" si="12"/>
        <v>100</v>
      </c>
      <c r="T30" s="774" t="s">
        <v>17</v>
      </c>
      <c r="U30" s="775">
        <f t="shared" si="13"/>
        <v>100</v>
      </c>
      <c r="V30" s="774" t="s">
        <v>17</v>
      </c>
      <c r="W30" s="775">
        <f t="shared" si="14"/>
        <v>100</v>
      </c>
      <c r="X30" s="1810"/>
      <c r="Y30" s="3309"/>
      <c r="Z30" s="1811">
        <f t="shared" si="15"/>
        <v>111</v>
      </c>
      <c r="AA30" s="1808">
        <f t="shared" si="3"/>
        <v>1</v>
      </c>
      <c r="AB30" s="1808">
        <f t="shared" si="4"/>
        <v>1</v>
      </c>
      <c r="AC30" s="2666">
        <f t="shared" si="5"/>
        <v>1</v>
      </c>
    </row>
    <row r="31" spans="1:29" ht="15">
      <c r="A31" s="428"/>
      <c r="B31" s="2670">
        <v>111</v>
      </c>
      <c r="C31" s="2607"/>
      <c r="D31" s="435">
        <v>100</v>
      </c>
      <c r="E31" s="432"/>
      <c r="F31" s="435">
        <f>SUMIF(97:97,E31,98:98)-SUMIF(97:97,C31,98:98)+100</f>
        <v>100</v>
      </c>
      <c r="G31" s="2664"/>
      <c r="H31" s="435">
        <f>SUMIF(97:97,G31,98:98)-SUMIF(97:97,C31,98:98)+100</f>
        <v>100</v>
      </c>
      <c r="I31" s="432"/>
      <c r="J31" s="435">
        <f>SUMIF(97:97,I31,98:98)-SUMIF(97:97,C31,98:98)+100</f>
        <v>100</v>
      </c>
      <c r="K31" s="613"/>
      <c r="L31" s="1137"/>
      <c r="M31" s="1128"/>
      <c r="N31" s="1128"/>
      <c r="O31" s="1128"/>
      <c r="P31" s="3335"/>
      <c r="Q31" s="1807">
        <f t="shared" si="11"/>
        <v>111</v>
      </c>
      <c r="R31" s="774" t="s">
        <v>17</v>
      </c>
      <c r="S31" s="775">
        <f t="shared" si="12"/>
        <v>100</v>
      </c>
      <c r="T31" s="774" t="s">
        <v>17</v>
      </c>
      <c r="U31" s="775">
        <f t="shared" si="13"/>
        <v>100</v>
      </c>
      <c r="V31" s="774" t="s">
        <v>17</v>
      </c>
      <c r="W31" s="775">
        <f t="shared" si="14"/>
        <v>100</v>
      </c>
      <c r="X31" s="1810"/>
      <c r="Y31" s="3309"/>
      <c r="Z31" s="1811">
        <f t="shared" si="15"/>
        <v>111</v>
      </c>
      <c r="AA31" s="1808">
        <f t="shared" si="3"/>
        <v>1</v>
      </c>
      <c r="AB31" s="1808">
        <f t="shared" si="4"/>
        <v>1</v>
      </c>
      <c r="AC31" s="2666">
        <f t="shared" si="5"/>
        <v>1</v>
      </c>
    </row>
    <row r="32" spans="1:29" ht="15.75" thickBot="1">
      <c r="A32" s="436"/>
      <c r="B32" s="635">
        <v>111</v>
      </c>
      <c r="C32" s="2608"/>
      <c r="D32" s="438">
        <v>100</v>
      </c>
      <c r="E32" s="628"/>
      <c r="F32" s="438">
        <f>SUMIF(99:99,E32,100:100)-SUMIF(99:99,C32,100:100)+100</f>
        <v>100</v>
      </c>
      <c r="G32" s="2664"/>
      <c r="H32" s="438">
        <f>SUMIF(99:99,G32,100:100)-SUMIF(99:99,C32,100:100)+100</f>
        <v>100</v>
      </c>
      <c r="I32" s="432"/>
      <c r="J32" s="438">
        <f>SUMIF(99:99,I32,100:100)-SUMIF(99:99,C32,100:100)+100</f>
        <v>100</v>
      </c>
      <c r="K32" s="613"/>
      <c r="L32" s="1137"/>
      <c r="M32" s="1128"/>
      <c r="N32" s="1128"/>
      <c r="O32" s="1128"/>
      <c r="P32" s="3335"/>
      <c r="Q32" s="1807">
        <f t="shared" si="11"/>
        <v>111</v>
      </c>
      <c r="R32" s="774" t="s">
        <v>17</v>
      </c>
      <c r="S32" s="775">
        <f t="shared" si="12"/>
        <v>100</v>
      </c>
      <c r="T32" s="774" t="s">
        <v>17</v>
      </c>
      <c r="U32" s="775">
        <f t="shared" si="13"/>
        <v>100</v>
      </c>
      <c r="V32" s="774" t="s">
        <v>17</v>
      </c>
      <c r="W32" s="775">
        <f t="shared" si="14"/>
        <v>100</v>
      </c>
      <c r="X32" s="1810"/>
      <c r="Y32" s="3309"/>
      <c r="Z32" s="1811">
        <f t="shared" si="15"/>
        <v>111</v>
      </c>
      <c r="AA32" s="1808">
        <f t="shared" si="3"/>
        <v>1</v>
      </c>
      <c r="AB32" s="1808">
        <f t="shared" si="4"/>
        <v>1</v>
      </c>
      <c r="AC32" s="2666">
        <f t="shared" si="5"/>
        <v>1</v>
      </c>
    </row>
    <row r="33" spans="1:29" ht="15">
      <c r="A33" s="440" t="s">
        <v>2550</v>
      </c>
      <c r="B33" s="71" t="s">
        <v>2680</v>
      </c>
      <c r="C33" s="2671"/>
      <c r="D33" s="467">
        <v>100</v>
      </c>
      <c r="E33" s="2671"/>
      <c r="F33" s="461">
        <f>SUMIF(101:101,E33,102:102)-SUMIF(101:101,C33,102:102)+100</f>
        <v>100</v>
      </c>
      <c r="G33" s="2671"/>
      <c r="H33" s="435">
        <f>SUMIF(101:101,G33,102:102)-SUMIF(101:101,C33,102:102)+100</f>
        <v>100</v>
      </c>
      <c r="I33" s="2671"/>
      <c r="J33" s="467">
        <f>SUMIF(101:101,I33,102:102)-SUMIF(101:101,C33,102:102)+100</f>
        <v>100</v>
      </c>
      <c r="K33" s="612"/>
      <c r="L33" s="1137"/>
      <c r="M33" s="1128"/>
      <c r="N33" s="1128"/>
      <c r="O33" s="1128"/>
      <c r="P33" s="3330" t="s">
        <v>2552</v>
      </c>
      <c r="Q33" s="1807" t="str">
        <f t="shared" si="11"/>
        <v>建筑类型</v>
      </c>
      <c r="R33" s="774" t="s">
        <v>17</v>
      </c>
      <c r="S33" s="775">
        <f t="shared" si="12"/>
        <v>100</v>
      </c>
      <c r="T33" s="774" t="s">
        <v>17</v>
      </c>
      <c r="U33" s="775">
        <f t="shared" si="13"/>
        <v>100</v>
      </c>
      <c r="V33" s="774" t="s">
        <v>17</v>
      </c>
      <c r="W33" s="775">
        <f t="shared" si="14"/>
        <v>100</v>
      </c>
      <c r="X33" s="1810"/>
      <c r="Y33" s="3311" t="s">
        <v>2552</v>
      </c>
      <c r="Z33" s="1811" t="str">
        <f t="shared" si="15"/>
        <v>建筑类型</v>
      </c>
      <c r="AA33" s="1808">
        <f t="shared" si="3"/>
        <v>1</v>
      </c>
      <c r="AB33" s="1808">
        <f t="shared" si="4"/>
        <v>1</v>
      </c>
      <c r="AC33" s="2666">
        <f t="shared" si="5"/>
        <v>1</v>
      </c>
    </row>
    <row r="34" spans="1:29" s="471" customFormat="1" ht="15">
      <c r="A34" s="468"/>
      <c r="B34" s="422" t="s">
        <v>2553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331"/>
      <c r="Q34" s="776" t="str">
        <f t="shared" si="11"/>
        <v>项目建筑规模</v>
      </c>
      <c r="R34" s="777" t="s">
        <v>17</v>
      </c>
      <c r="S34" s="778" t="e">
        <f t="shared" si="12"/>
        <v>#N/A</v>
      </c>
      <c r="T34" s="777" t="s">
        <v>17</v>
      </c>
      <c r="U34" s="778" t="e">
        <f t="shared" si="13"/>
        <v>#N/A</v>
      </c>
      <c r="V34" s="777" t="s">
        <v>17</v>
      </c>
      <c r="W34" s="778" t="e">
        <f t="shared" si="14"/>
        <v>#N/A</v>
      </c>
      <c r="X34" s="779"/>
      <c r="Y34" s="3311"/>
      <c r="Z34" s="780" t="str">
        <f t="shared" si="15"/>
        <v>项目建筑规模</v>
      </c>
      <c r="AA34" s="1808" t="e">
        <f t="shared" si="3"/>
        <v>#N/A</v>
      </c>
      <c r="AB34" s="1808" t="e">
        <f t="shared" si="4"/>
        <v>#N/A</v>
      </c>
      <c r="AC34" s="2666" t="e">
        <f t="shared" si="5"/>
        <v>#N/A</v>
      </c>
    </row>
    <row r="35" spans="1:29" ht="15">
      <c r="A35" s="472"/>
      <c r="B35" s="422" t="s">
        <v>2554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331"/>
      <c r="Q35" s="1807" t="str">
        <f t="shared" si="11"/>
        <v>建筑结构</v>
      </c>
      <c r="R35" s="774" t="s">
        <v>17</v>
      </c>
      <c r="S35" s="775">
        <f t="shared" si="12"/>
        <v>100</v>
      </c>
      <c r="T35" s="774" t="s">
        <v>17</v>
      </c>
      <c r="U35" s="775">
        <f t="shared" si="13"/>
        <v>100</v>
      </c>
      <c r="V35" s="774" t="s">
        <v>17</v>
      </c>
      <c r="W35" s="775">
        <f t="shared" si="14"/>
        <v>100</v>
      </c>
      <c r="X35" s="1810"/>
      <c r="Y35" s="3311"/>
      <c r="Z35" s="1811" t="str">
        <f t="shared" si="15"/>
        <v>建筑结构</v>
      </c>
      <c r="AA35" s="1808">
        <f t="shared" si="3"/>
        <v>1</v>
      </c>
      <c r="AB35" s="1808">
        <f t="shared" si="4"/>
        <v>1</v>
      </c>
      <c r="AC35" s="2666">
        <f t="shared" si="5"/>
        <v>1</v>
      </c>
    </row>
    <row r="36" spans="1:29" ht="15">
      <c r="A36" s="472"/>
      <c r="B36" s="422" t="s">
        <v>2648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331"/>
      <c r="Q36" s="1807" t="str">
        <f t="shared" si="11"/>
        <v>公共部分装修</v>
      </c>
      <c r="R36" s="774" t="s">
        <v>17</v>
      </c>
      <c r="S36" s="775">
        <f t="shared" si="12"/>
        <v>100</v>
      </c>
      <c r="T36" s="774" t="s">
        <v>17</v>
      </c>
      <c r="U36" s="775">
        <f t="shared" si="13"/>
        <v>100</v>
      </c>
      <c r="V36" s="774" t="s">
        <v>17</v>
      </c>
      <c r="W36" s="775">
        <f t="shared" si="14"/>
        <v>100</v>
      </c>
      <c r="X36" s="1810"/>
      <c r="Y36" s="3311"/>
      <c r="Z36" s="1811" t="str">
        <f t="shared" si="15"/>
        <v>公共部分装修</v>
      </c>
      <c r="AA36" s="1808">
        <f t="shared" si="3"/>
        <v>1</v>
      </c>
      <c r="AB36" s="1808">
        <f t="shared" si="4"/>
        <v>1</v>
      </c>
      <c r="AC36" s="2666">
        <f t="shared" si="5"/>
        <v>1</v>
      </c>
    </row>
    <row r="37" spans="1:29" ht="15">
      <c r="A37" s="472"/>
      <c r="B37" s="422" t="s">
        <v>2649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331"/>
      <c r="Q37" s="1807" t="str">
        <f t="shared" si="11"/>
        <v>成新度</v>
      </c>
      <c r="R37" s="774" t="s">
        <v>17</v>
      </c>
      <c r="S37" s="775" t="e">
        <f t="shared" si="12"/>
        <v>#N/A</v>
      </c>
      <c r="T37" s="774" t="s">
        <v>17</v>
      </c>
      <c r="U37" s="775" t="e">
        <f t="shared" si="13"/>
        <v>#N/A</v>
      </c>
      <c r="V37" s="774" t="s">
        <v>17</v>
      </c>
      <c r="W37" s="775" t="e">
        <f t="shared" si="14"/>
        <v>#N/A</v>
      </c>
      <c r="X37" s="1810"/>
      <c r="Y37" s="3311"/>
      <c r="Z37" s="1811" t="str">
        <f t="shared" si="15"/>
        <v>成新度</v>
      </c>
      <c r="AA37" s="1808" t="e">
        <f t="shared" si="3"/>
        <v>#N/A</v>
      </c>
      <c r="AB37" s="1808" t="e">
        <f t="shared" si="4"/>
        <v>#N/A</v>
      </c>
      <c r="AC37" s="2666" t="e">
        <f t="shared" si="5"/>
        <v>#N/A</v>
      </c>
    </row>
    <row r="38" spans="1:29" s="117" customFormat="1" ht="15">
      <c r="A38" s="473"/>
      <c r="B38" s="422" t="s">
        <v>2681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331"/>
      <c r="Q38" s="1792" t="str">
        <f t="shared" si="11"/>
        <v>写字楼等级</v>
      </c>
      <c r="R38" s="770" t="s">
        <v>17</v>
      </c>
      <c r="S38" s="771">
        <f t="shared" si="12"/>
        <v>100</v>
      </c>
      <c r="T38" s="770" t="s">
        <v>17</v>
      </c>
      <c r="U38" s="771">
        <f t="shared" si="13"/>
        <v>100</v>
      </c>
      <c r="V38" s="770" t="s">
        <v>17</v>
      </c>
      <c r="W38" s="771">
        <f t="shared" si="14"/>
        <v>100</v>
      </c>
      <c r="X38" s="772"/>
      <c r="Y38" s="3311"/>
      <c r="Z38" s="55" t="str">
        <f t="shared" si="15"/>
        <v>写字楼等级</v>
      </c>
      <c r="AA38" s="773">
        <f t="shared" si="3"/>
        <v>1</v>
      </c>
      <c r="AB38" s="773">
        <f t="shared" si="4"/>
        <v>1</v>
      </c>
      <c r="AC38" s="2663">
        <f t="shared" si="5"/>
        <v>1</v>
      </c>
    </row>
    <row r="39" spans="1:29" ht="15">
      <c r="A39" s="472"/>
      <c r="B39" s="422" t="s">
        <v>2682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331" t="s">
        <v>2552</v>
      </c>
      <c r="Q39" s="1807" t="str">
        <f t="shared" si="11"/>
        <v>物业管理</v>
      </c>
      <c r="R39" s="774" t="s">
        <v>17</v>
      </c>
      <c r="S39" s="775">
        <f t="shared" si="12"/>
        <v>100</v>
      </c>
      <c r="T39" s="774" t="s">
        <v>17</v>
      </c>
      <c r="U39" s="775">
        <f t="shared" si="13"/>
        <v>100</v>
      </c>
      <c r="V39" s="774" t="s">
        <v>17</v>
      </c>
      <c r="W39" s="775">
        <f t="shared" si="14"/>
        <v>100</v>
      </c>
      <c r="X39" s="1810"/>
      <c r="Y39" s="3311" t="s">
        <v>2552</v>
      </c>
      <c r="Z39" s="1811" t="str">
        <f t="shared" si="15"/>
        <v>物业管理</v>
      </c>
      <c r="AA39" s="1808">
        <f t="shared" si="3"/>
        <v>1</v>
      </c>
      <c r="AB39" s="1808">
        <f t="shared" si="4"/>
        <v>1</v>
      </c>
      <c r="AC39" s="2666">
        <f t="shared" si="5"/>
        <v>1</v>
      </c>
    </row>
    <row r="40" spans="1:29" ht="15">
      <c r="A40" s="472"/>
      <c r="B40" s="422" t="s">
        <v>2650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331"/>
      <c r="Q40" s="1807" t="str">
        <f t="shared" si="11"/>
        <v>市政基础设施</v>
      </c>
      <c r="R40" s="774" t="s">
        <v>17</v>
      </c>
      <c r="S40" s="775">
        <f t="shared" si="12"/>
        <v>100</v>
      </c>
      <c r="T40" s="774" t="s">
        <v>17</v>
      </c>
      <c r="U40" s="775">
        <f t="shared" si="13"/>
        <v>100</v>
      </c>
      <c r="V40" s="774" t="s">
        <v>17</v>
      </c>
      <c r="W40" s="775">
        <f t="shared" si="14"/>
        <v>100</v>
      </c>
      <c r="X40" s="1810"/>
      <c r="Y40" s="3311"/>
      <c r="Z40" s="1811" t="str">
        <f t="shared" si="15"/>
        <v>市政基础设施</v>
      </c>
      <c r="AA40" s="1808">
        <f t="shared" si="3"/>
        <v>1</v>
      </c>
      <c r="AB40" s="1808">
        <f t="shared" si="4"/>
        <v>1</v>
      </c>
      <c r="AC40" s="2666">
        <f t="shared" si="5"/>
        <v>1</v>
      </c>
    </row>
    <row r="41" spans="1:29" ht="15">
      <c r="A41" s="472"/>
      <c r="B41" s="422" t="s">
        <v>2652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331"/>
      <c r="Q41" s="1807" t="str">
        <f t="shared" si="11"/>
        <v>层高</v>
      </c>
      <c r="R41" s="774" t="s">
        <v>17</v>
      </c>
      <c r="S41" s="775">
        <f t="shared" si="12"/>
        <v>100</v>
      </c>
      <c r="T41" s="774" t="s">
        <v>17</v>
      </c>
      <c r="U41" s="775">
        <f t="shared" si="13"/>
        <v>100</v>
      </c>
      <c r="V41" s="774" t="s">
        <v>17</v>
      </c>
      <c r="W41" s="775">
        <f t="shared" si="14"/>
        <v>100</v>
      </c>
      <c r="X41" s="1810"/>
      <c r="Y41" s="3311"/>
      <c r="Z41" s="1811" t="str">
        <f t="shared" si="15"/>
        <v>层高</v>
      </c>
      <c r="AA41" s="1808">
        <f t="shared" si="3"/>
        <v>1</v>
      </c>
      <c r="AB41" s="1808">
        <f t="shared" si="4"/>
        <v>1</v>
      </c>
      <c r="AC41" s="2666">
        <f t="shared" si="5"/>
        <v>1</v>
      </c>
    </row>
    <row r="42" spans="1:29" s="471" customFormat="1" ht="15">
      <c r="A42" s="468"/>
      <c r="B42" s="1809" t="s">
        <v>2683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331"/>
      <c r="Q42" s="776" t="str">
        <f t="shared" si="11"/>
        <v>单套建筑面积</v>
      </c>
      <c r="R42" s="777" t="s">
        <v>17</v>
      </c>
      <c r="S42" s="778">
        <f t="shared" si="12"/>
        <v>100</v>
      </c>
      <c r="T42" s="777" t="s">
        <v>17</v>
      </c>
      <c r="U42" s="778">
        <f t="shared" si="13"/>
        <v>100</v>
      </c>
      <c r="V42" s="777" t="s">
        <v>17</v>
      </c>
      <c r="W42" s="778">
        <f t="shared" si="14"/>
        <v>100</v>
      </c>
      <c r="X42" s="779"/>
      <c r="Y42" s="3311"/>
      <c r="Z42" s="780" t="str">
        <f t="shared" si="15"/>
        <v>单套建筑面积</v>
      </c>
      <c r="AA42" s="1808">
        <f t="shared" si="3"/>
        <v>1</v>
      </c>
      <c r="AB42" s="1808">
        <f t="shared" si="4"/>
        <v>1</v>
      </c>
      <c r="AC42" s="2666">
        <f t="shared" si="5"/>
        <v>1</v>
      </c>
    </row>
    <row r="43" spans="1:29" ht="15">
      <c r="A43" s="472"/>
      <c r="B43" s="422" t="s">
        <v>2655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331"/>
      <c r="Q43" s="1807" t="str">
        <f t="shared" si="11"/>
        <v>内部装修</v>
      </c>
      <c r="R43" s="774" t="s">
        <v>17</v>
      </c>
      <c r="S43" s="775">
        <f t="shared" si="12"/>
        <v>100</v>
      </c>
      <c r="T43" s="774" t="s">
        <v>17</v>
      </c>
      <c r="U43" s="775">
        <f t="shared" si="13"/>
        <v>100</v>
      </c>
      <c r="V43" s="774" t="s">
        <v>17</v>
      </c>
      <c r="W43" s="775">
        <f t="shared" si="14"/>
        <v>100</v>
      </c>
      <c r="X43" s="1810"/>
      <c r="Y43" s="3311"/>
      <c r="Z43" s="1811" t="str">
        <f t="shared" si="15"/>
        <v>内部装修</v>
      </c>
      <c r="AA43" s="1808">
        <f t="shared" si="3"/>
        <v>1</v>
      </c>
      <c r="AB43" s="1808">
        <f t="shared" si="4"/>
        <v>1</v>
      </c>
      <c r="AC43" s="2666">
        <f t="shared" si="5"/>
        <v>1</v>
      </c>
    </row>
    <row r="44" spans="1:29" ht="15">
      <c r="A44" s="472"/>
      <c r="B44" s="422" t="s">
        <v>2563</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37"/>
      <c r="M44" s="1128"/>
      <c r="N44" s="1128"/>
      <c r="O44" s="1128"/>
      <c r="P44" s="3331"/>
      <c r="Q44" s="1807" t="str">
        <f t="shared" si="11"/>
        <v>内部装修维护情况</v>
      </c>
      <c r="R44" s="774" t="s">
        <v>17</v>
      </c>
      <c r="S44" s="775">
        <f t="shared" si="12"/>
        <v>100</v>
      </c>
      <c r="T44" s="774" t="s">
        <v>17</v>
      </c>
      <c r="U44" s="775">
        <f t="shared" si="13"/>
        <v>100</v>
      </c>
      <c r="V44" s="774" t="s">
        <v>17</v>
      </c>
      <c r="W44" s="775">
        <f t="shared" si="14"/>
        <v>100</v>
      </c>
      <c r="X44" s="1810"/>
      <c r="Y44" s="3311"/>
      <c r="Z44" s="1811" t="str">
        <f t="shared" si="15"/>
        <v>内部装修维护情况</v>
      </c>
      <c r="AA44" s="1808">
        <f t="shared" si="3"/>
        <v>1</v>
      </c>
      <c r="AB44" s="1808">
        <f t="shared" si="4"/>
        <v>1</v>
      </c>
      <c r="AC44" s="2666">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331"/>
      <c r="Q45" s="1792">
        <f t="shared" si="11"/>
        <v>111</v>
      </c>
      <c r="R45" s="770" t="s">
        <v>17</v>
      </c>
      <c r="S45" s="771">
        <f t="shared" si="12"/>
        <v>100</v>
      </c>
      <c r="T45" s="770" t="s">
        <v>17</v>
      </c>
      <c r="U45" s="771">
        <f t="shared" si="13"/>
        <v>100</v>
      </c>
      <c r="V45" s="770" t="s">
        <v>17</v>
      </c>
      <c r="W45" s="771">
        <f t="shared" si="14"/>
        <v>100</v>
      </c>
      <c r="X45" s="772"/>
      <c r="Y45" s="3311"/>
      <c r="Z45" s="55">
        <f t="shared" si="15"/>
        <v>111</v>
      </c>
      <c r="AA45" s="773">
        <f t="shared" si="3"/>
        <v>1</v>
      </c>
      <c r="AB45" s="773">
        <f t="shared" si="4"/>
        <v>1</v>
      </c>
      <c r="AC45" s="2663">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331"/>
      <c r="Q46" s="1807">
        <f t="shared" si="11"/>
        <v>111</v>
      </c>
      <c r="R46" s="774" t="s">
        <v>17</v>
      </c>
      <c r="S46" s="775">
        <f t="shared" si="12"/>
        <v>100</v>
      </c>
      <c r="T46" s="774" t="s">
        <v>17</v>
      </c>
      <c r="U46" s="775">
        <f t="shared" si="13"/>
        <v>100</v>
      </c>
      <c r="V46" s="774" t="s">
        <v>17</v>
      </c>
      <c r="W46" s="775">
        <f t="shared" si="14"/>
        <v>100</v>
      </c>
      <c r="X46" s="1810"/>
      <c r="Y46" s="3311"/>
      <c r="Z46" s="1811">
        <f t="shared" si="15"/>
        <v>111</v>
      </c>
      <c r="AA46" s="1808">
        <f t="shared" si="3"/>
        <v>1</v>
      </c>
      <c r="AB46" s="1808">
        <f t="shared" si="4"/>
        <v>1</v>
      </c>
      <c r="AC46" s="2666">
        <f t="shared" si="5"/>
        <v>1</v>
      </c>
    </row>
    <row r="47" spans="1:29" ht="15.75"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332"/>
      <c r="Q47" s="1807">
        <f t="shared" si="11"/>
        <v>111</v>
      </c>
      <c r="R47" s="774" t="s">
        <v>17</v>
      </c>
      <c r="S47" s="775">
        <f t="shared" si="12"/>
        <v>100</v>
      </c>
      <c r="T47" s="774" t="s">
        <v>17</v>
      </c>
      <c r="U47" s="775">
        <f t="shared" si="13"/>
        <v>100</v>
      </c>
      <c r="V47" s="774" t="s">
        <v>17</v>
      </c>
      <c r="W47" s="775">
        <f t="shared" si="14"/>
        <v>100</v>
      </c>
      <c r="X47" s="1810"/>
      <c r="Y47" s="3333"/>
      <c r="Z47" s="1811">
        <f t="shared" si="15"/>
        <v>111</v>
      </c>
      <c r="AA47" s="1808">
        <f t="shared" si="3"/>
        <v>1</v>
      </c>
      <c r="AB47" s="1808">
        <f t="shared" si="4"/>
        <v>1</v>
      </c>
      <c r="AC47" s="2666">
        <f t="shared" si="5"/>
        <v>1</v>
      </c>
    </row>
    <row r="48" spans="1:29" ht="15">
      <c r="A48" s="479" t="s">
        <v>2564</v>
      </c>
      <c r="B48" s="480"/>
      <c r="C48" s="1404" t="s">
        <v>1</v>
      </c>
      <c r="D48" s="1405"/>
      <c r="E48" s="1406"/>
      <c r="F48" s="1407"/>
      <c r="G48" s="1408"/>
      <c r="H48" s="1409"/>
      <c r="I48" s="1406"/>
      <c r="J48" s="485"/>
      <c r="K48" s="783"/>
      <c r="L48" s="1140"/>
      <c r="M48" s="1128"/>
      <c r="N48" s="1128"/>
      <c r="O48" s="1128"/>
      <c r="P48" s="3317" t="str">
        <f>A48</f>
        <v>成交单价（元/平方米）</v>
      </c>
      <c r="Q48" s="3293"/>
      <c r="R48" s="3329">
        <f>E48</f>
        <v>0</v>
      </c>
      <c r="S48" s="3329"/>
      <c r="T48" s="3329">
        <f>G48</f>
        <v>0</v>
      </c>
      <c r="U48" s="3329"/>
      <c r="V48" s="3329">
        <f>I48</f>
        <v>0</v>
      </c>
      <c r="W48" s="3329"/>
      <c r="X48" s="446"/>
      <c r="Y48" s="781"/>
      <c r="Z48" s="446"/>
      <c r="AA48" s="446"/>
      <c r="AB48" s="446"/>
      <c r="AC48" s="630"/>
    </row>
    <row r="49" spans="1:29" ht="15.75" thickBot="1">
      <c r="A49" s="486" t="s">
        <v>2656</v>
      </c>
      <c r="B49" s="487"/>
      <c r="C49" s="1410" t="e">
        <f>R50</f>
        <v>#DIV/0!</v>
      </c>
      <c r="D49" s="1411"/>
      <c r="E49" s="1412" t="e">
        <f>R49</f>
        <v>#DIV/0!</v>
      </c>
      <c r="F49" s="1412"/>
      <c r="G49" s="1410" t="e">
        <f>T49</f>
        <v>#DIV/0!</v>
      </c>
      <c r="H49" s="1411"/>
      <c r="I49" s="1412" t="e">
        <f>V49</f>
        <v>#DIV/0!</v>
      </c>
      <c r="J49" s="489"/>
      <c r="K49" s="784"/>
      <c r="L49" s="1140"/>
      <c r="M49" s="1128"/>
      <c r="N49" s="1128"/>
      <c r="O49" s="1128"/>
      <c r="P49" s="3317" t="str">
        <f>A49</f>
        <v>比较价值（元/平方米）</v>
      </c>
      <c r="Q49" s="3293"/>
      <c r="R49" s="3329" t="e">
        <f>IF(F1="售价",ROUND(PRODUCT(R48,AA7:AA47),0),ROUND(PRODUCT(R48,AA7:AA47),1))</f>
        <v>#DIV/0!</v>
      </c>
      <c r="S49" s="3329"/>
      <c r="T49" s="3329" t="e">
        <f>IF(F1="售价",ROUND(PRODUCT(T48,AB7:AB47),0),ROUND(PRODUCT(T48,AB7:AB47),1))</f>
        <v>#DIV/0!</v>
      </c>
      <c r="U49" s="3329"/>
      <c r="V49" s="3329" t="e">
        <f>IF(F1="售价",ROUND(PRODUCT(V48,AC7:AC47),0),ROUND(PRODUCT(V48,AC7:AC47),1))</f>
        <v>#DIV/0!</v>
      </c>
      <c r="W49" s="3329"/>
      <c r="X49" s="446"/>
      <c r="Y49" s="446"/>
      <c r="Z49" s="446"/>
      <c r="AA49" s="446"/>
      <c r="AB49" s="446"/>
      <c r="AC49" s="630"/>
    </row>
    <row r="50" spans="1:29" ht="15.75" thickBot="1">
      <c r="A50" s="492" t="s">
        <v>2657</v>
      </c>
      <c r="B50" s="493"/>
      <c r="C50" s="1414" t="e">
        <f>R50</f>
        <v>#DIV/0!</v>
      </c>
      <c r="D50" s="1414"/>
      <c r="E50" s="1414"/>
      <c r="F50" s="1414"/>
      <c r="G50" s="1414"/>
      <c r="H50" s="1414"/>
      <c r="I50" s="1414"/>
      <c r="J50" s="494"/>
      <c r="K50" s="785"/>
      <c r="L50" s="1140"/>
      <c r="M50" s="1128"/>
      <c r="N50" s="1128"/>
      <c r="O50" s="1128"/>
      <c r="P50" s="3376" t="str">
        <f>A50</f>
        <v>估价对象XX用房的比较价值（楼面单价，元/平方米）</v>
      </c>
      <c r="Q50" s="3377"/>
      <c r="R50" s="3378" t="e">
        <f>IF(F1="售价",ROUND(AVERAGE(R49:V49),0),ROUND(AVERAGE(R49:V49),1))</f>
        <v>#DIV/0!</v>
      </c>
      <c r="S50" s="3378"/>
      <c r="T50" s="3378"/>
      <c r="U50" s="3378"/>
      <c r="V50" s="3378"/>
      <c r="W50" s="3378"/>
      <c r="X50" s="2646"/>
      <c r="Y50" s="2646"/>
      <c r="Z50" s="2646"/>
      <c r="AA50" s="2646"/>
      <c r="AB50" s="2646"/>
      <c r="AC50" s="2647"/>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2658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2659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2"/>
    </row>
    <row r="56" spans="1:29" s="502" customFormat="1">
      <c r="A56" s="1142"/>
      <c r="B56" s="1143"/>
      <c r="C56" s="1147"/>
      <c r="D56" s="1142"/>
      <c r="E56" s="1142"/>
      <c r="F56" s="1142"/>
      <c r="G56" s="1142"/>
      <c r="H56" s="1142"/>
      <c r="I56" s="1142"/>
      <c r="J56" s="1142"/>
      <c r="K56" s="1145"/>
      <c r="L56" s="1146"/>
      <c r="M56" s="1142"/>
      <c r="N56" s="1142"/>
      <c r="O56" s="1142"/>
      <c r="P56" s="2672"/>
    </row>
    <row r="57" spans="1:29">
      <c r="A57" s="1141"/>
      <c r="B57" s="1143"/>
      <c r="C57" s="1147"/>
      <c r="D57" s="1141"/>
      <c r="E57" s="1141"/>
      <c r="F57" s="1141"/>
      <c r="G57" s="1141"/>
      <c r="H57" s="1141"/>
      <c r="I57" s="1141"/>
      <c r="J57" s="1141"/>
      <c r="K57" s="1102"/>
      <c r="L57" s="1103"/>
      <c r="M57" s="1141"/>
      <c r="N57" s="1141"/>
      <c r="O57" s="1141"/>
    </row>
    <row r="58" spans="1:29" ht="21.75" thickBot="1">
      <c r="A58" s="763" t="s">
        <v>2661</v>
      </c>
      <c r="B58" s="759"/>
      <c r="C58" s="764"/>
      <c r="D58" s="764"/>
      <c r="E58" s="764"/>
      <c r="F58" s="765"/>
      <c r="G58" s="765"/>
      <c r="H58" s="764"/>
      <c r="I58" s="764"/>
      <c r="J58" s="764"/>
      <c r="K58" s="766"/>
      <c r="L58" s="1158"/>
      <c r="M58" s="1156"/>
      <c r="N58" s="1156"/>
      <c r="O58" s="1156"/>
      <c r="P58" s="2673"/>
      <c r="Q58" s="504"/>
    </row>
    <row r="59" spans="1:29" s="508" customFormat="1" ht="15">
      <c r="A59" s="505" t="s">
        <v>2535</v>
      </c>
      <c r="B59" s="506"/>
      <c r="C59" s="1571" t="str">
        <f>YEAR(C7)&amp;"-"&amp;MONTH(C7)</f>
        <v>2020-4</v>
      </c>
      <c r="D59" s="1572">
        <f>EDATE(C59,-1)</f>
        <v>43891</v>
      </c>
      <c r="E59" s="1572">
        <f>EDATE(D59,-1)</f>
        <v>43862</v>
      </c>
      <c r="F59" s="1572">
        <f t="shared" ref="F59:O59" si="16">EDATE(E59,-1)</f>
        <v>43831</v>
      </c>
      <c r="G59" s="1572">
        <f t="shared" si="16"/>
        <v>43800</v>
      </c>
      <c r="H59" s="1572">
        <f t="shared" si="16"/>
        <v>43770</v>
      </c>
      <c r="I59" s="1572">
        <f t="shared" si="16"/>
        <v>43739</v>
      </c>
      <c r="J59" s="1572">
        <f t="shared" si="16"/>
        <v>43709</v>
      </c>
      <c r="K59" s="1572">
        <f t="shared" si="16"/>
        <v>43678</v>
      </c>
      <c r="L59" s="1572">
        <f t="shared" si="16"/>
        <v>43647</v>
      </c>
      <c r="M59" s="1572">
        <f t="shared" si="16"/>
        <v>43617</v>
      </c>
      <c r="N59" s="1572">
        <f t="shared" si="16"/>
        <v>43586</v>
      </c>
      <c r="O59" s="1572">
        <f t="shared" si="16"/>
        <v>43556</v>
      </c>
      <c r="P59" s="1568"/>
    </row>
    <row r="60" spans="1:29" s="117" customFormat="1" ht="15">
      <c r="A60" s="509"/>
      <c r="B60" s="510"/>
      <c r="C60" s="1570">
        <v>100</v>
      </c>
      <c r="D60" s="512"/>
      <c r="E60" s="512"/>
      <c r="F60" s="512"/>
      <c r="G60" s="512"/>
      <c r="H60" s="512"/>
      <c r="I60" s="512"/>
      <c r="J60" s="512"/>
      <c r="K60" s="512"/>
      <c r="L60" s="512"/>
      <c r="M60" s="513"/>
      <c r="N60" s="512"/>
      <c r="O60" s="513"/>
      <c r="P60" s="2674"/>
    </row>
    <row r="61" spans="1:29" s="117" customFormat="1" ht="15.75" thickBot="1">
      <c r="A61" s="515" t="s">
        <v>2572</v>
      </c>
      <c r="B61" s="516"/>
      <c r="C61" s="517"/>
      <c r="D61" s="518"/>
      <c r="E61" s="518"/>
      <c r="F61" s="518"/>
      <c r="G61" s="518"/>
      <c r="H61" s="518"/>
      <c r="I61" s="518"/>
      <c r="J61" s="518"/>
      <c r="K61" s="518"/>
      <c r="L61" s="518"/>
      <c r="M61" s="519"/>
      <c r="N61" s="518"/>
      <c r="O61" s="519"/>
      <c r="P61" s="2674"/>
      <c r="Q61" s="504"/>
    </row>
    <row r="62" spans="1:29" s="117" customFormat="1" ht="15">
      <c r="A62" s="521" t="s">
        <v>2537</v>
      </c>
      <c r="B62" s="510"/>
      <c r="C62" s="522" t="s">
        <v>2639</v>
      </c>
      <c r="D62" s="523"/>
      <c r="E62" s="523"/>
      <c r="F62" s="523"/>
      <c r="G62" s="523"/>
      <c r="H62" s="523"/>
      <c r="I62" s="523"/>
      <c r="J62" s="523"/>
      <c r="K62" s="523"/>
      <c r="L62" s="524"/>
      <c r="M62" s="525"/>
      <c r="N62" s="1148"/>
      <c r="O62" s="1148"/>
      <c r="P62" s="2675"/>
      <c r="Q62" s="504"/>
    </row>
    <row r="63" spans="1:29" s="117" customFormat="1" ht="15.75" thickBot="1">
      <c r="A63" s="521"/>
      <c r="B63" s="510"/>
      <c r="C63" s="511">
        <v>100</v>
      </c>
      <c r="D63" s="512"/>
      <c r="E63" s="512"/>
      <c r="F63" s="512"/>
      <c r="G63" s="512"/>
      <c r="H63" s="512"/>
      <c r="I63" s="512"/>
      <c r="J63" s="512"/>
      <c r="K63" s="512"/>
      <c r="L63" s="512"/>
      <c r="M63" s="514"/>
      <c r="N63" s="1148"/>
      <c r="O63" s="1148"/>
      <c r="P63" s="2674"/>
      <c r="Q63" s="504"/>
    </row>
    <row r="64" spans="1:29">
      <c r="A64" s="527" t="s">
        <v>2575</v>
      </c>
      <c r="B64" s="528" t="s">
        <v>2541</v>
      </c>
      <c r="C64" s="529">
        <f>C9</f>
        <v>0</v>
      </c>
      <c r="D64" s="530"/>
      <c r="E64" s="530"/>
      <c r="F64" s="530"/>
      <c r="G64" s="530"/>
      <c r="H64" s="530"/>
      <c r="I64" s="530"/>
      <c r="J64" s="530"/>
      <c r="K64" s="531"/>
      <c r="L64" s="532"/>
      <c r="M64" s="533"/>
      <c r="N64" s="1149"/>
      <c r="O64" s="1149"/>
      <c r="P64" s="2676"/>
      <c r="Q64" s="504"/>
    </row>
    <row r="65" spans="1:17" ht="15.75" thickBot="1">
      <c r="A65" s="534"/>
      <c r="B65" s="535"/>
      <c r="C65" s="536">
        <v>100</v>
      </c>
      <c r="D65" s="536"/>
      <c r="E65" s="536"/>
      <c r="F65" s="536"/>
      <c r="G65" s="536"/>
      <c r="H65" s="536"/>
      <c r="I65" s="536"/>
      <c r="J65" s="536"/>
      <c r="K65" s="536"/>
      <c r="L65" s="536"/>
      <c r="M65" s="537"/>
      <c r="N65" s="1150"/>
      <c r="O65" s="1150"/>
      <c r="P65" s="2676"/>
      <c r="Q65" s="504"/>
    </row>
    <row r="66" spans="1:17" ht="27.75" thickTop="1">
      <c r="A66" s="534"/>
      <c r="B66" s="538" t="s">
        <v>2544</v>
      </c>
      <c r="C66" s="539" t="s">
        <v>2576</v>
      </c>
      <c r="D66" s="539" t="s">
        <v>2577</v>
      </c>
      <c r="E66" s="539" t="s">
        <v>2578</v>
      </c>
      <c r="F66" s="539" t="s">
        <v>2579</v>
      </c>
      <c r="G66" s="539" t="s">
        <v>2580</v>
      </c>
      <c r="H66" s="539" t="s">
        <v>2581</v>
      </c>
      <c r="I66" s="539" t="s">
        <v>2582</v>
      </c>
      <c r="J66" s="539"/>
      <c r="K66" s="540"/>
      <c r="L66" s="541"/>
      <c r="M66" s="542"/>
      <c r="N66" s="1149"/>
      <c r="O66" s="1149"/>
      <c r="P66" s="267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6"/>
      <c r="Q67" s="504"/>
    </row>
    <row r="68" spans="1:17" ht="15.75" thickTop="1">
      <c r="A68" s="534"/>
      <c r="B68" s="546" t="s">
        <v>2545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6"/>
      <c r="Q68" s="504"/>
    </row>
    <row r="69" spans="1:17" ht="15">
      <c r="A69" s="534"/>
      <c r="B69" s="548"/>
      <c r="C69" s="549"/>
      <c r="D69" s="549"/>
      <c r="E69" s="549"/>
      <c r="F69" s="549"/>
      <c r="G69" s="549"/>
      <c r="H69" s="549"/>
      <c r="I69" s="549"/>
      <c r="J69" s="549"/>
      <c r="K69" s="550"/>
      <c r="L69" s="551"/>
      <c r="M69" s="552"/>
      <c r="N69" s="1149"/>
      <c r="O69" s="1149"/>
      <c r="P69" s="267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6"/>
      <c r="Q70" s="504"/>
    </row>
    <row r="71" spans="1:17" s="471" customFormat="1" ht="15.75" thickTop="1">
      <c r="A71" s="553"/>
      <c r="B71" s="538">
        <f>B12</f>
        <v>111</v>
      </c>
      <c r="C71" s="554"/>
      <c r="D71" s="554"/>
      <c r="E71" s="554"/>
      <c r="F71" s="554"/>
      <c r="G71" s="554"/>
      <c r="H71" s="555"/>
      <c r="I71" s="555"/>
      <c r="J71" s="555"/>
      <c r="K71" s="555"/>
      <c r="L71" s="556"/>
      <c r="M71" s="557"/>
      <c r="N71" s="1151"/>
      <c r="O71" s="1151"/>
      <c r="P71" s="2677"/>
      <c r="Q71" s="559"/>
    </row>
    <row r="72" spans="1:17" s="471" customFormat="1" ht="15.75" thickBot="1">
      <c r="A72" s="553"/>
      <c r="B72" s="543"/>
      <c r="C72" s="560"/>
      <c r="D72" s="536"/>
      <c r="E72" s="536"/>
      <c r="F72" s="536"/>
      <c r="G72" s="536"/>
      <c r="H72" s="536"/>
      <c r="I72" s="536"/>
      <c r="J72" s="536"/>
      <c r="K72" s="536"/>
      <c r="L72" s="536"/>
      <c r="M72" s="537"/>
      <c r="N72" s="1150"/>
      <c r="O72" s="1150"/>
      <c r="P72" s="2677"/>
      <c r="Q72" s="559"/>
    </row>
    <row r="73" spans="1:17" s="471" customFormat="1" ht="15.75" thickTop="1">
      <c r="A73" s="553"/>
      <c r="B73" s="538">
        <f>B13</f>
        <v>111</v>
      </c>
      <c r="C73" s="554"/>
      <c r="D73" s="554"/>
      <c r="E73" s="554"/>
      <c r="F73" s="554"/>
      <c r="G73" s="554"/>
      <c r="H73" s="555"/>
      <c r="I73" s="555"/>
      <c r="J73" s="555"/>
      <c r="K73" s="555"/>
      <c r="L73" s="556"/>
      <c r="M73" s="557"/>
      <c r="N73" s="1151"/>
      <c r="O73" s="1151"/>
      <c r="P73" s="2678"/>
      <c r="Q73" s="561"/>
    </row>
    <row r="74" spans="1:17" s="471" customFormat="1" ht="15.75" thickBot="1">
      <c r="A74" s="553"/>
      <c r="B74" s="543"/>
      <c r="C74" s="560"/>
      <c r="D74" s="560"/>
      <c r="E74" s="560"/>
      <c r="F74" s="560"/>
      <c r="G74" s="560"/>
      <c r="H74" s="562"/>
      <c r="I74" s="562"/>
      <c r="J74" s="562"/>
      <c r="K74" s="562"/>
      <c r="L74" s="562"/>
      <c r="M74" s="563"/>
      <c r="N74" s="1151"/>
      <c r="O74" s="1151"/>
      <c r="P74" s="2677"/>
      <c r="Q74" s="559"/>
    </row>
    <row r="75" spans="1:17" s="471" customFormat="1" ht="15.75" thickTop="1">
      <c r="A75" s="553"/>
      <c r="B75" s="546">
        <f>B14</f>
        <v>111</v>
      </c>
      <c r="C75" s="523"/>
      <c r="D75" s="523"/>
      <c r="E75" s="523"/>
      <c r="F75" s="523"/>
      <c r="G75" s="523"/>
      <c r="H75" s="564"/>
      <c r="I75" s="564"/>
      <c r="J75" s="564"/>
      <c r="K75" s="564"/>
      <c r="L75" s="565"/>
      <c r="M75" s="566"/>
      <c r="N75" s="1151"/>
      <c r="O75" s="1151"/>
      <c r="P75" s="2679"/>
      <c r="Q75" s="559"/>
    </row>
    <row r="76" spans="1:17" s="471" customFormat="1" ht="15.75" thickBot="1">
      <c r="A76" s="568"/>
      <c r="B76" s="569"/>
      <c r="C76" s="570"/>
      <c r="D76" s="570"/>
      <c r="E76" s="570"/>
      <c r="F76" s="570"/>
      <c r="G76" s="570"/>
      <c r="H76" s="571"/>
      <c r="I76" s="571"/>
      <c r="J76" s="571"/>
      <c r="K76" s="571"/>
      <c r="L76" s="571"/>
      <c r="M76" s="572"/>
      <c r="N76" s="1151"/>
      <c r="O76" s="1151"/>
      <c r="P76" s="2677"/>
      <c r="Q76" s="559"/>
    </row>
    <row r="77" spans="1:17">
      <c r="A77" s="527" t="s">
        <v>2546</v>
      </c>
      <c r="B77" s="528" t="s">
        <v>2684</v>
      </c>
      <c r="C77" s="573" t="s">
        <v>2584</v>
      </c>
      <c r="D77" s="573" t="s">
        <v>2585</v>
      </c>
      <c r="E77" s="573" t="s">
        <v>2586</v>
      </c>
      <c r="F77" s="573" t="s">
        <v>2587</v>
      </c>
      <c r="G77" s="573" t="s">
        <v>2588</v>
      </c>
      <c r="H77" s="529"/>
      <c r="I77" s="529"/>
      <c r="J77" s="529"/>
      <c r="K77" s="574"/>
      <c r="L77" s="575"/>
      <c r="M77" s="576"/>
      <c r="N77" s="1149"/>
      <c r="O77" s="1149"/>
      <c r="P77" s="268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6"/>
      <c r="Q78" s="504"/>
    </row>
    <row r="79" spans="1:17" ht="15.75" thickTop="1">
      <c r="A79" s="534"/>
      <c r="B79" s="538" t="s">
        <v>2589</v>
      </c>
      <c r="C79" s="578" t="s">
        <v>2584</v>
      </c>
      <c r="D79" s="578" t="s">
        <v>2585</v>
      </c>
      <c r="E79" s="578" t="s">
        <v>2586</v>
      </c>
      <c r="F79" s="578" t="s">
        <v>2587</v>
      </c>
      <c r="G79" s="578" t="s">
        <v>2588</v>
      </c>
      <c r="H79" s="539"/>
      <c r="I79" s="539"/>
      <c r="J79" s="539"/>
      <c r="K79" s="540"/>
      <c r="L79" s="541"/>
      <c r="M79" s="542"/>
      <c r="N79" s="1149"/>
      <c r="O79" s="1149"/>
      <c r="P79" s="267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6"/>
      <c r="Q80" s="504"/>
    </row>
    <row r="81" spans="1:17" ht="15.75" thickTop="1">
      <c r="A81" s="534"/>
      <c r="B81" s="538" t="s">
        <v>2590</v>
      </c>
      <c r="C81" s="578" t="s">
        <v>2584</v>
      </c>
      <c r="D81" s="578" t="s">
        <v>2585</v>
      </c>
      <c r="E81" s="578" t="s">
        <v>2586</v>
      </c>
      <c r="F81" s="578" t="s">
        <v>2587</v>
      </c>
      <c r="G81" s="578" t="s">
        <v>2588</v>
      </c>
      <c r="H81" s="539"/>
      <c r="I81" s="539"/>
      <c r="J81" s="539"/>
      <c r="K81" s="540"/>
      <c r="L81" s="541"/>
      <c r="M81" s="542"/>
      <c r="N81" s="1149"/>
      <c r="O81" s="1149"/>
      <c r="P81" s="267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6"/>
      <c r="Q82" s="504"/>
    </row>
    <row r="83" spans="1:17" ht="15.75" thickTop="1">
      <c r="A83" s="534"/>
      <c r="B83" s="546" t="s">
        <v>2676</v>
      </c>
      <c r="C83" s="660" t="s">
        <v>2662</v>
      </c>
      <c r="D83" s="660" t="s">
        <v>2663</v>
      </c>
      <c r="E83" s="660" t="s">
        <v>2664</v>
      </c>
      <c r="F83" s="660" t="s">
        <v>2665</v>
      </c>
      <c r="G83" s="660" t="s">
        <v>2666</v>
      </c>
      <c r="H83" s="539"/>
      <c r="I83" s="539"/>
      <c r="J83" s="539"/>
      <c r="K83" s="539"/>
      <c r="L83" s="539"/>
      <c r="M83" s="1379"/>
      <c r="N83" s="1150"/>
      <c r="O83" s="1150"/>
      <c r="P83" s="267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6"/>
      <c r="Q84" s="504"/>
    </row>
    <row r="85" spans="1:17" ht="15.75" thickTop="1">
      <c r="A85" s="534"/>
      <c r="B85" s="538" t="s">
        <v>2685</v>
      </c>
      <c r="C85" s="578" t="s">
        <v>2584</v>
      </c>
      <c r="D85" s="578" t="s">
        <v>2585</v>
      </c>
      <c r="E85" s="578" t="s">
        <v>2586</v>
      </c>
      <c r="F85" s="578" t="s">
        <v>2587</v>
      </c>
      <c r="G85" s="578" t="s">
        <v>2588</v>
      </c>
      <c r="H85" s="539"/>
      <c r="I85" s="539"/>
      <c r="J85" s="539"/>
      <c r="K85" s="540"/>
      <c r="L85" s="541"/>
      <c r="M85" s="542"/>
      <c r="N85" s="1149"/>
      <c r="O85" s="1149"/>
      <c r="P85" s="267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6"/>
      <c r="Q86" s="504"/>
    </row>
    <row r="87" spans="1:17" s="117" customFormat="1" ht="27.75" thickTop="1">
      <c r="A87" s="579"/>
      <c r="B87" s="538" t="s">
        <v>2686</v>
      </c>
      <c r="C87" s="554"/>
      <c r="D87" s="554"/>
      <c r="E87" s="554"/>
      <c r="F87" s="554"/>
      <c r="G87" s="554"/>
      <c r="H87" s="554"/>
      <c r="I87" s="554"/>
      <c r="J87" s="554"/>
      <c r="K87" s="554"/>
      <c r="L87" s="580"/>
      <c r="M87" s="581"/>
      <c r="N87" s="1148"/>
      <c r="O87" s="1148"/>
      <c r="P87" s="267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6"/>
      <c r="Q88" s="504"/>
    </row>
    <row r="89" spans="1:17" s="117" customFormat="1" ht="15.75" thickTop="1">
      <c r="A89" s="579"/>
      <c r="B89" s="538" t="str">
        <f>B27</f>
        <v>楼层</v>
      </c>
      <c r="C89" s="554"/>
      <c r="D89" s="554"/>
      <c r="E89" s="554"/>
      <c r="F89" s="2627"/>
      <c r="G89" s="554"/>
      <c r="H89" s="554"/>
      <c r="I89" s="554"/>
      <c r="J89" s="554"/>
      <c r="K89" s="554"/>
      <c r="L89" s="554"/>
      <c r="M89" s="581"/>
      <c r="N89" s="1148"/>
      <c r="O89" s="1148"/>
      <c r="P89" s="267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6"/>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7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7"/>
      <c r="Q92" s="559"/>
    </row>
    <row r="93" spans="1:17" ht="15.75" thickTop="1">
      <c r="A93" s="534"/>
      <c r="B93" s="538">
        <f>B29</f>
        <v>111</v>
      </c>
      <c r="C93" s="554"/>
      <c r="D93" s="554"/>
      <c r="E93" s="554"/>
      <c r="F93" s="554"/>
      <c r="G93" s="554"/>
      <c r="H93" s="554"/>
      <c r="I93" s="554"/>
      <c r="J93" s="554"/>
      <c r="K93" s="554"/>
      <c r="L93" s="580"/>
      <c r="M93" s="581"/>
      <c r="N93" s="1149"/>
      <c r="O93" s="1149"/>
      <c r="P93" s="2676"/>
      <c r="Q93" s="504"/>
    </row>
    <row r="94" spans="1:17" ht="15.75" thickBot="1">
      <c r="A94" s="534"/>
      <c r="B94" s="543"/>
      <c r="C94" s="560"/>
      <c r="D94" s="536"/>
      <c r="E94" s="536"/>
      <c r="F94" s="536"/>
      <c r="G94" s="536"/>
      <c r="H94" s="536"/>
      <c r="I94" s="536"/>
      <c r="J94" s="536"/>
      <c r="K94" s="536"/>
      <c r="L94" s="536"/>
      <c r="M94" s="537"/>
      <c r="N94" s="1150"/>
      <c r="O94" s="1150"/>
      <c r="P94" s="2676"/>
      <c r="Q94" s="504"/>
    </row>
    <row r="95" spans="1:17" ht="15.75" thickTop="1">
      <c r="A95" s="534"/>
      <c r="B95" s="538">
        <f>B30</f>
        <v>111</v>
      </c>
      <c r="C95" s="554"/>
      <c r="D95" s="554"/>
      <c r="E95" s="554"/>
      <c r="F95" s="554"/>
      <c r="G95" s="583"/>
      <c r="H95" s="583"/>
      <c r="I95" s="583"/>
      <c r="J95" s="583"/>
      <c r="K95" s="584"/>
      <c r="L95" s="585"/>
      <c r="M95" s="586"/>
      <c r="N95" s="1149"/>
      <c r="O95" s="1149"/>
      <c r="P95" s="2676"/>
      <c r="Q95" s="504"/>
    </row>
    <row r="96" spans="1:17" ht="15.75" thickBot="1">
      <c r="A96" s="534"/>
      <c r="B96" s="543"/>
      <c r="C96" s="560"/>
      <c r="D96" s="560"/>
      <c r="E96" s="560"/>
      <c r="F96" s="560"/>
      <c r="G96" s="536"/>
      <c r="H96" s="536"/>
      <c r="I96" s="536"/>
      <c r="J96" s="536"/>
      <c r="K96" s="536"/>
      <c r="L96" s="536"/>
      <c r="M96" s="537"/>
      <c r="N96" s="1150"/>
      <c r="O96" s="1150"/>
      <c r="P96" s="2676"/>
      <c r="Q96" s="504"/>
    </row>
    <row r="97" spans="1:17" ht="15.75" thickTop="1">
      <c r="A97" s="534"/>
      <c r="B97" s="538">
        <f>B31</f>
        <v>111</v>
      </c>
      <c r="C97" s="554"/>
      <c r="D97" s="554"/>
      <c r="E97" s="554"/>
      <c r="F97" s="554"/>
      <c r="G97" s="583"/>
      <c r="H97" s="583"/>
      <c r="I97" s="583"/>
      <c r="J97" s="583"/>
      <c r="K97" s="584"/>
      <c r="L97" s="585"/>
      <c r="M97" s="586"/>
      <c r="N97" s="1149"/>
      <c r="O97" s="1149"/>
      <c r="P97" s="2676"/>
      <c r="Q97" s="504"/>
    </row>
    <row r="98" spans="1:17" ht="15.75" thickBot="1">
      <c r="A98" s="534"/>
      <c r="B98" s="543"/>
      <c r="C98" s="560"/>
      <c r="D98" s="536"/>
      <c r="E98" s="536"/>
      <c r="F98" s="536"/>
      <c r="G98" s="536"/>
      <c r="H98" s="536"/>
      <c r="I98" s="536"/>
      <c r="J98" s="536"/>
      <c r="K98" s="536"/>
      <c r="L98" s="536"/>
      <c r="M98" s="537"/>
      <c r="N98" s="1150"/>
      <c r="O98" s="1150"/>
      <c r="P98" s="2676"/>
      <c r="Q98" s="504"/>
    </row>
    <row r="99" spans="1:17" ht="15.75" thickTop="1">
      <c r="A99" s="534"/>
      <c r="B99" s="546">
        <f>B32</f>
        <v>111</v>
      </c>
      <c r="C99" s="523"/>
      <c r="D99" s="523"/>
      <c r="E99" s="523"/>
      <c r="F99" s="523"/>
      <c r="G99" s="587"/>
      <c r="H99" s="587"/>
      <c r="I99" s="587"/>
      <c r="J99" s="587"/>
      <c r="K99" s="588"/>
      <c r="L99" s="589"/>
      <c r="M99" s="590"/>
      <c r="N99" s="1149"/>
      <c r="O99" s="1149"/>
      <c r="P99" s="2676"/>
      <c r="Q99" s="504"/>
    </row>
    <row r="100" spans="1:17" ht="15.75" thickBot="1">
      <c r="A100" s="2628"/>
      <c r="B100" s="569"/>
      <c r="C100" s="570"/>
      <c r="D100" s="570"/>
      <c r="E100" s="570"/>
      <c r="F100" s="570"/>
      <c r="G100" s="591"/>
      <c r="H100" s="591"/>
      <c r="I100" s="591"/>
      <c r="J100" s="591"/>
      <c r="K100" s="591"/>
      <c r="L100" s="591"/>
      <c r="M100" s="592"/>
      <c r="N100" s="1150"/>
      <c r="O100" s="1150"/>
      <c r="P100" s="2676"/>
      <c r="Q100" s="504"/>
    </row>
    <row r="101" spans="1:17">
      <c r="A101" s="527" t="s">
        <v>2550</v>
      </c>
      <c r="B101" s="528" t="s">
        <v>2599</v>
      </c>
      <c r="C101" s="530"/>
      <c r="D101" s="530"/>
      <c r="E101" s="530"/>
      <c r="F101" s="530"/>
      <c r="G101" s="530"/>
      <c r="H101" s="530"/>
      <c r="I101" s="530"/>
      <c r="J101" s="530"/>
      <c r="K101" s="531"/>
      <c r="L101" s="532"/>
      <c r="M101" s="533"/>
      <c r="N101" s="1149"/>
      <c r="O101" s="1149"/>
      <c r="P101" s="267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6"/>
      <c r="Q102" s="504"/>
    </row>
    <row r="103" spans="1:17" ht="15.75" thickTop="1">
      <c r="A103" s="534"/>
      <c r="B103" s="538" t="s">
        <v>2600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6"/>
      <c r="Q103" s="504"/>
    </row>
    <row r="104" spans="1:17" s="471" customFormat="1">
      <c r="A104" s="593"/>
      <c r="B104" s="594"/>
      <c r="C104" s="595"/>
      <c r="D104" s="595"/>
      <c r="E104" s="595"/>
      <c r="F104" s="595"/>
      <c r="G104" s="595"/>
      <c r="H104" s="595"/>
      <c r="I104" s="595"/>
      <c r="J104" s="596"/>
      <c r="K104" s="596"/>
      <c r="L104" s="597"/>
      <c r="M104" s="598"/>
      <c r="N104" s="1151"/>
      <c r="O104" s="1151"/>
      <c r="P104" s="2677"/>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77"/>
      <c r="Q105" s="559"/>
    </row>
    <row r="106" spans="1:17" ht="15" thickTop="1">
      <c r="A106" s="599"/>
      <c r="B106" s="538" t="s">
        <v>2601</v>
      </c>
      <c r="C106" s="554"/>
      <c r="D106" s="554"/>
      <c r="E106" s="583"/>
      <c r="F106" s="583"/>
      <c r="G106" s="583"/>
      <c r="H106" s="583"/>
      <c r="I106" s="583"/>
      <c r="J106" s="583"/>
      <c r="K106" s="584"/>
      <c r="L106" s="585"/>
      <c r="M106" s="586"/>
      <c r="N106" s="1149"/>
      <c r="O106" s="1149"/>
      <c r="P106" s="267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6"/>
      <c r="Q107" s="504"/>
    </row>
    <row r="108" spans="1:17" ht="15" thickTop="1">
      <c r="A108" s="599"/>
      <c r="B108" s="538" t="s">
        <v>2603</v>
      </c>
      <c r="C108" s="554"/>
      <c r="D108" s="554"/>
      <c r="E108" s="554"/>
      <c r="F108" s="583"/>
      <c r="G108" s="583"/>
      <c r="H108" s="583"/>
      <c r="I108" s="583"/>
      <c r="J108" s="583"/>
      <c r="K108" s="584"/>
      <c r="L108" s="585"/>
      <c r="M108" s="586"/>
      <c r="N108" s="1149"/>
      <c r="O108" s="1149"/>
      <c r="P108" s="267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6"/>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6"/>
      <c r="Q112" s="504"/>
    </row>
    <row r="113" spans="1:17" s="471" customFormat="1" ht="15" thickTop="1">
      <c r="A113" s="593"/>
      <c r="B113" s="538" t="s">
        <v>2687</v>
      </c>
      <c r="C113" s="554"/>
      <c r="D113" s="554"/>
      <c r="E113" s="554"/>
      <c r="F113" s="554"/>
      <c r="G113" s="554"/>
      <c r="H113" s="583"/>
      <c r="I113" s="583"/>
      <c r="J113" s="583"/>
      <c r="K113" s="584"/>
      <c r="L113" s="585"/>
      <c r="M113" s="586"/>
      <c r="N113" s="1151"/>
      <c r="O113" s="1151"/>
      <c r="P113" s="267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7"/>
      <c r="Q114" s="559"/>
    </row>
    <row r="115" spans="1:17" ht="15" thickTop="1">
      <c r="A115" s="599"/>
      <c r="B115" s="538" t="s">
        <v>2604</v>
      </c>
      <c r="C115" s="554"/>
      <c r="D115" s="554"/>
      <c r="E115" s="583"/>
      <c r="F115" s="583"/>
      <c r="G115" s="583"/>
      <c r="H115" s="583"/>
      <c r="I115" s="583"/>
      <c r="J115" s="583"/>
      <c r="K115" s="584"/>
      <c r="L115" s="585"/>
      <c r="M115" s="586"/>
      <c r="N115" s="1149"/>
      <c r="O115" s="1149"/>
      <c r="P115" s="267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6"/>
      <c r="Q116" s="504"/>
    </row>
    <row r="117" spans="1:17" ht="15" thickTop="1">
      <c r="A117" s="599"/>
      <c r="B117" s="538" t="s">
        <v>2605</v>
      </c>
      <c r="C117" s="554"/>
      <c r="D117" s="554"/>
      <c r="E117" s="554"/>
      <c r="F117" s="554"/>
      <c r="G117" s="554"/>
      <c r="H117" s="583"/>
      <c r="I117" s="583"/>
      <c r="J117" s="583"/>
      <c r="K117" s="584"/>
      <c r="L117" s="585"/>
      <c r="M117" s="586"/>
      <c r="N117" s="1149"/>
      <c r="O117" s="1149"/>
      <c r="P117" s="267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6"/>
      <c r="Q118" s="504"/>
    </row>
    <row r="119" spans="1:17" ht="15" thickTop="1">
      <c r="A119" s="599"/>
      <c r="B119" s="636" t="s">
        <v>2688</v>
      </c>
      <c r="C119" s="583"/>
      <c r="D119" s="583"/>
      <c r="E119" s="583"/>
      <c r="F119" s="583"/>
      <c r="G119" s="583"/>
      <c r="H119" s="583"/>
      <c r="I119" s="583"/>
      <c r="J119" s="583"/>
      <c r="K119" s="583"/>
      <c r="L119" s="2681"/>
      <c r="M119" s="2682"/>
      <c r="N119" s="1150"/>
      <c r="O119" s="1150"/>
      <c r="P119" s="268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6"/>
      <c r="Q120" s="504"/>
    </row>
    <row r="121" spans="1:17" s="471" customFormat="1" ht="15" thickTop="1">
      <c r="A121" s="593"/>
      <c r="B121" s="538" t="s">
        <v>2671</v>
      </c>
      <c r="C121" s="554"/>
      <c r="D121" s="554"/>
      <c r="E121" s="554"/>
      <c r="F121" s="583"/>
      <c r="G121" s="555"/>
      <c r="H121" s="555"/>
      <c r="I121" s="555"/>
      <c r="J121" s="555"/>
      <c r="K121" s="555"/>
      <c r="L121" s="556"/>
      <c r="M121" s="557"/>
      <c r="N121" s="1151"/>
      <c r="O121" s="1151"/>
      <c r="P121" s="2677"/>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77"/>
      <c r="Q122" s="559"/>
    </row>
    <row r="123" spans="1:17" ht="15" thickTop="1">
      <c r="A123" s="599"/>
      <c r="B123" s="538" t="s">
        <v>2607</v>
      </c>
      <c r="C123" s="554"/>
      <c r="D123" s="554"/>
      <c r="E123" s="554"/>
      <c r="F123" s="583"/>
      <c r="G123" s="583"/>
      <c r="H123" s="583"/>
      <c r="I123" s="583"/>
      <c r="J123" s="583"/>
      <c r="K123" s="584"/>
      <c r="L123" s="585"/>
      <c r="M123" s="586"/>
      <c r="N123" s="1149"/>
      <c r="O123" s="1149"/>
      <c r="P123" s="267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6"/>
      <c r="Q124" s="504"/>
    </row>
    <row r="125" spans="1:17" ht="15" thickTop="1">
      <c r="A125" s="599"/>
      <c r="B125" s="538" t="s">
        <v>2608</v>
      </c>
      <c r="C125" s="578" t="s">
        <v>2584</v>
      </c>
      <c r="D125" s="578" t="s">
        <v>2585</v>
      </c>
      <c r="E125" s="578" t="s">
        <v>2586</v>
      </c>
      <c r="F125" s="578" t="s">
        <v>2587</v>
      </c>
      <c r="G125" s="578" t="s">
        <v>2588</v>
      </c>
      <c r="H125" s="539"/>
      <c r="I125" s="539"/>
      <c r="J125" s="539"/>
      <c r="K125" s="540"/>
      <c r="L125" s="541"/>
      <c r="M125" s="542"/>
      <c r="N125" s="1149"/>
      <c r="O125" s="1149"/>
      <c r="P125" s="267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6"/>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77"/>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77"/>
      <c r="Q128" s="559"/>
    </row>
    <row r="129" spans="1:17" ht="15" thickTop="1">
      <c r="A129" s="599"/>
      <c r="B129" s="538">
        <f>B46</f>
        <v>111</v>
      </c>
      <c r="C129" s="554"/>
      <c r="D129" s="554"/>
      <c r="E129" s="554"/>
      <c r="F129" s="554"/>
      <c r="G129" s="583"/>
      <c r="H129" s="583"/>
      <c r="I129" s="583"/>
      <c r="J129" s="583"/>
      <c r="K129" s="584"/>
      <c r="L129" s="585"/>
      <c r="M129" s="586"/>
      <c r="N129" s="1149"/>
      <c r="O129" s="1149"/>
      <c r="P129" s="2676"/>
      <c r="Q129" s="504"/>
    </row>
    <row r="130" spans="1:17" ht="15.75" thickBot="1">
      <c r="A130" s="534"/>
      <c r="B130" s="543"/>
      <c r="C130" s="560"/>
      <c r="D130" s="560"/>
      <c r="E130" s="560"/>
      <c r="F130" s="560"/>
      <c r="G130" s="536"/>
      <c r="H130" s="536"/>
      <c r="I130" s="536"/>
      <c r="J130" s="536"/>
      <c r="K130" s="536"/>
      <c r="L130" s="536"/>
      <c r="M130" s="537"/>
      <c r="N130" s="1150"/>
      <c r="O130" s="1150"/>
      <c r="P130" s="2676"/>
      <c r="Q130" s="504"/>
    </row>
    <row r="131" spans="1:17" ht="15" thickTop="1">
      <c r="A131" s="599"/>
      <c r="B131" s="546">
        <f>B47</f>
        <v>111</v>
      </c>
      <c r="C131" s="523"/>
      <c r="D131" s="523"/>
      <c r="E131" s="523"/>
      <c r="F131" s="523"/>
      <c r="G131" s="587"/>
      <c r="H131" s="587"/>
      <c r="I131" s="587"/>
      <c r="J131" s="587"/>
      <c r="K131" s="523"/>
      <c r="L131" s="524"/>
      <c r="M131" s="590"/>
      <c r="N131" s="1149"/>
      <c r="O131" s="1149"/>
      <c r="P131" s="2676"/>
      <c r="Q131" s="504"/>
    </row>
    <row r="132" spans="1:17" ht="15.75" thickBot="1">
      <c r="A132" s="2628"/>
      <c r="B132" s="569"/>
      <c r="C132" s="570"/>
      <c r="D132" s="570"/>
      <c r="E132" s="570"/>
      <c r="F132" s="570"/>
      <c r="G132" s="591"/>
      <c r="H132" s="591"/>
      <c r="I132" s="591"/>
      <c r="J132" s="591"/>
      <c r="K132" s="591"/>
      <c r="L132" s="591"/>
      <c r="M132" s="592"/>
      <c r="N132" s="1150"/>
      <c r="O132" s="1150"/>
      <c r="P132" s="267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2515</v>
      </c>
      <c r="B1" s="2661" t="s">
        <v>2689</v>
      </c>
      <c r="C1" s="1617" t="s">
        <v>2517</v>
      </c>
      <c r="D1" s="1618"/>
      <c r="E1" s="1627"/>
      <c r="F1" s="2576"/>
      <c r="G1" s="1628" t="s">
        <v>2630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2317</v>
      </c>
      <c r="B2" s="1415" t="e">
        <f ca="1">IF(C2="——",ROUND(C43*D3/10000,0),ROUND(C43*D3/10000,0)-D2)</f>
        <v>#DIV/0!</v>
      </c>
      <c r="C2" s="2578"/>
      <c r="D2" s="1121" t="e">
        <f ca="1">SUMIF(INDIRECT("'"&amp;F2&amp;"'"&amp;"!A:A"),"承租人权益价值",INDIRECT("'"&amp;F2&amp;"'"&amp;"!c:c"))</f>
        <v>#REF!</v>
      </c>
      <c r="E2" s="2579" t="s">
        <v>2318</v>
      </c>
      <c r="F2" s="2580"/>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2319</v>
      </c>
      <c r="B3" s="609" t="e">
        <f ca="1">IF(C2="——",C43,ROUND(B2*10000/D3,0))</f>
        <v>#DIV/0!</v>
      </c>
      <c r="C3" s="400" t="s">
        <v>2631</v>
      </c>
      <c r="D3" s="399">
        <f>IF(D1="",'数据-汇总表'!E3,SUMIF('数据-汇总表'!$C19:$C33,D1,'数据-汇总表'!$E19:$E33))</f>
        <v>120164.37999999998</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2632</v>
      </c>
      <c r="B4" s="402"/>
      <c r="C4" s="3294" t="s">
        <v>2633</v>
      </c>
      <c r="D4" s="3295"/>
      <c r="E4" s="3296" t="s">
        <v>2634</v>
      </c>
      <c r="F4" s="3297"/>
      <c r="G4" s="3294" t="s">
        <v>2635</v>
      </c>
      <c r="H4" s="3295"/>
      <c r="I4" s="3294" t="s">
        <v>2636</v>
      </c>
      <c r="J4" s="3295"/>
      <c r="K4" s="610" t="s">
        <v>2637</v>
      </c>
      <c r="L4" s="1127"/>
      <c r="M4" s="1128"/>
      <c r="N4" s="1128"/>
      <c r="O4" s="1128"/>
      <c r="P4" s="3298" t="s">
        <v>2638</v>
      </c>
      <c r="Q4" s="3299"/>
      <c r="R4" s="3284" t="s">
        <v>2634</v>
      </c>
      <c r="S4" s="3285"/>
      <c r="T4" s="3284" t="s">
        <v>2635</v>
      </c>
      <c r="U4" s="3285"/>
      <c r="V4" s="3306" t="s">
        <v>2636</v>
      </c>
      <c r="W4" s="3306"/>
      <c r="X4" s="1810"/>
      <c r="Y4" s="3284" t="s">
        <v>2638</v>
      </c>
      <c r="Z4" s="3285"/>
      <c r="AA4" s="3279" t="s">
        <v>2634</v>
      </c>
      <c r="AB4" s="3280" t="s">
        <v>2635</v>
      </c>
      <c r="AC4" s="3279" t="s">
        <v>2636</v>
      </c>
    </row>
    <row r="5" spans="1:29" ht="15">
      <c r="A5" s="404"/>
      <c r="B5" s="405"/>
      <c r="C5" s="3321" t="s">
        <v>2529</v>
      </c>
      <c r="D5" s="3322"/>
      <c r="E5" s="3363" t="s">
        <v>2530</v>
      </c>
      <c r="F5" s="3320"/>
      <c r="G5" s="3321" t="s">
        <v>2531</v>
      </c>
      <c r="H5" s="3322"/>
      <c r="I5" s="3321" t="s">
        <v>2532</v>
      </c>
      <c r="J5" s="3322"/>
      <c r="K5" s="610"/>
      <c r="L5" s="1127"/>
      <c r="M5" s="1128"/>
      <c r="N5" s="1128"/>
      <c r="O5" s="1128"/>
      <c r="P5" s="3300"/>
      <c r="Q5" s="3301"/>
      <c r="R5" s="3286"/>
      <c r="S5" s="3287"/>
      <c r="T5" s="3286"/>
      <c r="U5" s="3287"/>
      <c r="V5" s="3306"/>
      <c r="W5" s="3306"/>
      <c r="X5" s="1810"/>
      <c r="Y5" s="3286"/>
      <c r="Z5" s="3287"/>
      <c r="AA5" s="3280"/>
      <c r="AB5" s="3280"/>
      <c r="AC5" s="3280"/>
    </row>
    <row r="6" spans="1:29" ht="15.75" thickBot="1">
      <c r="A6" s="406"/>
      <c r="B6" s="407"/>
      <c r="C6" s="3323" t="s">
        <v>2533</v>
      </c>
      <c r="D6" s="3324"/>
      <c r="E6" s="3326" t="s">
        <v>2533</v>
      </c>
      <c r="F6" s="3327"/>
      <c r="G6" s="3323" t="s">
        <v>2533</v>
      </c>
      <c r="H6" s="3324"/>
      <c r="I6" s="3323" t="s">
        <v>2533</v>
      </c>
      <c r="J6" s="3324"/>
      <c r="K6" s="610" t="s">
        <v>2534</v>
      </c>
      <c r="L6" s="1127"/>
      <c r="M6" s="1128"/>
      <c r="N6" s="1128"/>
      <c r="O6" s="1128"/>
      <c r="P6" s="3302"/>
      <c r="Q6" s="3303"/>
      <c r="R6" s="3286"/>
      <c r="S6" s="3287"/>
      <c r="T6" s="3304"/>
      <c r="U6" s="3305"/>
      <c r="V6" s="3306"/>
      <c r="W6" s="3306"/>
      <c r="X6" s="1810"/>
      <c r="Y6" s="3304"/>
      <c r="Z6" s="3305"/>
      <c r="AA6" s="3281"/>
      <c r="AB6" s="3281"/>
      <c r="AC6" s="3281"/>
    </row>
    <row r="7" spans="1:29" s="117" customFormat="1" ht="15.75" thickBot="1">
      <c r="A7" s="408" t="s">
        <v>2535</v>
      </c>
      <c r="B7" s="409"/>
      <c r="C7" s="410">
        <f>'数据-取费表'!B2</f>
        <v>43951</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82" t="s">
        <v>2536</v>
      </c>
      <c r="Q7" s="3307"/>
      <c r="R7" s="770" t="s">
        <v>17</v>
      </c>
      <c r="S7" s="771">
        <f t="shared" ref="S7:S15" si="0">F7</f>
        <v>0</v>
      </c>
      <c r="T7" s="770" t="s">
        <v>17</v>
      </c>
      <c r="U7" s="771">
        <f t="shared" ref="U7:U15" si="1">H7</f>
        <v>0</v>
      </c>
      <c r="V7" s="770" t="s">
        <v>17</v>
      </c>
      <c r="W7" s="771">
        <f t="shared" ref="W7:W15" si="2">J7</f>
        <v>0</v>
      </c>
      <c r="X7" s="772"/>
      <c r="Y7" s="3282" t="s">
        <v>2536</v>
      </c>
      <c r="Z7" s="3283"/>
      <c r="AA7" s="773" t="e">
        <f>D7/F7</f>
        <v>#DIV/0!</v>
      </c>
      <c r="AB7" s="773" t="e">
        <f>D7/H7</f>
        <v>#DIV/0!</v>
      </c>
      <c r="AC7" s="773" t="e">
        <f>D7/J7</f>
        <v>#DIV/0!</v>
      </c>
    </row>
    <row r="8" spans="1:29" s="117" customFormat="1" ht="15.75" thickBot="1">
      <c r="A8" s="408" t="s">
        <v>2537</v>
      </c>
      <c r="B8" s="409"/>
      <c r="C8" s="414" t="s">
        <v>2538</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82" t="s">
        <v>2539</v>
      </c>
      <c r="Q8" s="3283"/>
      <c r="R8" s="770" t="s">
        <v>17</v>
      </c>
      <c r="S8" s="771">
        <f t="shared" si="0"/>
        <v>0</v>
      </c>
      <c r="T8" s="770" t="s">
        <v>17</v>
      </c>
      <c r="U8" s="771">
        <f t="shared" si="1"/>
        <v>0</v>
      </c>
      <c r="V8" s="770" t="s">
        <v>17</v>
      </c>
      <c r="W8" s="771">
        <f t="shared" si="2"/>
        <v>0</v>
      </c>
      <c r="X8" s="772"/>
      <c r="Y8" s="3282" t="s">
        <v>2539</v>
      </c>
      <c r="Z8" s="3283"/>
      <c r="AA8" s="773" t="e">
        <f t="shared" ref="AA8:AA40" si="3">D8/F8</f>
        <v>#DIV/0!</v>
      </c>
      <c r="AB8" s="773" t="e">
        <f t="shared" ref="AB8:AB40" si="4">D8/H8</f>
        <v>#DIV/0!</v>
      </c>
      <c r="AC8" s="773" t="e">
        <f t="shared" ref="AC8:AC40" si="5">D8/J8</f>
        <v>#DIV/0!</v>
      </c>
    </row>
    <row r="9" spans="1:29" s="117" customFormat="1">
      <c r="A9" s="415" t="s">
        <v>2540</v>
      </c>
      <c r="B9" s="71" t="s">
        <v>2541</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93" t="s">
        <v>2542</v>
      </c>
      <c r="Q9" s="1792" t="str">
        <f t="shared" ref="Q9:Q15" si="6">B9</f>
        <v>用途</v>
      </c>
      <c r="R9" s="770" t="s">
        <v>17</v>
      </c>
      <c r="S9" s="771">
        <f t="shared" si="0"/>
        <v>100</v>
      </c>
      <c r="T9" s="770" t="s">
        <v>17</v>
      </c>
      <c r="U9" s="771">
        <f t="shared" si="1"/>
        <v>100</v>
      </c>
      <c r="V9" s="770" t="s">
        <v>17</v>
      </c>
      <c r="W9" s="771">
        <f t="shared" si="2"/>
        <v>100</v>
      </c>
      <c r="X9" s="772"/>
      <c r="Y9" s="3125"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93"/>
      <c r="Q10" s="1792" t="str">
        <f t="shared" si="6"/>
        <v>土地使用年限（年）</v>
      </c>
      <c r="R10" s="770" t="s">
        <v>17</v>
      </c>
      <c r="S10" s="771">
        <f t="shared" si="0"/>
        <v>100</v>
      </c>
      <c r="T10" s="770" t="s">
        <v>17</v>
      </c>
      <c r="U10" s="771">
        <f t="shared" si="1"/>
        <v>100</v>
      </c>
      <c r="V10" s="770" t="s">
        <v>17</v>
      </c>
      <c r="W10" s="771">
        <f t="shared" si="2"/>
        <v>100</v>
      </c>
      <c r="X10" s="772"/>
      <c r="Y10" s="3125"/>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93"/>
      <c r="Q11" s="1792" t="str">
        <f t="shared" si="6"/>
        <v>容积率</v>
      </c>
      <c r="R11" s="770" t="s">
        <v>17</v>
      </c>
      <c r="S11" s="771" t="e">
        <f t="shared" si="0"/>
        <v>#N/A</v>
      </c>
      <c r="T11" s="770" t="s">
        <v>17</v>
      </c>
      <c r="U11" s="771" t="e">
        <f t="shared" si="1"/>
        <v>#N/A</v>
      </c>
      <c r="V11" s="770" t="s">
        <v>17</v>
      </c>
      <c r="W11" s="771" t="e">
        <f t="shared" si="2"/>
        <v>#N/A</v>
      </c>
      <c r="X11" s="772"/>
      <c r="Y11" s="3125"/>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136">
        <f>SUMIF(64:64,E12,65:65)-SUMIF(64:64,C12,65:65)+100</f>
        <v>100</v>
      </c>
      <c r="G12" s="2684"/>
      <c r="H12" s="136">
        <f>SUMIF(64:64,G12,65:65)-SUMIF(64:64,C12,65:65)+100</f>
        <v>100</v>
      </c>
      <c r="I12" s="469"/>
      <c r="J12" s="136">
        <f>SUMIF(64:64,I12,65:65)-SUMIF(64:64,C12,65:65)+100</f>
        <v>100</v>
      </c>
      <c r="K12" s="613"/>
      <c r="L12" s="1129"/>
      <c r="M12" s="1130"/>
      <c r="N12" s="1130"/>
      <c r="O12" s="1131"/>
      <c r="P12" s="3293"/>
      <c r="Q12" s="1792">
        <f t="shared" si="6"/>
        <v>111</v>
      </c>
      <c r="R12" s="770" t="s">
        <v>17</v>
      </c>
      <c r="S12" s="771">
        <f t="shared" si="0"/>
        <v>100</v>
      </c>
      <c r="T12" s="770" t="s">
        <v>17</v>
      </c>
      <c r="U12" s="771">
        <f t="shared" si="1"/>
        <v>100</v>
      </c>
      <c r="V12" s="770" t="s">
        <v>17</v>
      </c>
      <c r="W12" s="771">
        <f t="shared" si="2"/>
        <v>100</v>
      </c>
      <c r="X12" s="772"/>
      <c r="Y12" s="3125"/>
      <c r="Z12" s="55">
        <f t="shared" si="7"/>
        <v>111</v>
      </c>
      <c r="AA12" s="773">
        <f>D12/F12</f>
        <v>1</v>
      </c>
      <c r="AB12" s="773">
        <f>D12/H12</f>
        <v>1</v>
      </c>
      <c r="AC12" s="773">
        <f>D12/J12</f>
        <v>1</v>
      </c>
    </row>
    <row r="13" spans="1:29" ht="15">
      <c r="A13" s="428"/>
      <c r="B13" s="2592">
        <v>111</v>
      </c>
      <c r="C13" s="434"/>
      <c r="D13" s="435">
        <v>100</v>
      </c>
      <c r="E13" s="434"/>
      <c r="F13" s="136">
        <f>SUMIF(66:66,E13,67:67)-SUMIF(66:66,C13,67:67)+100</f>
        <v>100</v>
      </c>
      <c r="G13" s="2684"/>
      <c r="H13" s="435">
        <f>SUMIF(66:66,G13,67:67)-SUMIF(66:66,C13,67:67)+100</f>
        <v>100</v>
      </c>
      <c r="I13" s="469"/>
      <c r="J13" s="435">
        <f>SUMIF(66:66,I13,67:67)-SUMIF(66:66,C13,67:67)+100</f>
        <v>100</v>
      </c>
      <c r="K13" s="613"/>
      <c r="L13" s="1137"/>
      <c r="M13" s="1128"/>
      <c r="N13" s="1128"/>
      <c r="O13" s="1136"/>
      <c r="P13" s="3293"/>
      <c r="Q13" s="1792">
        <f t="shared" si="6"/>
        <v>111</v>
      </c>
      <c r="R13" s="770" t="s">
        <v>17</v>
      </c>
      <c r="S13" s="771">
        <f t="shared" si="0"/>
        <v>100</v>
      </c>
      <c r="T13" s="770" t="s">
        <v>17</v>
      </c>
      <c r="U13" s="771">
        <f t="shared" si="1"/>
        <v>100</v>
      </c>
      <c r="V13" s="770" t="s">
        <v>17</v>
      </c>
      <c r="W13" s="771">
        <f t="shared" si="2"/>
        <v>100</v>
      </c>
      <c r="X13" s="772"/>
      <c r="Y13" s="3125"/>
      <c r="Z13" s="55">
        <f t="shared" si="7"/>
        <v>111</v>
      </c>
      <c r="AA13" s="773">
        <f t="shared" si="3"/>
        <v>1</v>
      </c>
      <c r="AB13" s="773">
        <f t="shared" si="4"/>
        <v>1</v>
      </c>
      <c r="AC13" s="773">
        <f t="shared" si="5"/>
        <v>1</v>
      </c>
    </row>
    <row r="14" spans="1:29" ht="15.75" thickBot="1">
      <c r="A14" s="436"/>
      <c r="B14" s="2594">
        <v>111</v>
      </c>
      <c r="C14" s="437"/>
      <c r="D14" s="438">
        <v>100</v>
      </c>
      <c r="E14" s="437"/>
      <c r="F14" s="438">
        <f>SUMIF(68:68,E14,69:69)-SUMIF(68:68,C14,69:69)+100</f>
        <v>100</v>
      </c>
      <c r="G14" s="2684"/>
      <c r="H14" s="438">
        <f>SUMIF(68:68,G14,69:69)-SUMIF(68:68,C14,69:69)+100</f>
        <v>100</v>
      </c>
      <c r="I14" s="469"/>
      <c r="J14" s="438">
        <f>SUMIF(68:68,I14,69:69)-SUMIF(68:68,C14,69:69)+100</f>
        <v>100</v>
      </c>
      <c r="K14" s="613"/>
      <c r="L14" s="1137"/>
      <c r="M14" s="1128"/>
      <c r="N14" s="1128"/>
      <c r="O14" s="1136"/>
      <c r="P14" s="3293"/>
      <c r="Q14" s="1792">
        <f t="shared" si="6"/>
        <v>111</v>
      </c>
      <c r="R14" s="770" t="s">
        <v>17</v>
      </c>
      <c r="S14" s="771">
        <f t="shared" si="0"/>
        <v>100</v>
      </c>
      <c r="T14" s="770" t="s">
        <v>17</v>
      </c>
      <c r="U14" s="771">
        <f t="shared" si="1"/>
        <v>100</v>
      </c>
      <c r="V14" s="770" t="s">
        <v>17</v>
      </c>
      <c r="W14" s="771">
        <f t="shared" si="2"/>
        <v>100</v>
      </c>
      <c r="X14" s="772"/>
      <c r="Y14" s="3125"/>
      <c r="Z14" s="55">
        <f t="shared" si="7"/>
        <v>111</v>
      </c>
      <c r="AA14" s="773">
        <f t="shared" si="3"/>
        <v>1</v>
      </c>
      <c r="AB14" s="773">
        <f t="shared" si="4"/>
        <v>1</v>
      </c>
      <c r="AC14" s="773">
        <f t="shared" si="5"/>
        <v>1</v>
      </c>
    </row>
    <row r="15" spans="1:29" ht="15">
      <c r="A15" s="440" t="s">
        <v>2546</v>
      </c>
      <c r="B15" s="69" t="s">
        <v>2690</v>
      </c>
      <c r="C15" s="2685">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308" t="s">
        <v>2547</v>
      </c>
      <c r="Q15" s="1807" t="str">
        <f t="shared" si="6"/>
        <v>产业集聚程度</v>
      </c>
      <c r="R15" s="774" t="s">
        <v>17</v>
      </c>
      <c r="S15" s="775">
        <f t="shared" si="0"/>
        <v>100</v>
      </c>
      <c r="T15" s="774" t="s">
        <v>17</v>
      </c>
      <c r="U15" s="775">
        <f t="shared" si="1"/>
        <v>100</v>
      </c>
      <c r="V15" s="774" t="s">
        <v>17</v>
      </c>
      <c r="W15" s="775">
        <f t="shared" si="2"/>
        <v>100</v>
      </c>
      <c r="X15" s="1810"/>
      <c r="Y15" s="3308" t="s">
        <v>2547</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36"/>
      <c r="P16" s="3309"/>
      <c r="Q16" s="1807"/>
      <c r="R16" s="774"/>
      <c r="S16" s="775"/>
      <c r="T16" s="774"/>
      <c r="U16" s="775"/>
      <c r="V16" s="774"/>
      <c r="W16" s="775"/>
      <c r="X16" s="1810"/>
      <c r="Y16" s="3309"/>
      <c r="Z16" s="1811"/>
      <c r="AA16" s="1808">
        <v>1</v>
      </c>
      <c r="AB16" s="1808">
        <v>1</v>
      </c>
      <c r="AC16" s="1808">
        <v>1</v>
      </c>
    </row>
    <row r="17" spans="1:29" ht="15">
      <c r="A17" s="428"/>
      <c r="B17" s="451" t="s">
        <v>2090</v>
      </c>
      <c r="C17" s="259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309"/>
      <c r="Q17" s="1807" t="str">
        <f>B17</f>
        <v>交通便捷度</v>
      </c>
      <c r="R17" s="774" t="s">
        <v>17</v>
      </c>
      <c r="S17" s="775">
        <f>F17</f>
        <v>100</v>
      </c>
      <c r="T17" s="774" t="s">
        <v>17</v>
      </c>
      <c r="U17" s="775">
        <f>H17</f>
        <v>100</v>
      </c>
      <c r="V17" s="774" t="s">
        <v>17</v>
      </c>
      <c r="W17" s="775">
        <f>J17</f>
        <v>100</v>
      </c>
      <c r="X17" s="1810"/>
      <c r="Y17" s="3309"/>
      <c r="Z17" s="1811" t="str">
        <f>Q17</f>
        <v>交通便捷度</v>
      </c>
      <c r="AA17" s="1808">
        <f t="shared" si="3"/>
        <v>1</v>
      </c>
      <c r="AB17" s="1808">
        <f t="shared" si="4"/>
        <v>1</v>
      </c>
      <c r="AC17" s="1808">
        <f t="shared" si="5"/>
        <v>1</v>
      </c>
    </row>
    <row r="18" spans="1:29" ht="15">
      <c r="A18" s="428"/>
      <c r="B18" s="456"/>
      <c r="C18" s="2600"/>
      <c r="D18" s="450"/>
      <c r="E18" s="2602"/>
      <c r="F18" s="453"/>
      <c r="G18" s="2601"/>
      <c r="H18" s="448"/>
      <c r="I18" s="2602"/>
      <c r="J18" s="448"/>
      <c r="K18" s="615"/>
      <c r="L18" s="1137"/>
      <c r="M18" s="1128"/>
      <c r="N18" s="1128"/>
      <c r="O18" s="1136"/>
      <c r="P18" s="3309"/>
      <c r="Q18" s="1807"/>
      <c r="R18" s="774"/>
      <c r="S18" s="775"/>
      <c r="T18" s="774"/>
      <c r="U18" s="775"/>
      <c r="V18" s="774"/>
      <c r="W18" s="775"/>
      <c r="X18" s="1810"/>
      <c r="Y18" s="3309"/>
      <c r="Z18" s="1811"/>
      <c r="AA18" s="1808">
        <v>1</v>
      </c>
      <c r="AB18" s="1808">
        <v>1</v>
      </c>
      <c r="AC18" s="1808">
        <v>1</v>
      </c>
    </row>
    <row r="19" spans="1:29" ht="15">
      <c r="A19" s="428"/>
      <c r="B19" s="451" t="s">
        <v>2675</v>
      </c>
      <c r="C19" s="259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309"/>
      <c r="Q19" s="1807" t="str">
        <f>B19</f>
        <v>公共配套设施</v>
      </c>
      <c r="R19" s="774" t="s">
        <v>17</v>
      </c>
      <c r="S19" s="775">
        <f>F19</f>
        <v>100</v>
      </c>
      <c r="T19" s="774" t="s">
        <v>17</v>
      </c>
      <c r="U19" s="775">
        <f>H19</f>
        <v>100</v>
      </c>
      <c r="V19" s="774" t="s">
        <v>17</v>
      </c>
      <c r="W19" s="775">
        <f>J19</f>
        <v>100</v>
      </c>
      <c r="X19" s="1810"/>
      <c r="Y19" s="3309"/>
      <c r="Z19" s="1811" t="str">
        <f>Q19</f>
        <v>公共配套设施</v>
      </c>
      <c r="AA19" s="1808">
        <f t="shared" si="3"/>
        <v>1</v>
      </c>
      <c r="AB19" s="1808">
        <f t="shared" si="4"/>
        <v>1</v>
      </c>
      <c r="AC19" s="1808">
        <f t="shared" si="5"/>
        <v>1</v>
      </c>
    </row>
    <row r="20" spans="1:29" ht="15">
      <c r="A20" s="428"/>
      <c r="B20" s="456"/>
      <c r="C20" s="447"/>
      <c r="D20" s="448"/>
      <c r="E20" s="2597"/>
      <c r="F20" s="449"/>
      <c r="G20" s="2596"/>
      <c r="H20" s="448"/>
      <c r="I20" s="2597"/>
      <c r="J20" s="448"/>
      <c r="K20" s="615"/>
      <c r="L20" s="1137"/>
      <c r="M20" s="1128"/>
      <c r="N20" s="1128"/>
      <c r="O20" s="1136"/>
      <c r="P20" s="3309"/>
      <c r="Q20" s="1807"/>
      <c r="R20" s="774"/>
      <c r="S20" s="775"/>
      <c r="T20" s="774"/>
      <c r="U20" s="775"/>
      <c r="V20" s="774"/>
      <c r="W20" s="775"/>
      <c r="X20" s="1810"/>
      <c r="Y20" s="3309"/>
      <c r="Z20" s="1811"/>
      <c r="AA20" s="1808">
        <v>1</v>
      </c>
      <c r="AB20" s="1808">
        <v>1</v>
      </c>
      <c r="AC20" s="1808">
        <v>1</v>
      </c>
    </row>
    <row r="21" spans="1:29" ht="15">
      <c r="A21" s="428"/>
      <c r="B21" s="1381" t="s">
        <v>2676</v>
      </c>
      <c r="C21" s="259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309"/>
      <c r="Q21" s="1807" t="str">
        <f>B21</f>
        <v>基础设施水平</v>
      </c>
      <c r="R21" s="774" t="s">
        <v>17</v>
      </c>
      <c r="S21" s="775">
        <f>F21</f>
        <v>100</v>
      </c>
      <c r="T21" s="774" t="s">
        <v>17</v>
      </c>
      <c r="U21" s="775">
        <f>H21</f>
        <v>100</v>
      </c>
      <c r="V21" s="774" t="s">
        <v>17</v>
      </c>
      <c r="W21" s="775">
        <f>J21</f>
        <v>100</v>
      </c>
      <c r="X21" s="1810"/>
      <c r="Y21" s="3309"/>
      <c r="Z21" s="1811" t="str">
        <f>Q21</f>
        <v>基础设施水平</v>
      </c>
      <c r="AA21" s="1808">
        <f t="shared" ref="AA21" si="8">D21/F21</f>
        <v>1</v>
      </c>
      <c r="AB21" s="1808">
        <f t="shared" ref="AB21" si="9">D21/H21</f>
        <v>1</v>
      </c>
      <c r="AC21" s="1808">
        <f t="shared" ref="AC21" si="10">D21/J21</f>
        <v>1</v>
      </c>
    </row>
    <row r="22" spans="1:29" ht="15">
      <c r="A22" s="428"/>
      <c r="B22" s="1381"/>
      <c r="C22" s="2600"/>
      <c r="D22" s="448"/>
      <c r="E22" s="447"/>
      <c r="F22" s="449"/>
      <c r="G22" s="447"/>
      <c r="H22" s="448"/>
      <c r="I22" s="447"/>
      <c r="J22" s="448"/>
      <c r="K22" s="1380"/>
      <c r="L22" s="1137"/>
      <c r="M22" s="1128"/>
      <c r="N22" s="1128"/>
      <c r="O22" s="1136"/>
      <c r="P22" s="3309"/>
      <c r="Q22" s="1807"/>
      <c r="R22" s="774"/>
      <c r="S22" s="775"/>
      <c r="T22" s="774"/>
      <c r="U22" s="775"/>
      <c r="V22" s="774"/>
      <c r="W22" s="775"/>
      <c r="X22" s="1810"/>
      <c r="Y22" s="3309"/>
      <c r="Z22" s="1811"/>
      <c r="AA22" s="1808">
        <v>1</v>
      </c>
      <c r="AB22" s="1808">
        <v>1</v>
      </c>
      <c r="AC22" s="1808">
        <v>1</v>
      </c>
    </row>
    <row r="23" spans="1:29" ht="15">
      <c r="A23" s="428"/>
      <c r="B23" s="451" t="s">
        <v>2677</v>
      </c>
      <c r="C23" s="259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309"/>
      <c r="Q23" s="1807" t="str">
        <f>B23</f>
        <v>环境质量</v>
      </c>
      <c r="R23" s="774" t="s">
        <v>17</v>
      </c>
      <c r="S23" s="775">
        <f>F23</f>
        <v>100</v>
      </c>
      <c r="T23" s="774" t="s">
        <v>17</v>
      </c>
      <c r="U23" s="775">
        <f>H23</f>
        <v>100</v>
      </c>
      <c r="V23" s="774" t="s">
        <v>17</v>
      </c>
      <c r="W23" s="775">
        <f>J23</f>
        <v>100</v>
      </c>
      <c r="X23" s="1810"/>
      <c r="Y23" s="3309"/>
      <c r="Z23" s="1811" t="str">
        <f>Q23</f>
        <v>环境质量</v>
      </c>
      <c r="AA23" s="1808">
        <f t="shared" si="3"/>
        <v>1</v>
      </c>
      <c r="AB23" s="1808">
        <f t="shared" si="4"/>
        <v>1</v>
      </c>
      <c r="AC23" s="1808">
        <f t="shared" si="5"/>
        <v>1</v>
      </c>
    </row>
    <row r="24" spans="1:29" ht="15">
      <c r="A24" s="428"/>
      <c r="B24" s="1381"/>
      <c r="C24" s="447"/>
      <c r="D24" s="448"/>
      <c r="E24" s="2597"/>
      <c r="F24" s="449"/>
      <c r="G24" s="2596"/>
      <c r="H24" s="448"/>
      <c r="I24" s="2597"/>
      <c r="J24" s="448"/>
      <c r="K24" s="615"/>
      <c r="L24" s="1137"/>
      <c r="M24" s="1128"/>
      <c r="N24" s="1128"/>
      <c r="O24" s="1136"/>
      <c r="P24" s="3309"/>
      <c r="Q24" s="1807"/>
      <c r="R24" s="774"/>
      <c r="S24" s="775"/>
      <c r="T24" s="774"/>
      <c r="U24" s="775"/>
      <c r="V24" s="774"/>
      <c r="W24" s="775"/>
      <c r="X24" s="1810"/>
      <c r="Y24" s="3309"/>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309"/>
      <c r="Q25" s="1807">
        <f>B25</f>
        <v>111</v>
      </c>
      <c r="R25" s="774" t="s">
        <v>17</v>
      </c>
      <c r="S25" s="775">
        <f>F25</f>
        <v>100</v>
      </c>
      <c r="T25" s="774" t="s">
        <v>17</v>
      </c>
      <c r="U25" s="775">
        <f>H25</f>
        <v>100</v>
      </c>
      <c r="V25" s="774" t="s">
        <v>17</v>
      </c>
      <c r="W25" s="775">
        <f>J25</f>
        <v>100</v>
      </c>
      <c r="X25" s="1810"/>
      <c r="Y25" s="3309"/>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309"/>
      <c r="Q26" s="1807">
        <f t="shared" ref="Q26:Q40" si="11">B26</f>
        <v>111</v>
      </c>
      <c r="R26" s="774" t="s">
        <v>17</v>
      </c>
      <c r="S26" s="775">
        <f>F26</f>
        <v>100</v>
      </c>
      <c r="T26" s="774" t="s">
        <v>17</v>
      </c>
      <c r="U26" s="775">
        <f>H26</f>
        <v>100</v>
      </c>
      <c r="V26" s="774" t="s">
        <v>17</v>
      </c>
      <c r="W26" s="775">
        <f>J26</f>
        <v>100</v>
      </c>
      <c r="X26" s="1810"/>
      <c r="Y26" s="3309"/>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309"/>
      <c r="Q27" s="1792">
        <f t="shared" si="11"/>
        <v>111</v>
      </c>
      <c r="R27" s="770" t="s">
        <v>17</v>
      </c>
      <c r="S27" s="771">
        <f>F27</f>
        <v>100</v>
      </c>
      <c r="T27" s="770" t="s">
        <v>17</v>
      </c>
      <c r="U27" s="771">
        <f>H27</f>
        <v>100</v>
      </c>
      <c r="V27" s="770" t="s">
        <v>17</v>
      </c>
      <c r="W27" s="771">
        <f>J27</f>
        <v>100</v>
      </c>
      <c r="X27" s="772"/>
      <c r="Y27" s="3309"/>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309"/>
      <c r="Q28" s="1807">
        <f t="shared" si="11"/>
        <v>111</v>
      </c>
      <c r="R28" s="774" t="s">
        <v>17</v>
      </c>
      <c r="S28" s="775">
        <f t="shared" ref="S28:S40" si="12">F28</f>
        <v>100</v>
      </c>
      <c r="T28" s="774" t="s">
        <v>17</v>
      </c>
      <c r="U28" s="775">
        <f t="shared" ref="U28:U40" si="13">H28</f>
        <v>100</v>
      </c>
      <c r="V28" s="774" t="s">
        <v>17</v>
      </c>
      <c r="W28" s="775">
        <f t="shared" ref="W28:W40" si="14">J28</f>
        <v>100</v>
      </c>
      <c r="X28" s="1810"/>
      <c r="Y28" s="3309"/>
      <c r="Z28" s="1811">
        <f t="shared" ref="Z28:Z40" si="15">Q28</f>
        <v>111</v>
      </c>
      <c r="AA28" s="1808">
        <f t="shared" si="3"/>
        <v>1</v>
      </c>
      <c r="AB28" s="1808">
        <f t="shared" si="4"/>
        <v>1</v>
      </c>
      <c r="AC28" s="1808">
        <f t="shared" si="5"/>
        <v>1</v>
      </c>
    </row>
    <row r="29" spans="1:29" ht="28.5">
      <c r="A29" s="466" t="s">
        <v>2550</v>
      </c>
      <c r="B29" s="71" t="s">
        <v>2680</v>
      </c>
      <c r="C29" s="2671"/>
      <c r="D29" s="467">
        <v>100</v>
      </c>
      <c r="E29" s="2671"/>
      <c r="F29" s="461">
        <f>SUMIF(88:88,E29,89:89)-SUMIF(88:88,C29,89:89)+100</f>
        <v>100</v>
      </c>
      <c r="G29" s="2671"/>
      <c r="H29" s="435">
        <f>SUMIF(88:88,G29,89:89)-SUMIF(88:88,C29,89:89)+100</f>
        <v>100</v>
      </c>
      <c r="I29" s="2671"/>
      <c r="J29" s="467">
        <f>SUMIF(88:88,I29,89:89)-SUMIF(88:88,C29,89:89)+100</f>
        <v>100</v>
      </c>
      <c r="K29" s="612"/>
      <c r="L29" s="1137"/>
      <c r="M29" s="1128"/>
      <c r="N29" s="1128"/>
      <c r="O29" s="1136"/>
      <c r="P29" s="3310" t="s">
        <v>2552</v>
      </c>
      <c r="Q29" s="1807" t="str">
        <f t="shared" si="11"/>
        <v>建筑类型</v>
      </c>
      <c r="R29" s="774" t="s">
        <v>17</v>
      </c>
      <c r="S29" s="775">
        <f t="shared" si="12"/>
        <v>100</v>
      </c>
      <c r="T29" s="774" t="s">
        <v>17</v>
      </c>
      <c r="U29" s="775">
        <f t="shared" si="13"/>
        <v>100</v>
      </c>
      <c r="V29" s="774" t="s">
        <v>17</v>
      </c>
      <c r="W29" s="775">
        <f t="shared" si="14"/>
        <v>100</v>
      </c>
      <c r="X29" s="1810"/>
      <c r="Y29" s="3311" t="s">
        <v>2552</v>
      </c>
      <c r="Z29" s="1811" t="str">
        <f t="shared" si="15"/>
        <v>建筑类型</v>
      </c>
      <c r="AA29" s="1808">
        <f t="shared" si="3"/>
        <v>1</v>
      </c>
      <c r="AB29" s="1808">
        <f t="shared" si="4"/>
        <v>1</v>
      </c>
      <c r="AC29" s="1808">
        <f t="shared" si="5"/>
        <v>1</v>
      </c>
    </row>
    <row r="30" spans="1:29" s="471" customFormat="1" ht="15">
      <c r="A30" s="468"/>
      <c r="B30" s="422" t="s">
        <v>2553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311"/>
      <c r="Q30" s="776" t="str">
        <f t="shared" si="11"/>
        <v>项目建筑规模</v>
      </c>
      <c r="R30" s="777" t="s">
        <v>17</v>
      </c>
      <c r="S30" s="778" t="e">
        <f t="shared" si="12"/>
        <v>#N/A</v>
      </c>
      <c r="T30" s="777" t="s">
        <v>17</v>
      </c>
      <c r="U30" s="778" t="e">
        <f t="shared" si="13"/>
        <v>#N/A</v>
      </c>
      <c r="V30" s="777" t="s">
        <v>17</v>
      </c>
      <c r="W30" s="778" t="e">
        <f t="shared" si="14"/>
        <v>#N/A</v>
      </c>
      <c r="X30" s="779"/>
      <c r="Y30" s="3311"/>
      <c r="Z30" s="780" t="str">
        <f t="shared" si="15"/>
        <v>项目建筑规模</v>
      </c>
      <c r="AA30" s="1808" t="e">
        <f t="shared" si="3"/>
        <v>#N/A</v>
      </c>
      <c r="AB30" s="1808" t="e">
        <f t="shared" si="4"/>
        <v>#N/A</v>
      </c>
      <c r="AC30" s="1808" t="e">
        <f t="shared" si="5"/>
        <v>#N/A</v>
      </c>
    </row>
    <row r="31" spans="1:29" ht="15">
      <c r="A31" s="472"/>
      <c r="B31" s="422" t="s">
        <v>2554</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311"/>
      <c r="Q31" s="1807" t="str">
        <f t="shared" si="11"/>
        <v>建筑结构</v>
      </c>
      <c r="R31" s="774" t="s">
        <v>17</v>
      </c>
      <c r="S31" s="775">
        <f t="shared" si="12"/>
        <v>100</v>
      </c>
      <c r="T31" s="774" t="s">
        <v>17</v>
      </c>
      <c r="U31" s="775">
        <f t="shared" si="13"/>
        <v>100</v>
      </c>
      <c r="V31" s="774" t="s">
        <v>17</v>
      </c>
      <c r="W31" s="775">
        <f t="shared" si="14"/>
        <v>100</v>
      </c>
      <c r="X31" s="1810"/>
      <c r="Y31" s="3311"/>
      <c r="Z31" s="1811" t="str">
        <f t="shared" si="15"/>
        <v>建筑结构</v>
      </c>
      <c r="AA31" s="1808">
        <f t="shared" si="3"/>
        <v>1</v>
      </c>
      <c r="AB31" s="1808">
        <f t="shared" si="4"/>
        <v>1</v>
      </c>
      <c r="AC31" s="1808">
        <f t="shared" si="5"/>
        <v>1</v>
      </c>
    </row>
    <row r="32" spans="1:29" ht="15">
      <c r="A32" s="472"/>
      <c r="B32" s="422" t="s">
        <v>2648</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311"/>
      <c r="Q32" s="1807" t="str">
        <f t="shared" si="11"/>
        <v>公共部分装修</v>
      </c>
      <c r="R32" s="774" t="s">
        <v>17</v>
      </c>
      <c r="S32" s="775">
        <f t="shared" si="12"/>
        <v>100</v>
      </c>
      <c r="T32" s="774" t="s">
        <v>17</v>
      </c>
      <c r="U32" s="775">
        <f t="shared" si="13"/>
        <v>100</v>
      </c>
      <c r="V32" s="774" t="s">
        <v>17</v>
      </c>
      <c r="W32" s="775">
        <f t="shared" si="14"/>
        <v>100</v>
      </c>
      <c r="X32" s="1810"/>
      <c r="Y32" s="3311"/>
      <c r="Z32" s="1811" t="str">
        <f t="shared" si="15"/>
        <v>公共部分装修</v>
      </c>
      <c r="AA32" s="1808">
        <f t="shared" si="3"/>
        <v>1</v>
      </c>
      <c r="AB32" s="1808">
        <f t="shared" si="4"/>
        <v>1</v>
      </c>
      <c r="AC32" s="1808">
        <f t="shared" si="5"/>
        <v>1</v>
      </c>
    </row>
    <row r="33" spans="1:29" ht="15">
      <c r="A33" s="472"/>
      <c r="B33" s="422" t="s">
        <v>2649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311"/>
      <c r="Q33" s="1807" t="str">
        <f t="shared" si="11"/>
        <v>成新度</v>
      </c>
      <c r="R33" s="774" t="s">
        <v>17</v>
      </c>
      <c r="S33" s="775" t="e">
        <f t="shared" si="12"/>
        <v>#N/A</v>
      </c>
      <c r="T33" s="774" t="s">
        <v>17</v>
      </c>
      <c r="U33" s="775" t="e">
        <f t="shared" si="13"/>
        <v>#N/A</v>
      </c>
      <c r="V33" s="774" t="s">
        <v>17</v>
      </c>
      <c r="W33" s="775" t="e">
        <f t="shared" si="14"/>
        <v>#N/A</v>
      </c>
      <c r="X33" s="1810"/>
      <c r="Y33" s="3311"/>
      <c r="Z33" s="1811" t="str">
        <f t="shared" si="15"/>
        <v>成新度</v>
      </c>
      <c r="AA33" s="1808" t="e">
        <f t="shared" si="3"/>
        <v>#N/A</v>
      </c>
      <c r="AB33" s="1808" t="e">
        <f t="shared" si="4"/>
        <v>#N/A</v>
      </c>
      <c r="AC33" s="1808"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311"/>
      <c r="Q34" s="1792" t="str">
        <f t="shared" si="11"/>
        <v>物业管理</v>
      </c>
      <c r="R34" s="770" t="s">
        <v>17</v>
      </c>
      <c r="S34" s="771">
        <f t="shared" si="12"/>
        <v>100</v>
      </c>
      <c r="T34" s="770" t="s">
        <v>17</v>
      </c>
      <c r="U34" s="771">
        <f t="shared" si="13"/>
        <v>100</v>
      </c>
      <c r="V34" s="770" t="s">
        <v>17</v>
      </c>
      <c r="W34" s="771">
        <f t="shared" si="14"/>
        <v>100</v>
      </c>
      <c r="X34" s="772"/>
      <c r="Y34" s="3311"/>
      <c r="Z34" s="55" t="str">
        <f t="shared" si="15"/>
        <v>物业管理</v>
      </c>
      <c r="AA34" s="773">
        <f t="shared" si="3"/>
        <v>1</v>
      </c>
      <c r="AB34" s="773">
        <f t="shared" si="4"/>
        <v>1</v>
      </c>
      <c r="AC34" s="773">
        <f t="shared" si="5"/>
        <v>1</v>
      </c>
    </row>
    <row r="35" spans="1:29" ht="15">
      <c r="A35" s="472"/>
      <c r="B35" s="422" t="s">
        <v>2650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311" t="s">
        <v>2552</v>
      </c>
      <c r="Q35" s="1807" t="str">
        <f t="shared" si="11"/>
        <v>市政基础设施</v>
      </c>
      <c r="R35" s="774" t="s">
        <v>17</v>
      </c>
      <c r="S35" s="775">
        <f t="shared" si="12"/>
        <v>100</v>
      </c>
      <c r="T35" s="774" t="s">
        <v>17</v>
      </c>
      <c r="U35" s="775">
        <f t="shared" si="13"/>
        <v>100</v>
      </c>
      <c r="V35" s="774" t="s">
        <v>17</v>
      </c>
      <c r="W35" s="775">
        <f t="shared" si="14"/>
        <v>100</v>
      </c>
      <c r="X35" s="1810"/>
      <c r="Y35" s="3311" t="s">
        <v>2552</v>
      </c>
      <c r="Z35" s="1811" t="str">
        <f t="shared" si="15"/>
        <v>市政基础设施</v>
      </c>
      <c r="AA35" s="1808">
        <f t="shared" si="3"/>
        <v>1</v>
      </c>
      <c r="AB35" s="1808">
        <f t="shared" si="4"/>
        <v>1</v>
      </c>
      <c r="AC35" s="1808">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311"/>
      <c r="Q36" s="1807" t="str">
        <f t="shared" si="11"/>
        <v>内部装修</v>
      </c>
      <c r="R36" s="774" t="s">
        <v>17</v>
      </c>
      <c r="S36" s="775">
        <f t="shared" si="12"/>
        <v>100</v>
      </c>
      <c r="T36" s="774" t="s">
        <v>17</v>
      </c>
      <c r="U36" s="775">
        <f t="shared" si="13"/>
        <v>100</v>
      </c>
      <c r="V36" s="774" t="s">
        <v>17</v>
      </c>
      <c r="W36" s="775">
        <f t="shared" si="14"/>
        <v>100</v>
      </c>
      <c r="X36" s="1810"/>
      <c r="Y36" s="3311"/>
      <c r="Z36" s="1811" t="str">
        <f t="shared" si="15"/>
        <v>内部装修</v>
      </c>
      <c r="AA36" s="1808">
        <f t="shared" si="3"/>
        <v>1</v>
      </c>
      <c r="AB36" s="1808">
        <f t="shared" si="4"/>
        <v>1</v>
      </c>
      <c r="AC36" s="1808">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311"/>
      <c r="Q37" s="1807" t="str">
        <f t="shared" si="11"/>
        <v>内部装修状况</v>
      </c>
      <c r="R37" s="774" t="s">
        <v>17</v>
      </c>
      <c r="S37" s="775">
        <f t="shared" si="12"/>
        <v>100</v>
      </c>
      <c r="T37" s="774" t="s">
        <v>17</v>
      </c>
      <c r="U37" s="775">
        <f t="shared" si="13"/>
        <v>100</v>
      </c>
      <c r="V37" s="774" t="s">
        <v>17</v>
      </c>
      <c r="W37" s="775">
        <f t="shared" si="14"/>
        <v>100</v>
      </c>
      <c r="X37" s="1810"/>
      <c r="Y37" s="3311"/>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311"/>
      <c r="Q38" s="776">
        <f t="shared" si="11"/>
        <v>111</v>
      </c>
      <c r="R38" s="777" t="s">
        <v>17</v>
      </c>
      <c r="S38" s="778">
        <f t="shared" si="12"/>
        <v>100</v>
      </c>
      <c r="T38" s="777" t="s">
        <v>17</v>
      </c>
      <c r="U38" s="778">
        <f t="shared" si="13"/>
        <v>100</v>
      </c>
      <c r="V38" s="777" t="s">
        <v>17</v>
      </c>
      <c r="W38" s="778">
        <f t="shared" si="14"/>
        <v>100</v>
      </c>
      <c r="X38" s="779"/>
      <c r="Y38" s="3311"/>
      <c r="Z38" s="780">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311"/>
      <c r="Q39" s="1807">
        <f t="shared" si="11"/>
        <v>111</v>
      </c>
      <c r="R39" s="774" t="s">
        <v>17</v>
      </c>
      <c r="S39" s="775">
        <f t="shared" si="12"/>
        <v>100</v>
      </c>
      <c r="T39" s="774" t="s">
        <v>17</v>
      </c>
      <c r="U39" s="775">
        <f t="shared" si="13"/>
        <v>100</v>
      </c>
      <c r="V39" s="774" t="s">
        <v>17</v>
      </c>
      <c r="W39" s="775">
        <f t="shared" si="14"/>
        <v>100</v>
      </c>
      <c r="X39" s="1810"/>
      <c r="Y39" s="3311"/>
      <c r="Z39" s="1811">
        <f t="shared" si="15"/>
        <v>111</v>
      </c>
      <c r="AA39" s="1808">
        <f t="shared" si="3"/>
        <v>1</v>
      </c>
      <c r="AB39" s="1808">
        <f t="shared" si="4"/>
        <v>1</v>
      </c>
      <c r="AC39" s="1808">
        <f t="shared" si="5"/>
        <v>1</v>
      </c>
    </row>
    <row r="40" spans="1:29" ht="15.75"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333"/>
      <c r="Q40" s="1807">
        <f t="shared" si="11"/>
        <v>111</v>
      </c>
      <c r="R40" s="774" t="s">
        <v>17</v>
      </c>
      <c r="S40" s="775">
        <f t="shared" si="12"/>
        <v>100</v>
      </c>
      <c r="T40" s="774" t="s">
        <v>17</v>
      </c>
      <c r="U40" s="775">
        <f t="shared" si="13"/>
        <v>100</v>
      </c>
      <c r="V40" s="774" t="s">
        <v>17</v>
      </c>
      <c r="W40" s="775">
        <f t="shared" si="14"/>
        <v>100</v>
      </c>
      <c r="X40" s="1810"/>
      <c r="Y40" s="3333"/>
      <c r="Z40" s="1811">
        <f t="shared" si="15"/>
        <v>111</v>
      </c>
      <c r="AA40" s="1808">
        <f t="shared" si="3"/>
        <v>1</v>
      </c>
      <c r="AB40" s="1808">
        <f t="shared" si="4"/>
        <v>1</v>
      </c>
      <c r="AC40" s="1808">
        <f t="shared" si="5"/>
        <v>1</v>
      </c>
    </row>
    <row r="41" spans="1:29" ht="15">
      <c r="A41" s="479" t="s">
        <v>2564</v>
      </c>
      <c r="B41" s="480"/>
      <c r="C41" s="1404" t="s">
        <v>1</v>
      </c>
      <c r="D41" s="1405"/>
      <c r="E41" s="1406"/>
      <c r="F41" s="1407"/>
      <c r="G41" s="1408"/>
      <c r="H41" s="1409"/>
      <c r="I41" s="1406"/>
      <c r="J41" s="1409"/>
      <c r="K41" s="783"/>
      <c r="L41" s="1140"/>
      <c r="M41" s="1141"/>
      <c r="N41" s="1128"/>
      <c r="O41" s="1141"/>
      <c r="P41" s="3293" t="str">
        <f>A41</f>
        <v>成交单价（元/平方米）</v>
      </c>
      <c r="Q41" s="3293"/>
      <c r="R41" s="3329">
        <f>E41</f>
        <v>0</v>
      </c>
      <c r="S41" s="3329"/>
      <c r="T41" s="3329">
        <f>G41</f>
        <v>0</v>
      </c>
      <c r="U41" s="3329"/>
      <c r="V41" s="3329">
        <f>I41</f>
        <v>0</v>
      </c>
      <c r="W41" s="3329"/>
      <c r="X41" s="759"/>
      <c r="Y41" s="781"/>
      <c r="Z41" s="759"/>
      <c r="AA41" s="759"/>
      <c r="AB41" s="759"/>
      <c r="AC41" s="759"/>
    </row>
    <row r="42" spans="1:29" ht="15.75" thickBot="1">
      <c r="A42" s="486" t="s">
        <v>2656</v>
      </c>
      <c r="B42" s="487"/>
      <c r="C42" s="1410" t="e">
        <f>R43</f>
        <v>#DIV/0!</v>
      </c>
      <c r="D42" s="1411"/>
      <c r="E42" s="1412" t="e">
        <f>R42</f>
        <v>#DIV/0!</v>
      </c>
      <c r="F42" s="1412"/>
      <c r="G42" s="1410" t="e">
        <f>T42</f>
        <v>#DIV/0!</v>
      </c>
      <c r="H42" s="1411"/>
      <c r="I42" s="1412" t="e">
        <f>V42</f>
        <v>#DIV/0!</v>
      </c>
      <c r="J42" s="1411"/>
      <c r="K42" s="784"/>
      <c r="L42" s="1140"/>
      <c r="M42" s="1141"/>
      <c r="N42" s="1128"/>
      <c r="O42" s="1141"/>
      <c r="P42" s="3293" t="str">
        <f>A42</f>
        <v>比较价值（元/平方米）</v>
      </c>
      <c r="Q42" s="3293"/>
      <c r="R42" s="3329" t="e">
        <f>IF(F1="售价",ROUND(PRODUCT(R41,AA7:AA40),0),ROUND(PRODUCT(R41,AA7:AA40),1))</f>
        <v>#DIV/0!</v>
      </c>
      <c r="S42" s="3329"/>
      <c r="T42" s="3329" t="e">
        <f>IF(F1="售价",ROUND(PRODUCT(T41,AB7:AB40),0),ROUND(PRODUCT(T41,AB7:AB40),1))</f>
        <v>#DIV/0!</v>
      </c>
      <c r="U42" s="3329"/>
      <c r="V42" s="3329" t="e">
        <f>IF(F1="售价",ROUND(PRODUCT(V41,AC7:AC40),0),ROUND(PRODUCT(V41,AC7:AC40),1))</f>
        <v>#DIV/0!</v>
      </c>
      <c r="W42" s="3329"/>
      <c r="X42" s="759"/>
      <c r="Y42" s="759"/>
      <c r="Z42" s="759"/>
      <c r="AA42" s="759"/>
      <c r="AB42" s="759"/>
      <c r="AC42" s="759"/>
    </row>
    <row r="43" spans="1:29" ht="15.75" thickBot="1">
      <c r="A43" s="492" t="s">
        <v>2657</v>
      </c>
      <c r="B43" s="493"/>
      <c r="C43" s="1414" t="e">
        <f>R43</f>
        <v>#DIV/0!</v>
      </c>
      <c r="D43" s="1414"/>
      <c r="E43" s="1414"/>
      <c r="F43" s="1414"/>
      <c r="G43" s="1414"/>
      <c r="H43" s="1414"/>
      <c r="I43" s="1414"/>
      <c r="J43" s="1414"/>
      <c r="K43" s="785"/>
      <c r="L43" s="1140"/>
      <c r="M43" s="1141"/>
      <c r="N43" s="1141"/>
      <c r="O43" s="1141"/>
      <c r="P43" s="3313" t="str">
        <f>A43</f>
        <v>估价对象XX用房的比较价值（楼面单价，元/平方米）</v>
      </c>
      <c r="Q43" s="3314"/>
      <c r="R43" s="3328" t="e">
        <f>IF(F1="售价",ROUND(AVERAGE(R42:V42),0),ROUND(AVERAGE(R42:V42),1))</f>
        <v>#DIV/0!</v>
      </c>
      <c r="S43" s="3328"/>
      <c r="T43" s="3328"/>
      <c r="U43" s="3328"/>
      <c r="V43" s="3328"/>
      <c r="W43" s="3328"/>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2661</v>
      </c>
      <c r="B51" s="759"/>
      <c r="C51" s="764"/>
      <c r="D51" s="764"/>
      <c r="E51" s="764"/>
      <c r="F51" s="765"/>
      <c r="G51" s="765"/>
      <c r="H51" s="764"/>
      <c r="I51" s="764"/>
      <c r="J51" s="764"/>
      <c r="K51" s="1157"/>
      <c r="L51" s="1158"/>
      <c r="M51" s="1156"/>
      <c r="N51" s="1156"/>
      <c r="O51" s="1156"/>
      <c r="P51" s="503"/>
      <c r="Q51" s="504"/>
    </row>
    <row r="52" spans="1:17" s="508" customFormat="1" ht="15">
      <c r="A52" s="505" t="s">
        <v>2535</v>
      </c>
      <c r="B52" s="506"/>
      <c r="C52" s="1571" t="str">
        <f>YEAR(C7)&amp;"-"&amp;MONTH(C7)</f>
        <v>2020-4</v>
      </c>
      <c r="D52" s="1572">
        <f>EDATE(C52,-1)</f>
        <v>43891</v>
      </c>
      <c r="E52" s="1572">
        <f t="shared" ref="E52:O52" si="16">EDATE(D52,-1)</f>
        <v>43862</v>
      </c>
      <c r="F52" s="1572">
        <f t="shared" si="16"/>
        <v>43831</v>
      </c>
      <c r="G52" s="1572">
        <f t="shared" si="16"/>
        <v>43800</v>
      </c>
      <c r="H52" s="1572">
        <f t="shared" si="16"/>
        <v>43770</v>
      </c>
      <c r="I52" s="1572">
        <f t="shared" si="16"/>
        <v>43739</v>
      </c>
      <c r="J52" s="1572">
        <f t="shared" si="16"/>
        <v>43709</v>
      </c>
      <c r="K52" s="1572">
        <f t="shared" si="16"/>
        <v>43678</v>
      </c>
      <c r="L52" s="1572">
        <f t="shared" si="16"/>
        <v>43647</v>
      </c>
      <c r="M52" s="1572">
        <f t="shared" si="16"/>
        <v>43617</v>
      </c>
      <c r="N52" s="1572">
        <f t="shared" si="16"/>
        <v>43586</v>
      </c>
      <c r="O52" s="1572">
        <f t="shared" si="16"/>
        <v>43556</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2572</v>
      </c>
      <c r="B54" s="516"/>
      <c r="C54" s="517"/>
      <c r="D54" s="518"/>
      <c r="E54" s="518"/>
      <c r="F54" s="518"/>
      <c r="G54" s="518"/>
      <c r="H54" s="518"/>
      <c r="I54" s="518"/>
      <c r="J54" s="518"/>
      <c r="K54" s="518"/>
      <c r="L54" s="518"/>
      <c r="M54" s="519"/>
      <c r="N54" s="518"/>
      <c r="O54" s="520"/>
      <c r="P54" s="504"/>
      <c r="Q54" s="504"/>
    </row>
    <row r="55" spans="1:17" s="117" customFormat="1" ht="15">
      <c r="A55" s="521" t="s">
        <v>2537</v>
      </c>
      <c r="B55" s="510"/>
      <c r="C55" s="522" t="s">
        <v>2639</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2575</v>
      </c>
      <c r="B57" s="528" t="s">
        <v>2541</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2544</v>
      </c>
      <c r="C59" s="539" t="s">
        <v>2576</v>
      </c>
      <c r="D59" s="539" t="s">
        <v>2577</v>
      </c>
      <c r="E59" s="539" t="s">
        <v>2578</v>
      </c>
      <c r="F59" s="539" t="s">
        <v>2579</v>
      </c>
      <c r="G59" s="539" t="s">
        <v>2580</v>
      </c>
      <c r="H59" s="539" t="s">
        <v>2581</v>
      </c>
      <c r="I59" s="539" t="s">
        <v>2582</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2545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2546</v>
      </c>
      <c r="B70" s="528" t="s">
        <v>2692</v>
      </c>
      <c r="C70" s="573" t="s">
        <v>2584</v>
      </c>
      <c r="D70" s="573" t="s">
        <v>2585</v>
      </c>
      <c r="E70" s="573" t="s">
        <v>2586</v>
      </c>
      <c r="F70" s="573" t="s">
        <v>2587</v>
      </c>
      <c r="G70" s="573" t="s">
        <v>2588</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2589</v>
      </c>
      <c r="C72" s="578" t="s">
        <v>2584</v>
      </c>
      <c r="D72" s="578" t="s">
        <v>2585</v>
      </c>
      <c r="E72" s="578" t="s">
        <v>2586</v>
      </c>
      <c r="F72" s="578" t="s">
        <v>2587</v>
      </c>
      <c r="G72" s="578" t="s">
        <v>2588</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2590</v>
      </c>
      <c r="C74" s="578" t="s">
        <v>2584</v>
      </c>
      <c r="D74" s="578" t="s">
        <v>2585</v>
      </c>
      <c r="E74" s="578" t="s">
        <v>2586</v>
      </c>
      <c r="F74" s="578" t="s">
        <v>2587</v>
      </c>
      <c r="G74" s="578" t="s">
        <v>2588</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2676</v>
      </c>
      <c r="C76" s="660" t="s">
        <v>2662</v>
      </c>
      <c r="D76" s="660" t="s">
        <v>2663</v>
      </c>
      <c r="E76" s="660" t="s">
        <v>2664</v>
      </c>
      <c r="F76" s="660" t="s">
        <v>2665</v>
      </c>
      <c r="G76" s="660" t="s">
        <v>2666</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2685</v>
      </c>
      <c r="C78" s="578" t="s">
        <v>2584</v>
      </c>
      <c r="D78" s="578" t="s">
        <v>2585</v>
      </c>
      <c r="E78" s="578" t="s">
        <v>2586</v>
      </c>
      <c r="F78" s="578" t="s">
        <v>2587</v>
      </c>
      <c r="G78" s="578" t="s">
        <v>2588</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28"/>
      <c r="B87" s="569"/>
      <c r="C87" s="570"/>
      <c r="D87" s="570"/>
      <c r="E87" s="570"/>
      <c r="F87" s="570"/>
      <c r="G87" s="591"/>
      <c r="H87" s="591"/>
      <c r="I87" s="591"/>
      <c r="J87" s="591"/>
      <c r="K87" s="591"/>
      <c r="L87" s="591"/>
      <c r="M87" s="592"/>
      <c r="N87" s="1150"/>
      <c r="O87" s="1150"/>
      <c r="P87" s="45"/>
      <c r="Q87" s="504"/>
    </row>
    <row r="88" spans="1:17">
      <c r="A88" s="527" t="s">
        <v>2550</v>
      </c>
      <c r="B88" s="528" t="s">
        <v>2599</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2601</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2603</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2604</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2605</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2607</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2693</v>
      </c>
      <c r="C106" s="578" t="s">
        <v>2584</v>
      </c>
      <c r="D106" s="578" t="s">
        <v>2585</v>
      </c>
      <c r="E106" s="578" t="s">
        <v>2586</v>
      </c>
      <c r="F106" s="578" t="s">
        <v>2587</v>
      </c>
      <c r="G106" s="578" t="s">
        <v>2588</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28"/>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2694</v>
      </c>
      <c r="B1" s="1616"/>
      <c r="C1" s="1617" t="s">
        <v>2517</v>
      </c>
      <c r="D1" s="1618"/>
      <c r="E1" s="1619"/>
      <c r="F1" s="2576"/>
      <c r="G1" s="1620" t="s">
        <v>2630</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2317</v>
      </c>
      <c r="B2" s="1415" t="e">
        <f ca="1">IF(C2="——",IF(B37="元/平方米",ROUND(C39*D3/10000,0),ROUND(F3*C39/10000,0)),IF(B37="元/平方米",ROUND(C39*D3/10000,0),ROUND(F3*C39/10000,0))-D2)</f>
        <v>#DIV/0!</v>
      </c>
      <c r="C2" s="2578"/>
      <c r="D2" s="1121" t="e">
        <f ca="1">SUMIF(INDIRECT("'"&amp;F2&amp;"'"&amp;"!A:A"),"承租人权益价值",INDIRECT("'"&amp;F2&amp;"'"&amp;"!c:c"))</f>
        <v>#REF!</v>
      </c>
      <c r="E2" s="2579" t="s">
        <v>2318</v>
      </c>
      <c r="F2" s="2580"/>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2631</v>
      </c>
      <c r="D3" s="399">
        <f>SUMIF('数据-汇总表'!$C19:$C33,D1,'数据-汇总表'!$E19:$E33)</f>
        <v>0</v>
      </c>
      <c r="E3" s="400" t="s">
        <v>2695</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2632</v>
      </c>
      <c r="B4" s="402"/>
      <c r="C4" s="3294" t="s">
        <v>2633</v>
      </c>
      <c r="D4" s="3295"/>
      <c r="E4" s="3296" t="s">
        <v>2634</v>
      </c>
      <c r="F4" s="3297"/>
      <c r="G4" s="3294" t="s">
        <v>2635</v>
      </c>
      <c r="H4" s="3295"/>
      <c r="I4" s="3294" t="s">
        <v>2636</v>
      </c>
      <c r="J4" s="3295"/>
      <c r="K4" s="610" t="s">
        <v>2637</v>
      </c>
      <c r="L4" s="1127"/>
      <c r="M4" s="1128"/>
      <c r="N4" s="1128"/>
      <c r="O4" s="1128"/>
      <c r="P4" s="3298" t="s">
        <v>2638</v>
      </c>
      <c r="Q4" s="3299"/>
      <c r="R4" s="3284" t="s">
        <v>2634</v>
      </c>
      <c r="S4" s="3285"/>
      <c r="T4" s="3284" t="s">
        <v>2635</v>
      </c>
      <c r="U4" s="3285"/>
      <c r="V4" s="3306" t="s">
        <v>2636</v>
      </c>
      <c r="W4" s="3306"/>
      <c r="X4" s="1810"/>
      <c r="Y4" s="3284" t="s">
        <v>2638</v>
      </c>
      <c r="Z4" s="3285"/>
      <c r="AA4" s="3279" t="s">
        <v>2634</v>
      </c>
      <c r="AB4" s="3280" t="s">
        <v>2635</v>
      </c>
      <c r="AC4" s="3279" t="s">
        <v>2636</v>
      </c>
    </row>
    <row r="5" spans="1:29" ht="15">
      <c r="A5" s="404"/>
      <c r="B5" s="405"/>
      <c r="C5" s="3321" t="s">
        <v>2529</v>
      </c>
      <c r="D5" s="3322"/>
      <c r="E5" s="3363" t="s">
        <v>2530</v>
      </c>
      <c r="F5" s="3320"/>
      <c r="G5" s="3321" t="s">
        <v>2531</v>
      </c>
      <c r="H5" s="3322"/>
      <c r="I5" s="3321" t="s">
        <v>2532</v>
      </c>
      <c r="J5" s="3322"/>
      <c r="K5" s="610"/>
      <c r="L5" s="1127"/>
      <c r="M5" s="1128"/>
      <c r="N5" s="1128"/>
      <c r="O5" s="1128"/>
      <c r="P5" s="3300"/>
      <c r="Q5" s="3301"/>
      <c r="R5" s="3286"/>
      <c r="S5" s="3287"/>
      <c r="T5" s="3286"/>
      <c r="U5" s="3287"/>
      <c r="V5" s="3306"/>
      <c r="W5" s="3306"/>
      <c r="X5" s="1810"/>
      <c r="Y5" s="3286"/>
      <c r="Z5" s="3287"/>
      <c r="AA5" s="3280"/>
      <c r="AB5" s="3280"/>
      <c r="AC5" s="3280"/>
    </row>
    <row r="6" spans="1:29" ht="15.75" thickBot="1">
      <c r="A6" s="406"/>
      <c r="B6" s="407"/>
      <c r="C6" s="3323" t="s">
        <v>2533</v>
      </c>
      <c r="D6" s="3324"/>
      <c r="E6" s="3326" t="s">
        <v>2533</v>
      </c>
      <c r="F6" s="3327"/>
      <c r="G6" s="3323" t="s">
        <v>2533</v>
      </c>
      <c r="H6" s="3324"/>
      <c r="I6" s="3323" t="s">
        <v>2533</v>
      </c>
      <c r="J6" s="3324"/>
      <c r="K6" s="610" t="s">
        <v>2534</v>
      </c>
      <c r="L6" s="1127"/>
      <c r="M6" s="1128"/>
      <c r="N6" s="1128"/>
      <c r="O6" s="1128"/>
      <c r="P6" s="3302"/>
      <c r="Q6" s="3303"/>
      <c r="R6" s="3286"/>
      <c r="S6" s="3287"/>
      <c r="T6" s="3304"/>
      <c r="U6" s="3305"/>
      <c r="V6" s="3306"/>
      <c r="W6" s="3306"/>
      <c r="X6" s="1810"/>
      <c r="Y6" s="3304"/>
      <c r="Z6" s="3305"/>
      <c r="AA6" s="3281"/>
      <c r="AB6" s="3281"/>
      <c r="AC6" s="3281"/>
    </row>
    <row r="7" spans="1:29" s="117" customFormat="1" ht="15.75" thickBot="1">
      <c r="A7" s="408" t="s">
        <v>2535</v>
      </c>
      <c r="B7" s="409"/>
      <c r="C7" s="410">
        <f>'数据-取费表'!B2</f>
        <v>43951</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82" t="s">
        <v>2536</v>
      </c>
      <c r="Q7" s="3307"/>
      <c r="R7" s="770" t="s">
        <v>17</v>
      </c>
      <c r="S7" s="771">
        <f t="shared" ref="S7:S14" si="0">F7</f>
        <v>0</v>
      </c>
      <c r="T7" s="770" t="s">
        <v>17</v>
      </c>
      <c r="U7" s="771">
        <f t="shared" ref="U7:U14" si="1">H7</f>
        <v>0</v>
      </c>
      <c r="V7" s="770" t="s">
        <v>17</v>
      </c>
      <c r="W7" s="771">
        <f t="shared" ref="W7:W14" si="2">J7</f>
        <v>0</v>
      </c>
      <c r="X7" s="772"/>
      <c r="Y7" s="3282" t="s">
        <v>2536</v>
      </c>
      <c r="Z7" s="3283"/>
      <c r="AA7" s="773" t="e">
        <f>D7/F7</f>
        <v>#DIV/0!</v>
      </c>
      <c r="AB7" s="773" t="e">
        <f>D7/H7</f>
        <v>#DIV/0!</v>
      </c>
      <c r="AC7" s="773" t="e">
        <f>D7/J7</f>
        <v>#DIV/0!</v>
      </c>
    </row>
    <row r="8" spans="1:29" s="117" customFormat="1" ht="15.75" thickBot="1">
      <c r="A8" s="408" t="s">
        <v>2537</v>
      </c>
      <c r="B8" s="409"/>
      <c r="C8" s="414" t="s">
        <v>2639</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82" t="s">
        <v>2539</v>
      </c>
      <c r="Q8" s="3283"/>
      <c r="R8" s="770" t="s">
        <v>17</v>
      </c>
      <c r="S8" s="771">
        <f t="shared" si="0"/>
        <v>0</v>
      </c>
      <c r="T8" s="770" t="s">
        <v>17</v>
      </c>
      <c r="U8" s="771">
        <f t="shared" si="1"/>
        <v>0</v>
      </c>
      <c r="V8" s="770" t="s">
        <v>17</v>
      </c>
      <c r="W8" s="771">
        <f t="shared" si="2"/>
        <v>0</v>
      </c>
      <c r="X8" s="772"/>
      <c r="Y8" s="3282" t="s">
        <v>2539</v>
      </c>
      <c r="Z8" s="3283"/>
      <c r="AA8" s="773" t="e">
        <f t="shared" ref="AA8:AA36" si="3">D8/F8</f>
        <v>#DIV/0!</v>
      </c>
      <c r="AB8" s="773" t="e">
        <f t="shared" ref="AB8:AB36" si="4">D8/H8</f>
        <v>#DIV/0!</v>
      </c>
      <c r="AC8" s="773" t="e">
        <f t="shared" ref="AC8:AC36" si="5">D8/J8</f>
        <v>#DIV/0!</v>
      </c>
    </row>
    <row r="9" spans="1:29" s="117" customFormat="1">
      <c r="A9" s="68" t="s">
        <v>2540</v>
      </c>
      <c r="B9" s="640" t="s">
        <v>2541</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93" t="s">
        <v>2542</v>
      </c>
      <c r="Q9" s="1792" t="str">
        <f t="shared" ref="Q9:Q14" si="6">B9</f>
        <v>用途</v>
      </c>
      <c r="R9" s="770" t="s">
        <v>17</v>
      </c>
      <c r="S9" s="771">
        <f t="shared" si="0"/>
        <v>100</v>
      </c>
      <c r="T9" s="770" t="s">
        <v>17</v>
      </c>
      <c r="U9" s="771">
        <f t="shared" si="1"/>
        <v>100</v>
      </c>
      <c r="V9" s="770" t="s">
        <v>17</v>
      </c>
      <c r="W9" s="771">
        <f t="shared" si="2"/>
        <v>100</v>
      </c>
      <c r="X9" s="772"/>
      <c r="Y9" s="3125" t="s">
        <v>2543</v>
      </c>
      <c r="Z9" s="55" t="str">
        <f t="shared" ref="Z9:Z14" si="7">Q9</f>
        <v>用途</v>
      </c>
      <c r="AA9" s="773">
        <f t="shared" si="3"/>
        <v>1</v>
      </c>
      <c r="AB9" s="773">
        <f t="shared" si="4"/>
        <v>1</v>
      </c>
      <c r="AC9" s="773">
        <f t="shared" si="5"/>
        <v>1</v>
      </c>
    </row>
    <row r="10" spans="1:29" s="427" customFormat="1" ht="27">
      <c r="A10" s="641"/>
      <c r="B10" s="642" t="s">
        <v>2544</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93"/>
      <c r="Q10" s="1792" t="str">
        <f t="shared" si="6"/>
        <v>土地使用年限（年）</v>
      </c>
      <c r="R10" s="770" t="s">
        <v>17</v>
      </c>
      <c r="S10" s="771">
        <f t="shared" si="0"/>
        <v>100</v>
      </c>
      <c r="T10" s="770" t="s">
        <v>17</v>
      </c>
      <c r="U10" s="771">
        <f t="shared" si="1"/>
        <v>100</v>
      </c>
      <c r="V10" s="770" t="s">
        <v>17</v>
      </c>
      <c r="W10" s="771">
        <f t="shared" si="2"/>
        <v>100</v>
      </c>
      <c r="X10" s="772"/>
      <c r="Y10" s="312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93"/>
      <c r="Q11" s="1792">
        <f t="shared" si="6"/>
        <v>111</v>
      </c>
      <c r="R11" s="770" t="s">
        <v>17</v>
      </c>
      <c r="S11" s="771">
        <f t="shared" si="0"/>
        <v>100</v>
      </c>
      <c r="T11" s="770" t="s">
        <v>17</v>
      </c>
      <c r="U11" s="771">
        <f t="shared" si="1"/>
        <v>100</v>
      </c>
      <c r="V11" s="770" t="s">
        <v>17</v>
      </c>
      <c r="W11" s="771">
        <f t="shared" si="2"/>
        <v>100</v>
      </c>
      <c r="X11" s="772"/>
      <c r="Y11" s="312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93"/>
      <c r="Q12" s="1792">
        <f t="shared" si="6"/>
        <v>111</v>
      </c>
      <c r="R12" s="770" t="s">
        <v>17</v>
      </c>
      <c r="S12" s="771">
        <f t="shared" si="0"/>
        <v>100</v>
      </c>
      <c r="T12" s="770" t="s">
        <v>17</v>
      </c>
      <c r="U12" s="771">
        <f t="shared" si="1"/>
        <v>100</v>
      </c>
      <c r="V12" s="770" t="s">
        <v>17</v>
      </c>
      <c r="W12" s="771">
        <f t="shared" si="2"/>
        <v>100</v>
      </c>
      <c r="X12" s="772"/>
      <c r="Y12" s="312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93"/>
      <c r="Q13" s="1792">
        <f t="shared" si="6"/>
        <v>111</v>
      </c>
      <c r="R13" s="770" t="s">
        <v>17</v>
      </c>
      <c r="S13" s="771">
        <f t="shared" si="0"/>
        <v>100</v>
      </c>
      <c r="T13" s="770" t="s">
        <v>17</v>
      </c>
      <c r="U13" s="771">
        <f t="shared" si="1"/>
        <v>100</v>
      </c>
      <c r="V13" s="770" t="s">
        <v>17</v>
      </c>
      <c r="W13" s="771">
        <f t="shared" si="2"/>
        <v>100</v>
      </c>
      <c r="X13" s="772"/>
      <c r="Y13" s="3125"/>
      <c r="Z13" s="55">
        <f t="shared" si="7"/>
        <v>111</v>
      </c>
      <c r="AA13" s="773">
        <f t="shared" si="3"/>
        <v>1</v>
      </c>
      <c r="AB13" s="773">
        <f t="shared" si="4"/>
        <v>1</v>
      </c>
      <c r="AC13" s="773">
        <f t="shared" si="5"/>
        <v>1</v>
      </c>
    </row>
    <row r="14" spans="1:29" ht="15">
      <c r="A14" s="401" t="s">
        <v>2546</v>
      </c>
      <c r="B14" s="629" t="s">
        <v>2696</v>
      </c>
      <c r="C14" s="2685">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308" t="s">
        <v>2547</v>
      </c>
      <c r="Q14" s="1807" t="str">
        <f t="shared" si="6"/>
        <v>交通便捷度</v>
      </c>
      <c r="R14" s="774" t="s">
        <v>17</v>
      </c>
      <c r="S14" s="775">
        <f t="shared" si="0"/>
        <v>100</v>
      </c>
      <c r="T14" s="774" t="s">
        <v>17</v>
      </c>
      <c r="U14" s="775">
        <f t="shared" si="1"/>
        <v>100</v>
      </c>
      <c r="V14" s="774" t="s">
        <v>17</v>
      </c>
      <c r="W14" s="775">
        <f t="shared" si="2"/>
        <v>100</v>
      </c>
      <c r="X14" s="1810"/>
      <c r="Y14" s="3308" t="s">
        <v>2547</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309"/>
      <c r="Q15" s="1807"/>
      <c r="R15" s="774"/>
      <c r="S15" s="775"/>
      <c r="T15" s="774"/>
      <c r="U15" s="775"/>
      <c r="V15" s="774"/>
      <c r="W15" s="775"/>
      <c r="X15" s="1810"/>
      <c r="Y15" s="3309"/>
      <c r="Z15" s="1811"/>
      <c r="AA15" s="1808">
        <v>1</v>
      </c>
      <c r="AB15" s="1808">
        <v>1</v>
      </c>
      <c r="AC15" s="1808">
        <v>1</v>
      </c>
    </row>
    <row r="16" spans="1:29" ht="15">
      <c r="A16" s="404"/>
      <c r="B16" s="631" t="s">
        <v>2675</v>
      </c>
      <c r="C16" s="2599">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309"/>
      <c r="Q16" s="1807" t="str">
        <f>B16</f>
        <v>公共配套设施</v>
      </c>
      <c r="R16" s="774" t="s">
        <v>17</v>
      </c>
      <c r="S16" s="775">
        <f>F16</f>
        <v>100</v>
      </c>
      <c r="T16" s="774" t="s">
        <v>17</v>
      </c>
      <c r="U16" s="775">
        <f>H16</f>
        <v>100</v>
      </c>
      <c r="V16" s="774" t="s">
        <v>17</v>
      </c>
      <c r="W16" s="775">
        <f>J16</f>
        <v>100</v>
      </c>
      <c r="X16" s="1810"/>
      <c r="Y16" s="3309"/>
      <c r="Z16" s="1811" t="str">
        <f>Q16</f>
        <v>公共配套设施</v>
      </c>
      <c r="AA16" s="1808">
        <f t="shared" si="3"/>
        <v>1</v>
      </c>
      <c r="AB16" s="1808">
        <f t="shared" si="4"/>
        <v>1</v>
      </c>
      <c r="AC16" s="1808">
        <f t="shared" si="5"/>
        <v>1</v>
      </c>
    </row>
    <row r="17" spans="1:29" ht="15">
      <c r="A17" s="404"/>
      <c r="B17" s="632"/>
      <c r="C17" s="2600"/>
      <c r="D17" s="448"/>
      <c r="E17" s="447"/>
      <c r="F17" s="449"/>
      <c r="G17" s="447"/>
      <c r="H17" s="448"/>
      <c r="I17" s="447"/>
      <c r="J17" s="448"/>
      <c r="K17" s="615"/>
      <c r="L17" s="1137"/>
      <c r="M17" s="1128"/>
      <c r="N17" s="1128"/>
      <c r="O17" s="1128"/>
      <c r="P17" s="3309"/>
      <c r="Q17" s="1807"/>
      <c r="R17" s="774"/>
      <c r="S17" s="775"/>
      <c r="T17" s="774"/>
      <c r="U17" s="775"/>
      <c r="V17" s="774"/>
      <c r="W17" s="775"/>
      <c r="X17" s="1810"/>
      <c r="Y17" s="3309"/>
      <c r="Z17" s="1811"/>
      <c r="AA17" s="1808">
        <v>1</v>
      </c>
      <c r="AB17" s="1808">
        <v>1</v>
      </c>
      <c r="AC17" s="1808">
        <v>1</v>
      </c>
    </row>
    <row r="18" spans="1:29" ht="15">
      <c r="A18" s="404"/>
      <c r="B18" s="633" t="s">
        <v>2676</v>
      </c>
      <c r="C18" s="2599">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309"/>
      <c r="Q18" s="1807" t="str">
        <f>B18</f>
        <v>基础设施水平</v>
      </c>
      <c r="R18" s="774" t="s">
        <v>17</v>
      </c>
      <c r="S18" s="775">
        <f>F18</f>
        <v>100</v>
      </c>
      <c r="T18" s="774" t="s">
        <v>17</v>
      </c>
      <c r="U18" s="775">
        <f>H18</f>
        <v>100</v>
      </c>
      <c r="V18" s="774" t="s">
        <v>17</v>
      </c>
      <c r="W18" s="775">
        <f>J18</f>
        <v>100</v>
      </c>
      <c r="X18" s="1810"/>
      <c r="Y18" s="3309"/>
      <c r="Z18" s="1811" t="str">
        <f>Q18</f>
        <v>基础设施水平</v>
      </c>
      <c r="AA18" s="1808">
        <f t="shared" ref="AA18" si="8">D18/F18</f>
        <v>1</v>
      </c>
      <c r="AB18" s="1808">
        <f t="shared" ref="AB18" si="9">D18/H18</f>
        <v>1</v>
      </c>
      <c r="AC18" s="1808">
        <f t="shared" ref="AC18" si="10">D18/J18</f>
        <v>1</v>
      </c>
    </row>
    <row r="19" spans="1:29" ht="15">
      <c r="A19" s="404"/>
      <c r="B19" s="633"/>
      <c r="C19" s="2600"/>
      <c r="D19" s="450"/>
      <c r="E19" s="2600"/>
      <c r="F19" s="453"/>
      <c r="G19" s="2600"/>
      <c r="H19" s="448"/>
      <c r="I19" s="447"/>
      <c r="J19" s="448"/>
      <c r="K19" s="1380"/>
      <c r="L19" s="1137"/>
      <c r="M19" s="1128"/>
      <c r="N19" s="1128"/>
      <c r="O19" s="1128"/>
      <c r="P19" s="3309"/>
      <c r="Q19" s="1807"/>
      <c r="R19" s="774"/>
      <c r="S19" s="775"/>
      <c r="T19" s="774"/>
      <c r="U19" s="775"/>
      <c r="V19" s="774"/>
      <c r="W19" s="775"/>
      <c r="X19" s="1810"/>
      <c r="Y19" s="3309"/>
      <c r="Z19" s="1811"/>
      <c r="AA19" s="1808">
        <v>1</v>
      </c>
      <c r="AB19" s="1808">
        <v>1</v>
      </c>
      <c r="AC19" s="1808">
        <v>1</v>
      </c>
    </row>
    <row r="20" spans="1:29" ht="15">
      <c r="A20" s="404"/>
      <c r="B20" s="631" t="s">
        <v>2697</v>
      </c>
      <c r="C20" s="2599">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309"/>
      <c r="Q20" s="1807" t="str">
        <f>B20</f>
        <v>自然及人文环境</v>
      </c>
      <c r="R20" s="774" t="s">
        <v>17</v>
      </c>
      <c r="S20" s="775">
        <f>F20</f>
        <v>100</v>
      </c>
      <c r="T20" s="774" t="s">
        <v>17</v>
      </c>
      <c r="U20" s="775">
        <f>H20</f>
        <v>100</v>
      </c>
      <c r="V20" s="774" t="s">
        <v>17</v>
      </c>
      <c r="W20" s="775">
        <f>J20</f>
        <v>100</v>
      </c>
      <c r="X20" s="1810"/>
      <c r="Y20" s="3309"/>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309"/>
      <c r="Q21" s="1807"/>
      <c r="R21" s="774"/>
      <c r="S21" s="775"/>
      <c r="T21" s="774"/>
      <c r="U21" s="775"/>
      <c r="V21" s="774"/>
      <c r="W21" s="775"/>
      <c r="X21" s="1810"/>
      <c r="Y21" s="3309"/>
      <c r="Z21" s="1811"/>
      <c r="AA21" s="1808">
        <v>1</v>
      </c>
      <c r="AB21" s="1808">
        <v>1</v>
      </c>
      <c r="AC21" s="1808">
        <v>1</v>
      </c>
    </row>
    <row r="22" spans="1:29" ht="15">
      <c r="A22" s="404"/>
      <c r="B22" s="631" t="s">
        <v>2698</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309"/>
      <c r="Q22" s="1807" t="str">
        <f>B22</f>
        <v>楼层</v>
      </c>
      <c r="R22" s="774" t="s">
        <v>17</v>
      </c>
      <c r="S22" s="775">
        <f>F22</f>
        <v>100</v>
      </c>
      <c r="T22" s="774" t="s">
        <v>17</v>
      </c>
      <c r="U22" s="775">
        <f>H22</f>
        <v>100</v>
      </c>
      <c r="V22" s="774" t="s">
        <v>17</v>
      </c>
      <c r="W22" s="775">
        <f>J22</f>
        <v>100</v>
      </c>
      <c r="X22" s="1810"/>
      <c r="Y22" s="3309"/>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309"/>
      <c r="Q23" s="1807">
        <f>B23</f>
        <v>111</v>
      </c>
      <c r="R23" s="774" t="s">
        <v>17</v>
      </c>
      <c r="S23" s="775">
        <f>F23</f>
        <v>100</v>
      </c>
      <c r="T23" s="774" t="s">
        <v>17</v>
      </c>
      <c r="U23" s="775">
        <f>H23</f>
        <v>100</v>
      </c>
      <c r="V23" s="774" t="s">
        <v>17</v>
      </c>
      <c r="W23" s="775">
        <f>J23</f>
        <v>100</v>
      </c>
      <c r="X23" s="1810"/>
      <c r="Y23" s="3309"/>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309"/>
      <c r="Q24" s="1807">
        <f t="shared" ref="Q24:Q36" si="11">B24</f>
        <v>111</v>
      </c>
      <c r="R24" s="774" t="s">
        <v>17</v>
      </c>
      <c r="S24" s="775">
        <f>F24</f>
        <v>100</v>
      </c>
      <c r="T24" s="774" t="s">
        <v>17</v>
      </c>
      <c r="U24" s="775">
        <f>H24</f>
        <v>100</v>
      </c>
      <c r="V24" s="774" t="s">
        <v>17</v>
      </c>
      <c r="W24" s="775">
        <f>J24</f>
        <v>100</v>
      </c>
      <c r="X24" s="1810"/>
      <c r="Y24" s="3309"/>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309"/>
      <c r="Q25" s="1792">
        <f t="shared" si="11"/>
        <v>111</v>
      </c>
      <c r="R25" s="770" t="s">
        <v>17</v>
      </c>
      <c r="S25" s="771">
        <f>F25</f>
        <v>100</v>
      </c>
      <c r="T25" s="770" t="s">
        <v>17</v>
      </c>
      <c r="U25" s="771">
        <f>H25</f>
        <v>100</v>
      </c>
      <c r="V25" s="770" t="s">
        <v>17</v>
      </c>
      <c r="W25" s="771">
        <f>J25</f>
        <v>100</v>
      </c>
      <c r="X25" s="772"/>
      <c r="Y25" s="3309"/>
      <c r="Z25" s="55">
        <f>Q25</f>
        <v>111</v>
      </c>
      <c r="AA25" s="1808">
        <f>D25/F25</f>
        <v>1</v>
      </c>
      <c r="AB25" s="1808">
        <f>D25/H25</f>
        <v>1</v>
      </c>
      <c r="AC25" s="1808">
        <f>D25/J25</f>
        <v>1</v>
      </c>
    </row>
    <row r="26" spans="1:29" ht="28.5">
      <c r="A26" s="652" t="s">
        <v>2550</v>
      </c>
      <c r="B26" s="70" t="s">
        <v>2699</v>
      </c>
      <c r="C26" s="2686">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310" t="s">
        <v>2552</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311" t="s">
        <v>2552</v>
      </c>
      <c r="Z26" s="1811" t="str">
        <f t="shared" ref="Z26:Z36" si="15">Q26</f>
        <v>配套类型</v>
      </c>
      <c r="AA26" s="1808">
        <f t="shared" si="3"/>
        <v>1</v>
      </c>
      <c r="AB26" s="1808">
        <f t="shared" si="4"/>
        <v>1</v>
      </c>
      <c r="AC26" s="1808">
        <f t="shared" si="5"/>
        <v>1</v>
      </c>
    </row>
    <row r="27" spans="1:29" s="471" customFormat="1" ht="15">
      <c r="A27" s="653"/>
      <c r="B27" s="654" t="s">
        <v>2700</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311"/>
      <c r="Q27" s="776" t="str">
        <f t="shared" si="11"/>
        <v>项目停车位配比</v>
      </c>
      <c r="R27" s="777" t="s">
        <v>17</v>
      </c>
      <c r="S27" s="778">
        <f t="shared" si="12"/>
        <v>100</v>
      </c>
      <c r="T27" s="777" t="s">
        <v>17</v>
      </c>
      <c r="U27" s="778">
        <f t="shared" si="13"/>
        <v>100</v>
      </c>
      <c r="V27" s="777" t="s">
        <v>17</v>
      </c>
      <c r="W27" s="778">
        <f t="shared" si="14"/>
        <v>100</v>
      </c>
      <c r="X27" s="779"/>
      <c r="Y27" s="3311"/>
      <c r="Z27" s="780" t="str">
        <f t="shared" si="15"/>
        <v>项目停车位配比</v>
      </c>
      <c r="AA27" s="1808">
        <f t="shared" si="3"/>
        <v>1</v>
      </c>
      <c r="AB27" s="1808">
        <f t="shared" si="4"/>
        <v>1</v>
      </c>
      <c r="AC27" s="1808">
        <f t="shared" si="5"/>
        <v>1</v>
      </c>
    </row>
    <row r="28" spans="1:29" ht="15">
      <c r="A28" s="656"/>
      <c r="B28" s="654" t="s">
        <v>2701</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311"/>
      <c r="Q28" s="1807" t="str">
        <f t="shared" si="11"/>
        <v>公共部分装修</v>
      </c>
      <c r="R28" s="774" t="s">
        <v>17</v>
      </c>
      <c r="S28" s="775">
        <f t="shared" si="12"/>
        <v>100</v>
      </c>
      <c r="T28" s="774" t="s">
        <v>17</v>
      </c>
      <c r="U28" s="775">
        <f t="shared" si="13"/>
        <v>100</v>
      </c>
      <c r="V28" s="774" t="s">
        <v>17</v>
      </c>
      <c r="W28" s="775">
        <f t="shared" si="14"/>
        <v>100</v>
      </c>
      <c r="X28" s="1810"/>
      <c r="Y28" s="3311"/>
      <c r="Z28" s="1811" t="str">
        <f t="shared" si="15"/>
        <v>公共部分装修</v>
      </c>
      <c r="AA28" s="1808">
        <f t="shared" si="3"/>
        <v>1</v>
      </c>
      <c r="AB28" s="1808">
        <f t="shared" si="4"/>
        <v>1</v>
      </c>
      <c r="AC28" s="1808">
        <f t="shared" si="5"/>
        <v>1</v>
      </c>
    </row>
    <row r="29" spans="1:29" ht="15">
      <c r="A29" s="656"/>
      <c r="B29" s="654" t="s">
        <v>2702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311"/>
      <c r="Q29" s="1807" t="str">
        <f t="shared" si="11"/>
        <v>成新率</v>
      </c>
      <c r="R29" s="774" t="s">
        <v>17</v>
      </c>
      <c r="S29" s="775" t="e">
        <f t="shared" si="12"/>
        <v>#N/A</v>
      </c>
      <c r="T29" s="774" t="s">
        <v>17</v>
      </c>
      <c r="U29" s="775" t="e">
        <f t="shared" si="13"/>
        <v>#N/A</v>
      </c>
      <c r="V29" s="774" t="s">
        <v>17</v>
      </c>
      <c r="W29" s="775" t="e">
        <f t="shared" si="14"/>
        <v>#N/A</v>
      </c>
      <c r="X29" s="1810"/>
      <c r="Y29" s="3311"/>
      <c r="Z29" s="1811" t="str">
        <f t="shared" si="15"/>
        <v>成新率</v>
      </c>
      <c r="AA29" s="1808" t="e">
        <f t="shared" si="3"/>
        <v>#N/A</v>
      </c>
      <c r="AB29" s="1808" t="e">
        <f t="shared" si="4"/>
        <v>#N/A</v>
      </c>
      <c r="AC29" s="1808" t="e">
        <f t="shared" si="5"/>
        <v>#N/A</v>
      </c>
    </row>
    <row r="30" spans="1:29" ht="15">
      <c r="A30" s="656"/>
      <c r="B30" s="654" t="s">
        <v>2703</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311"/>
      <c r="Q30" s="1807" t="str">
        <f t="shared" si="11"/>
        <v>物业等级</v>
      </c>
      <c r="R30" s="774" t="s">
        <v>17</v>
      </c>
      <c r="S30" s="775">
        <f t="shared" si="12"/>
        <v>100</v>
      </c>
      <c r="T30" s="774" t="s">
        <v>17</v>
      </c>
      <c r="U30" s="775">
        <f t="shared" si="13"/>
        <v>100</v>
      </c>
      <c r="V30" s="774" t="s">
        <v>17</v>
      </c>
      <c r="W30" s="775">
        <f t="shared" si="14"/>
        <v>100</v>
      </c>
      <c r="X30" s="1810"/>
      <c r="Y30" s="3311"/>
      <c r="Z30" s="1811" t="str">
        <f t="shared" si="15"/>
        <v>物业等级</v>
      </c>
      <c r="AA30" s="1808">
        <f t="shared" si="3"/>
        <v>1</v>
      </c>
      <c r="AB30" s="1808">
        <f t="shared" si="4"/>
        <v>1</v>
      </c>
      <c r="AC30" s="1808">
        <f t="shared" si="5"/>
        <v>1</v>
      </c>
    </row>
    <row r="31" spans="1:29" s="117" customFormat="1" ht="15">
      <c r="A31" s="658"/>
      <c r="B31" s="654" t="s">
        <v>2704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311"/>
      <c r="Q31" s="1792" t="str">
        <f t="shared" si="11"/>
        <v>停车位面积</v>
      </c>
      <c r="R31" s="770" t="s">
        <v>17</v>
      </c>
      <c r="S31" s="771" t="e">
        <f t="shared" si="12"/>
        <v>#N/A</v>
      </c>
      <c r="T31" s="770" t="s">
        <v>17</v>
      </c>
      <c r="U31" s="771" t="e">
        <f t="shared" si="13"/>
        <v>#N/A</v>
      </c>
      <c r="V31" s="770" t="s">
        <v>17</v>
      </c>
      <c r="W31" s="771" t="e">
        <f t="shared" si="14"/>
        <v>#N/A</v>
      </c>
      <c r="X31" s="772"/>
      <c r="Y31" s="3311"/>
      <c r="Z31" s="55" t="str">
        <f t="shared" si="15"/>
        <v>停车位面积</v>
      </c>
      <c r="AA31" s="773" t="e">
        <f t="shared" si="3"/>
        <v>#N/A</v>
      </c>
      <c r="AB31" s="773" t="e">
        <f t="shared" si="4"/>
        <v>#N/A</v>
      </c>
      <c r="AC31" s="773" t="e">
        <f t="shared" si="5"/>
        <v>#N/A</v>
      </c>
    </row>
    <row r="32" spans="1:29" ht="15">
      <c r="A32" s="656"/>
      <c r="B32" s="654" t="s">
        <v>2705</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311" t="s">
        <v>2552</v>
      </c>
      <c r="Q32" s="1807" t="str">
        <f t="shared" si="11"/>
        <v>车位类型</v>
      </c>
      <c r="R32" s="774" t="s">
        <v>17</v>
      </c>
      <c r="S32" s="775">
        <f t="shared" si="12"/>
        <v>100</v>
      </c>
      <c r="T32" s="774" t="s">
        <v>17</v>
      </c>
      <c r="U32" s="775">
        <f t="shared" si="13"/>
        <v>100</v>
      </c>
      <c r="V32" s="774" t="s">
        <v>17</v>
      </c>
      <c r="W32" s="775">
        <f t="shared" si="14"/>
        <v>100</v>
      </c>
      <c r="X32" s="1810"/>
      <c r="Y32" s="3311" t="s">
        <v>2552</v>
      </c>
      <c r="Z32" s="1811" t="str">
        <f t="shared" si="15"/>
        <v>车位类型</v>
      </c>
      <c r="AA32" s="1808">
        <f t="shared" si="3"/>
        <v>1</v>
      </c>
      <c r="AB32" s="1808">
        <f t="shared" si="4"/>
        <v>1</v>
      </c>
      <c r="AC32" s="1808">
        <f t="shared" si="5"/>
        <v>1</v>
      </c>
    </row>
    <row r="33" spans="1:29" ht="15">
      <c r="A33" s="656"/>
      <c r="B33" s="654" t="s">
        <v>2706</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311"/>
      <c r="Q33" s="1807" t="str">
        <f t="shared" si="11"/>
        <v>是否直接入户</v>
      </c>
      <c r="R33" s="774" t="s">
        <v>17</v>
      </c>
      <c r="S33" s="775">
        <f t="shared" si="12"/>
        <v>100</v>
      </c>
      <c r="T33" s="774" t="s">
        <v>17</v>
      </c>
      <c r="U33" s="775">
        <f t="shared" si="13"/>
        <v>100</v>
      </c>
      <c r="V33" s="774" t="s">
        <v>17</v>
      </c>
      <c r="W33" s="775">
        <f t="shared" si="14"/>
        <v>100</v>
      </c>
      <c r="X33" s="1810"/>
      <c r="Y33" s="3311"/>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311"/>
      <c r="Q34" s="1807">
        <f t="shared" si="11"/>
        <v>111</v>
      </c>
      <c r="R34" s="774" t="s">
        <v>17</v>
      </c>
      <c r="S34" s="775">
        <f t="shared" si="12"/>
        <v>100</v>
      </c>
      <c r="T34" s="774" t="s">
        <v>17</v>
      </c>
      <c r="U34" s="775">
        <f t="shared" si="13"/>
        <v>100</v>
      </c>
      <c r="V34" s="774" t="s">
        <v>17</v>
      </c>
      <c r="W34" s="775">
        <f t="shared" si="14"/>
        <v>100</v>
      </c>
      <c r="X34" s="1810"/>
      <c r="Y34" s="3311"/>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311"/>
      <c r="Q35" s="776">
        <f t="shared" si="11"/>
        <v>111</v>
      </c>
      <c r="R35" s="777" t="s">
        <v>17</v>
      </c>
      <c r="S35" s="778">
        <f t="shared" si="12"/>
        <v>100</v>
      </c>
      <c r="T35" s="777" t="s">
        <v>17</v>
      </c>
      <c r="U35" s="778">
        <f t="shared" si="13"/>
        <v>100</v>
      </c>
      <c r="V35" s="777" t="s">
        <v>17</v>
      </c>
      <c r="W35" s="778">
        <f t="shared" si="14"/>
        <v>100</v>
      </c>
      <c r="X35" s="779"/>
      <c r="Y35" s="3311"/>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311"/>
      <c r="Q36" s="1807">
        <f t="shared" si="11"/>
        <v>111</v>
      </c>
      <c r="R36" s="774" t="s">
        <v>17</v>
      </c>
      <c r="S36" s="775">
        <f t="shared" si="12"/>
        <v>100</v>
      </c>
      <c r="T36" s="774" t="s">
        <v>17</v>
      </c>
      <c r="U36" s="775">
        <f t="shared" si="13"/>
        <v>100</v>
      </c>
      <c r="V36" s="774" t="s">
        <v>17</v>
      </c>
      <c r="W36" s="775">
        <f t="shared" si="14"/>
        <v>100</v>
      </c>
      <c r="X36" s="1810"/>
      <c r="Y36" s="3311"/>
      <c r="Z36" s="1811">
        <f t="shared" si="15"/>
        <v>111</v>
      </c>
      <c r="AA36" s="1808">
        <f t="shared" si="3"/>
        <v>1</v>
      </c>
      <c r="AB36" s="1808">
        <f t="shared" si="4"/>
        <v>1</v>
      </c>
      <c r="AC36" s="1808">
        <f t="shared" si="5"/>
        <v>1</v>
      </c>
    </row>
    <row r="37" spans="1:29" ht="15">
      <c r="A37" s="479" t="s">
        <v>2707</v>
      </c>
      <c r="B37" s="2687" t="s">
        <v>2708</v>
      </c>
      <c r="C37" s="1404" t="s">
        <v>1</v>
      </c>
      <c r="D37" s="1405"/>
      <c r="E37" s="1406"/>
      <c r="F37" s="1407"/>
      <c r="G37" s="1408"/>
      <c r="H37" s="1409"/>
      <c r="I37" s="1406"/>
      <c r="J37" s="1409"/>
      <c r="K37" s="619"/>
      <c r="L37" s="1140"/>
      <c r="M37" s="1141"/>
      <c r="N37" s="1128"/>
      <c r="O37" s="1141"/>
      <c r="P37" s="3293" t="str">
        <f>A37</f>
        <v>成交单价</v>
      </c>
      <c r="Q37" s="3293"/>
      <c r="R37" s="3329">
        <f>E37</f>
        <v>0</v>
      </c>
      <c r="S37" s="3329"/>
      <c r="T37" s="3329">
        <f>G37</f>
        <v>0</v>
      </c>
      <c r="U37" s="3329"/>
      <c r="V37" s="3329">
        <f>I37</f>
        <v>0</v>
      </c>
      <c r="W37" s="3329"/>
      <c r="X37" s="759"/>
      <c r="Y37" s="781"/>
      <c r="Z37" s="759"/>
      <c r="AA37" s="759"/>
      <c r="AB37" s="759"/>
      <c r="AC37" s="759"/>
    </row>
    <row r="38" spans="1:29" ht="15.75" thickBot="1">
      <c r="A38" s="486" t="s">
        <v>2709</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293" t="str">
        <f>A38</f>
        <v>比较价值（元/平方米）</v>
      </c>
      <c r="Q38" s="3293"/>
      <c r="R38" s="3329" t="e">
        <f>IF(F1="售价",ROUND(PRODUCT(R37,AA7:AA36),0),ROUND(PRODUCT(R37,AA7:AA36),1))</f>
        <v>#DIV/0!</v>
      </c>
      <c r="S38" s="3329"/>
      <c r="T38" s="3329" t="e">
        <f>IF(F1="售价",ROUND(PRODUCT(T37,AB7:AB36),0),ROUND(PRODUCT(T37,AB7:AB36),1))</f>
        <v>#DIV/0!</v>
      </c>
      <c r="U38" s="3329"/>
      <c r="V38" s="3329" t="e">
        <f>IF(F1="售价",ROUND(PRODUCT(V37,AC7:AC36),0),ROUND(PRODUCT(V37,AC7:AC36),1))</f>
        <v>#DIV/0!</v>
      </c>
      <c r="W38" s="3329"/>
      <c r="X38" s="759"/>
      <c r="Y38" s="759"/>
      <c r="Z38" s="759"/>
      <c r="AA38" s="759"/>
      <c r="AB38" s="759"/>
      <c r="AC38" s="759"/>
    </row>
    <row r="39" spans="1:29" ht="15.75" thickBot="1">
      <c r="A39" s="492" t="s">
        <v>2710</v>
      </c>
      <c r="B39" s="493"/>
      <c r="C39" s="1414" t="e">
        <f>R39</f>
        <v>#DIV/0!</v>
      </c>
      <c r="D39" s="1414"/>
      <c r="E39" s="1414"/>
      <c r="F39" s="1414"/>
      <c r="G39" s="1414"/>
      <c r="H39" s="1414"/>
      <c r="I39" s="1414"/>
      <c r="J39" s="1414"/>
      <c r="K39" s="621"/>
      <c r="L39" s="1140"/>
      <c r="M39" s="1141"/>
      <c r="N39" s="1141"/>
      <c r="O39" s="1141"/>
      <c r="P39" s="3313" t="str">
        <f>A39</f>
        <v>估价对象XX用房的比较价值（楼面单价，元/平方米）</v>
      </c>
      <c r="Q39" s="3314"/>
      <c r="R39" s="3328" t="e">
        <f>IF(F1="售价",ROUND(AVERAGE(R38:V38),0),ROUND(AVERAGE(R38:V38),1))</f>
        <v>#DIV/0!</v>
      </c>
      <c r="S39" s="3328"/>
      <c r="T39" s="3328"/>
      <c r="U39" s="3328"/>
      <c r="V39" s="3328"/>
      <c r="W39" s="3328"/>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2711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2712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2713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2714</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2715</v>
      </c>
      <c r="B48" s="506"/>
      <c r="C48" s="1571" t="str">
        <f>YEAR(C7)&amp;"-"&amp;MONTH(C7)</f>
        <v>2020-4</v>
      </c>
      <c r="D48" s="1572">
        <f>EDATE(C48,-1)</f>
        <v>43891</v>
      </c>
      <c r="E48" s="1572">
        <f t="shared" ref="E48:O48" si="16">EDATE(D48,-1)</f>
        <v>43862</v>
      </c>
      <c r="F48" s="1572">
        <f t="shared" si="16"/>
        <v>43831</v>
      </c>
      <c r="G48" s="1572">
        <f t="shared" si="16"/>
        <v>43800</v>
      </c>
      <c r="H48" s="1572">
        <f t="shared" si="16"/>
        <v>43770</v>
      </c>
      <c r="I48" s="1572">
        <f t="shared" si="16"/>
        <v>43739</v>
      </c>
      <c r="J48" s="1572">
        <f t="shared" si="16"/>
        <v>43709</v>
      </c>
      <c r="K48" s="1572">
        <f t="shared" si="16"/>
        <v>43678</v>
      </c>
      <c r="L48" s="1572">
        <f t="shared" si="16"/>
        <v>43647</v>
      </c>
      <c r="M48" s="1572">
        <f t="shared" si="16"/>
        <v>43617</v>
      </c>
      <c r="N48" s="1572">
        <f t="shared" si="16"/>
        <v>43586</v>
      </c>
      <c r="O48" s="1572">
        <f t="shared" si="16"/>
        <v>43556</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2572</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2537</v>
      </c>
      <c r="B51" s="510"/>
      <c r="C51" s="522" t="s">
        <v>2639</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2575</v>
      </c>
      <c r="B53" s="528" t="s">
        <v>2541</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2544</v>
      </c>
      <c r="C55" s="539" t="s">
        <v>2576</v>
      </c>
      <c r="D55" s="539" t="s">
        <v>2577</v>
      </c>
      <c r="E55" s="539" t="s">
        <v>2578</v>
      </c>
      <c r="F55" s="539" t="s">
        <v>2579</v>
      </c>
      <c r="G55" s="539" t="s">
        <v>2580</v>
      </c>
      <c r="H55" s="539" t="s">
        <v>2581</v>
      </c>
      <c r="I55" s="539" t="s">
        <v>2582</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2546</v>
      </c>
      <c r="B63" s="528" t="s">
        <v>2589</v>
      </c>
      <c r="C63" s="573" t="s">
        <v>2584</v>
      </c>
      <c r="D63" s="573" t="s">
        <v>2585</v>
      </c>
      <c r="E63" s="573" t="s">
        <v>2586</v>
      </c>
      <c r="F63" s="573" t="s">
        <v>2587</v>
      </c>
      <c r="G63" s="573" t="s">
        <v>2588</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2590</v>
      </c>
      <c r="C65" s="578" t="s">
        <v>2584</v>
      </c>
      <c r="D65" s="578" t="s">
        <v>2585</v>
      </c>
      <c r="E65" s="578" t="s">
        <v>2586</v>
      </c>
      <c r="F65" s="578" t="s">
        <v>2587</v>
      </c>
      <c r="G65" s="578" t="s">
        <v>2588</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2676</v>
      </c>
      <c r="C67" s="660" t="s">
        <v>2662</v>
      </c>
      <c r="D67" s="660" t="s">
        <v>2663</v>
      </c>
      <c r="E67" s="660" t="s">
        <v>2664</v>
      </c>
      <c r="F67" s="660" t="s">
        <v>2665</v>
      </c>
      <c r="G67" s="660" t="s">
        <v>2666</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2596</v>
      </c>
      <c r="C69" s="578" t="s">
        <v>2584</v>
      </c>
      <c r="D69" s="578" t="s">
        <v>2585</v>
      </c>
      <c r="E69" s="578" t="s">
        <v>2586</v>
      </c>
      <c r="F69" s="578" t="s">
        <v>2587</v>
      </c>
      <c r="G69" s="578" t="s">
        <v>2588</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2716</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2550</v>
      </c>
      <c r="B79" s="528" t="s">
        <v>2717</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2718</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2603</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2719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2720</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2721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2722</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2723</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2694</v>
      </c>
      <c r="B1" s="1616"/>
      <c r="C1" s="1617" t="s">
        <v>2517</v>
      </c>
      <c r="D1" s="1618"/>
      <c r="E1" s="1627"/>
      <c r="F1" s="2576"/>
      <c r="G1" s="1628" t="s">
        <v>2630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2317</v>
      </c>
      <c r="B2" s="1415" t="e">
        <f ca="1">IF(C2="——",ROUND(C37*D3/10000,0),ROUND(C37*D3/10000,0)-D2)</f>
        <v>#DIV/0!</v>
      </c>
      <c r="C2" s="2578"/>
      <c r="D2" s="1121" t="e">
        <f ca="1">SUMIF(INDIRECT("'"&amp;F2&amp;"'"&amp;"!A:A"),"承租人权益价值",INDIRECT("'"&amp;F2&amp;"'"&amp;"!c:c"))</f>
        <v>#REF!</v>
      </c>
      <c r="E2" s="2579" t="s">
        <v>2318</v>
      </c>
      <c r="F2" s="2580"/>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2631</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2632</v>
      </c>
      <c r="B4" s="402"/>
      <c r="C4" s="3294" t="s">
        <v>2633</v>
      </c>
      <c r="D4" s="3295"/>
      <c r="E4" s="3296" t="s">
        <v>2634</v>
      </c>
      <c r="F4" s="3297"/>
      <c r="G4" s="3294" t="s">
        <v>2635</v>
      </c>
      <c r="H4" s="3295"/>
      <c r="I4" s="3294" t="s">
        <v>2636</v>
      </c>
      <c r="J4" s="3295"/>
      <c r="K4" s="610" t="s">
        <v>2637</v>
      </c>
      <c r="L4" s="1127"/>
      <c r="M4" s="1128"/>
      <c r="N4" s="1128"/>
      <c r="O4" s="1128"/>
      <c r="P4" s="3298" t="s">
        <v>2638</v>
      </c>
      <c r="Q4" s="3299"/>
      <c r="R4" s="3284" t="s">
        <v>2634</v>
      </c>
      <c r="S4" s="3285"/>
      <c r="T4" s="3284" t="s">
        <v>2635</v>
      </c>
      <c r="U4" s="3285"/>
      <c r="V4" s="3306" t="s">
        <v>2636</v>
      </c>
      <c r="W4" s="3306"/>
      <c r="X4" s="1810"/>
      <c r="Y4" s="3284" t="s">
        <v>2638</v>
      </c>
      <c r="Z4" s="3285"/>
      <c r="AA4" s="3279" t="s">
        <v>2634</v>
      </c>
      <c r="AB4" s="3280" t="s">
        <v>2635</v>
      </c>
      <c r="AC4" s="3279" t="s">
        <v>2636</v>
      </c>
    </row>
    <row r="5" spans="1:29" ht="15">
      <c r="A5" s="404"/>
      <c r="B5" s="405"/>
      <c r="C5" s="3321" t="s">
        <v>2529</v>
      </c>
      <c r="D5" s="3322"/>
      <c r="E5" s="3363" t="s">
        <v>2530</v>
      </c>
      <c r="F5" s="3320"/>
      <c r="G5" s="3321" t="s">
        <v>2531</v>
      </c>
      <c r="H5" s="3322"/>
      <c r="I5" s="3321" t="s">
        <v>2532</v>
      </c>
      <c r="J5" s="3322"/>
      <c r="K5" s="610"/>
      <c r="L5" s="1127"/>
      <c r="M5" s="1128"/>
      <c r="N5" s="1128"/>
      <c r="O5" s="1128"/>
      <c r="P5" s="3300"/>
      <c r="Q5" s="3301"/>
      <c r="R5" s="3286"/>
      <c r="S5" s="3287"/>
      <c r="T5" s="3286"/>
      <c r="U5" s="3287"/>
      <c r="V5" s="3306"/>
      <c r="W5" s="3306"/>
      <c r="X5" s="1810"/>
      <c r="Y5" s="3286"/>
      <c r="Z5" s="3287"/>
      <c r="AA5" s="3280"/>
      <c r="AB5" s="3280"/>
      <c r="AC5" s="3280"/>
    </row>
    <row r="6" spans="1:29" ht="15.75" thickBot="1">
      <c r="A6" s="406"/>
      <c r="B6" s="407"/>
      <c r="C6" s="3323" t="s">
        <v>2533</v>
      </c>
      <c r="D6" s="3324"/>
      <c r="E6" s="3326" t="s">
        <v>2533</v>
      </c>
      <c r="F6" s="3327"/>
      <c r="G6" s="3323" t="s">
        <v>2533</v>
      </c>
      <c r="H6" s="3324"/>
      <c r="I6" s="3323" t="s">
        <v>2533</v>
      </c>
      <c r="J6" s="3324"/>
      <c r="K6" s="610" t="s">
        <v>2534</v>
      </c>
      <c r="L6" s="1127"/>
      <c r="M6" s="1128"/>
      <c r="N6" s="1128"/>
      <c r="O6" s="1128"/>
      <c r="P6" s="3302"/>
      <c r="Q6" s="3303"/>
      <c r="R6" s="3286"/>
      <c r="S6" s="3287"/>
      <c r="T6" s="3304"/>
      <c r="U6" s="3305"/>
      <c r="V6" s="3306"/>
      <c r="W6" s="3306"/>
      <c r="X6" s="1810"/>
      <c r="Y6" s="3304"/>
      <c r="Z6" s="3305"/>
      <c r="AA6" s="3281"/>
      <c r="AB6" s="3281"/>
      <c r="AC6" s="3281"/>
    </row>
    <row r="7" spans="1:29" s="117" customFormat="1" ht="15.75" thickBot="1">
      <c r="A7" s="408" t="s">
        <v>2535</v>
      </c>
      <c r="B7" s="409"/>
      <c r="C7" s="410">
        <f>'数据-取费表'!B2</f>
        <v>43951</v>
      </c>
      <c r="D7" s="411">
        <v>100</v>
      </c>
      <c r="E7" s="412"/>
      <c r="F7" s="413">
        <f>SUMIF(46:46,YEAR(E7)&amp;"-"&amp;MONTH(E7),47:47)</f>
        <v>0</v>
      </c>
      <c r="G7" s="2688"/>
      <c r="H7" s="411">
        <f>SUMIF(46:46,YEAR(G7)&amp;"-"&amp;MONTH(G7),47:47)</f>
        <v>0</v>
      </c>
      <c r="I7" s="412"/>
      <c r="J7" s="411">
        <f>SUMIF(46:46,YEAR(I7)&amp;"-"&amp;MONTH(I7),47:47)</f>
        <v>0</v>
      </c>
      <c r="K7" s="611"/>
      <c r="L7" s="1129"/>
      <c r="M7" s="1130"/>
      <c r="N7" s="1130"/>
      <c r="O7" s="1130"/>
      <c r="P7" s="3282" t="s">
        <v>2536</v>
      </c>
      <c r="Q7" s="3307"/>
      <c r="R7" s="770" t="s">
        <v>17</v>
      </c>
      <c r="S7" s="771">
        <f t="shared" ref="S7:S14" si="0">F7</f>
        <v>0</v>
      </c>
      <c r="T7" s="770" t="s">
        <v>17</v>
      </c>
      <c r="U7" s="771">
        <f t="shared" ref="U7:U14" si="1">H7</f>
        <v>0</v>
      </c>
      <c r="V7" s="770" t="s">
        <v>17</v>
      </c>
      <c r="W7" s="771">
        <f t="shared" ref="W7:W14" si="2">J7</f>
        <v>0</v>
      </c>
      <c r="X7" s="772"/>
      <c r="Y7" s="3282" t="s">
        <v>2536</v>
      </c>
      <c r="Z7" s="3283"/>
      <c r="AA7" s="773" t="e">
        <f>D7/F7</f>
        <v>#DIV/0!</v>
      </c>
      <c r="AB7" s="773" t="e">
        <f>D7/H7</f>
        <v>#DIV/0!</v>
      </c>
      <c r="AC7" s="773" t="e">
        <f>D7/J7</f>
        <v>#DIV/0!</v>
      </c>
    </row>
    <row r="8" spans="1:29" s="117" customFormat="1" ht="15.75" thickBot="1">
      <c r="A8" s="408" t="s">
        <v>2537</v>
      </c>
      <c r="B8" s="409"/>
      <c r="C8" s="414" t="s">
        <v>2639</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82" t="s">
        <v>2539</v>
      </c>
      <c r="Q8" s="3283"/>
      <c r="R8" s="770" t="s">
        <v>17</v>
      </c>
      <c r="S8" s="771">
        <f t="shared" si="0"/>
        <v>0</v>
      </c>
      <c r="T8" s="770" t="s">
        <v>17</v>
      </c>
      <c r="U8" s="771">
        <f t="shared" si="1"/>
        <v>0</v>
      </c>
      <c r="V8" s="770" t="s">
        <v>17</v>
      </c>
      <c r="W8" s="771">
        <f t="shared" si="2"/>
        <v>0</v>
      </c>
      <c r="X8" s="772"/>
      <c r="Y8" s="3282" t="s">
        <v>2539</v>
      </c>
      <c r="Z8" s="3283"/>
      <c r="AA8" s="773" t="e">
        <f t="shared" ref="AA8:AA34" si="3">D8/F8</f>
        <v>#DIV/0!</v>
      </c>
      <c r="AB8" s="773" t="e">
        <f t="shared" ref="AB8:AB34" si="4">D8/H8</f>
        <v>#DIV/0!</v>
      </c>
      <c r="AC8" s="773" t="e">
        <f t="shared" ref="AC8:AC34" si="5">D8/J8</f>
        <v>#DIV/0!</v>
      </c>
    </row>
    <row r="9" spans="1:29" s="117" customFormat="1">
      <c r="A9" s="415" t="s">
        <v>2540</v>
      </c>
      <c r="B9" s="71" t="s">
        <v>2541</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93" t="s">
        <v>2542</v>
      </c>
      <c r="Q9" s="1792" t="str">
        <f t="shared" ref="Q9:Q14" si="6">B9</f>
        <v>用途</v>
      </c>
      <c r="R9" s="770" t="s">
        <v>17</v>
      </c>
      <c r="S9" s="771">
        <f t="shared" si="0"/>
        <v>100</v>
      </c>
      <c r="T9" s="770" t="s">
        <v>17</v>
      </c>
      <c r="U9" s="771">
        <f t="shared" si="1"/>
        <v>100</v>
      </c>
      <c r="V9" s="770" t="s">
        <v>17</v>
      </c>
      <c r="W9" s="771">
        <f t="shared" si="2"/>
        <v>100</v>
      </c>
      <c r="X9" s="772"/>
      <c r="Y9" s="3125" t="s">
        <v>2543</v>
      </c>
      <c r="Z9" s="55" t="str">
        <f t="shared" ref="Z9:Z14" si="7">Q9</f>
        <v>用途</v>
      </c>
      <c r="AA9" s="773">
        <f t="shared" si="3"/>
        <v>1</v>
      </c>
      <c r="AB9" s="773">
        <f t="shared" si="4"/>
        <v>1</v>
      </c>
      <c r="AC9" s="773">
        <f t="shared" si="5"/>
        <v>1</v>
      </c>
    </row>
    <row r="10" spans="1:29" s="427" customFormat="1" ht="27">
      <c r="A10" s="421"/>
      <c r="B10" s="422" t="s">
        <v>2544</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93"/>
      <c r="Q10" s="1792" t="str">
        <f t="shared" si="6"/>
        <v>土地使用年限（年）</v>
      </c>
      <c r="R10" s="770" t="s">
        <v>17</v>
      </c>
      <c r="S10" s="771">
        <f t="shared" si="0"/>
        <v>100</v>
      </c>
      <c r="T10" s="770" t="s">
        <v>17</v>
      </c>
      <c r="U10" s="771">
        <f t="shared" si="1"/>
        <v>100</v>
      </c>
      <c r="V10" s="770" t="s">
        <v>17</v>
      </c>
      <c r="W10" s="771">
        <f t="shared" si="2"/>
        <v>100</v>
      </c>
      <c r="X10" s="772"/>
      <c r="Y10" s="3125"/>
      <c r="Z10" s="55" t="str">
        <f t="shared" si="7"/>
        <v>土地使用年限（年）</v>
      </c>
      <c r="AA10" s="773">
        <f t="shared" si="3"/>
        <v>1</v>
      </c>
      <c r="AB10" s="773">
        <f t="shared" si="4"/>
        <v>1</v>
      </c>
      <c r="AC10" s="773">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93"/>
      <c r="Q11" s="1792">
        <f t="shared" si="6"/>
        <v>111</v>
      </c>
      <c r="R11" s="770" t="s">
        <v>17</v>
      </c>
      <c r="S11" s="771">
        <f t="shared" si="0"/>
        <v>100</v>
      </c>
      <c r="T11" s="770" t="s">
        <v>17</v>
      </c>
      <c r="U11" s="771">
        <f t="shared" si="1"/>
        <v>100</v>
      </c>
      <c r="V11" s="770" t="s">
        <v>17</v>
      </c>
      <c r="W11" s="771">
        <f t="shared" si="2"/>
        <v>100</v>
      </c>
      <c r="X11" s="772"/>
      <c r="Y11" s="3125"/>
      <c r="Z11" s="55">
        <f t="shared" si="7"/>
        <v>111</v>
      </c>
      <c r="AA11" s="773">
        <f t="shared" si="3"/>
        <v>1</v>
      </c>
      <c r="AB11" s="773">
        <f t="shared" si="4"/>
        <v>1</v>
      </c>
      <c r="AC11" s="773">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93"/>
      <c r="Q12" s="1792">
        <f t="shared" si="6"/>
        <v>111</v>
      </c>
      <c r="R12" s="770" t="s">
        <v>17</v>
      </c>
      <c r="S12" s="771">
        <f t="shared" si="0"/>
        <v>100</v>
      </c>
      <c r="T12" s="770" t="s">
        <v>17</v>
      </c>
      <c r="U12" s="771">
        <f t="shared" si="1"/>
        <v>100</v>
      </c>
      <c r="V12" s="770" t="s">
        <v>17</v>
      </c>
      <c r="W12" s="771">
        <f t="shared" si="2"/>
        <v>100</v>
      </c>
      <c r="X12" s="772"/>
      <c r="Y12" s="3125"/>
      <c r="Z12" s="55">
        <f t="shared" si="7"/>
        <v>111</v>
      </c>
      <c r="AA12" s="773">
        <f>D12/F12</f>
        <v>1</v>
      </c>
      <c r="AB12" s="773">
        <f>D12/H12</f>
        <v>1</v>
      </c>
      <c r="AC12" s="773">
        <f>D12/J12</f>
        <v>1</v>
      </c>
    </row>
    <row r="13" spans="1:29" ht="15.75" thickBot="1">
      <c r="A13" s="428"/>
      <c r="B13" s="2592">
        <v>111</v>
      </c>
      <c r="C13" s="434"/>
      <c r="D13" s="435">
        <v>100</v>
      </c>
      <c r="E13" s="469"/>
      <c r="F13" s="425">
        <f>SUMIF(59:59,E13,60:60)-SUMIF(59:59,C13,60:60)+100</f>
        <v>100</v>
      </c>
      <c r="G13" s="2689"/>
      <c r="H13" s="438">
        <f>SUMIF(59:59,G13,60:60)-SUMIF(59:59,C13,60:60)+100</f>
        <v>100</v>
      </c>
      <c r="I13" s="469"/>
      <c r="J13" s="435">
        <f>SUMIF(59:59,I13,60:60)-SUMIF(59:59,C13,60:60)+100</f>
        <v>100</v>
      </c>
      <c r="K13" s="613"/>
      <c r="L13" s="1137"/>
      <c r="M13" s="1128"/>
      <c r="N13" s="1128"/>
      <c r="O13" s="1136"/>
      <c r="P13" s="3293"/>
      <c r="Q13" s="1792">
        <f t="shared" si="6"/>
        <v>111</v>
      </c>
      <c r="R13" s="770" t="s">
        <v>17</v>
      </c>
      <c r="S13" s="771">
        <f t="shared" si="0"/>
        <v>100</v>
      </c>
      <c r="T13" s="770" t="s">
        <v>17</v>
      </c>
      <c r="U13" s="771">
        <f t="shared" si="1"/>
        <v>100</v>
      </c>
      <c r="V13" s="770" t="s">
        <v>17</v>
      </c>
      <c r="W13" s="771">
        <f t="shared" si="2"/>
        <v>100</v>
      </c>
      <c r="X13" s="772"/>
      <c r="Y13" s="3125"/>
      <c r="Z13" s="55">
        <f t="shared" si="7"/>
        <v>111</v>
      </c>
      <c r="AA13" s="773">
        <f t="shared" si="3"/>
        <v>1</v>
      </c>
      <c r="AB13" s="773">
        <f t="shared" si="4"/>
        <v>1</v>
      </c>
      <c r="AC13" s="773">
        <f t="shared" si="5"/>
        <v>1</v>
      </c>
    </row>
    <row r="14" spans="1:29" ht="15">
      <c r="A14" s="440" t="s">
        <v>2546</v>
      </c>
      <c r="B14" s="69" t="s">
        <v>2696</v>
      </c>
      <c r="C14" s="2685">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308" t="s">
        <v>2547</v>
      </c>
      <c r="Q14" s="1807" t="str">
        <f t="shared" si="6"/>
        <v>交通便捷度</v>
      </c>
      <c r="R14" s="774" t="s">
        <v>17</v>
      </c>
      <c r="S14" s="775">
        <f t="shared" si="0"/>
        <v>100</v>
      </c>
      <c r="T14" s="774" t="s">
        <v>17</v>
      </c>
      <c r="U14" s="775">
        <f t="shared" si="1"/>
        <v>100</v>
      </c>
      <c r="V14" s="774" t="s">
        <v>17</v>
      </c>
      <c r="W14" s="775">
        <f t="shared" si="2"/>
        <v>100</v>
      </c>
      <c r="X14" s="1810"/>
      <c r="Y14" s="3308" t="s">
        <v>2547</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309"/>
      <c r="Q15" s="1807"/>
      <c r="R15" s="774"/>
      <c r="S15" s="775"/>
      <c r="T15" s="774"/>
      <c r="U15" s="775"/>
      <c r="V15" s="774"/>
      <c r="W15" s="775"/>
      <c r="X15" s="1810"/>
      <c r="Y15" s="3309"/>
      <c r="Z15" s="1811"/>
      <c r="AA15" s="1808">
        <v>1</v>
      </c>
      <c r="AB15" s="1808">
        <v>1</v>
      </c>
      <c r="AC15" s="1808">
        <v>1</v>
      </c>
    </row>
    <row r="16" spans="1:29" ht="15">
      <c r="A16" s="428"/>
      <c r="B16" s="451" t="s">
        <v>2675</v>
      </c>
      <c r="C16" s="2599">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309"/>
      <c r="Q16" s="1807" t="str">
        <f>B16</f>
        <v>公共配套设施</v>
      </c>
      <c r="R16" s="774" t="s">
        <v>17</v>
      </c>
      <c r="S16" s="775">
        <f>F16</f>
        <v>100</v>
      </c>
      <c r="T16" s="774" t="s">
        <v>17</v>
      </c>
      <c r="U16" s="775">
        <f>H16</f>
        <v>100</v>
      </c>
      <c r="V16" s="774" t="s">
        <v>17</v>
      </c>
      <c r="W16" s="775">
        <f>J16</f>
        <v>100</v>
      </c>
      <c r="X16" s="1810"/>
      <c r="Y16" s="3309"/>
      <c r="Z16" s="1811" t="str">
        <f>Q16</f>
        <v>公共配套设施</v>
      </c>
      <c r="AA16" s="1808">
        <f t="shared" si="3"/>
        <v>1</v>
      </c>
      <c r="AB16" s="1808">
        <f t="shared" si="4"/>
        <v>1</v>
      </c>
      <c r="AC16" s="1808">
        <f t="shared" si="5"/>
        <v>1</v>
      </c>
    </row>
    <row r="17" spans="1:29" ht="15">
      <c r="A17" s="428"/>
      <c r="B17" s="456"/>
      <c r="C17" s="2600"/>
      <c r="D17" s="448"/>
      <c r="E17" s="447"/>
      <c r="F17" s="449"/>
      <c r="G17" s="447"/>
      <c r="H17" s="448"/>
      <c r="I17" s="447"/>
      <c r="J17" s="448"/>
      <c r="K17" s="615"/>
      <c r="L17" s="1137"/>
      <c r="M17" s="1128"/>
      <c r="N17" s="1128"/>
      <c r="O17" s="1136"/>
      <c r="P17" s="3309"/>
      <c r="Q17" s="1807"/>
      <c r="R17" s="774"/>
      <c r="S17" s="775"/>
      <c r="T17" s="774"/>
      <c r="U17" s="775"/>
      <c r="V17" s="774"/>
      <c r="W17" s="775"/>
      <c r="X17" s="1810"/>
      <c r="Y17" s="3309"/>
      <c r="Z17" s="1811"/>
      <c r="AA17" s="1808">
        <v>1</v>
      </c>
      <c r="AB17" s="1808">
        <v>1</v>
      </c>
      <c r="AC17" s="1808">
        <v>1</v>
      </c>
    </row>
    <row r="18" spans="1:29" ht="15">
      <c r="A18" s="428"/>
      <c r="B18" s="1381" t="s">
        <v>2676</v>
      </c>
      <c r="C18" s="2599">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309"/>
      <c r="Q18" s="1807" t="str">
        <f>B18</f>
        <v>基础设施水平</v>
      </c>
      <c r="R18" s="774" t="s">
        <v>17</v>
      </c>
      <c r="S18" s="775">
        <f>F18</f>
        <v>100</v>
      </c>
      <c r="T18" s="774" t="s">
        <v>17</v>
      </c>
      <c r="U18" s="775">
        <f>H18</f>
        <v>100</v>
      </c>
      <c r="V18" s="774" t="s">
        <v>17</v>
      </c>
      <c r="W18" s="775">
        <f>J18</f>
        <v>100</v>
      </c>
      <c r="X18" s="1810"/>
      <c r="Y18" s="3309"/>
      <c r="Z18" s="1811" t="str">
        <f>Q18</f>
        <v>基础设施水平</v>
      </c>
      <c r="AA18" s="1808">
        <f t="shared" ref="AA18" si="8">D18/F18</f>
        <v>1</v>
      </c>
      <c r="AB18" s="1808">
        <f t="shared" ref="AB18" si="9">D18/H18</f>
        <v>1</v>
      </c>
      <c r="AC18" s="1808">
        <f t="shared" ref="AC18" si="10">D18/J18</f>
        <v>1</v>
      </c>
    </row>
    <row r="19" spans="1:29" ht="15">
      <c r="A19" s="428"/>
      <c r="B19" s="1381"/>
      <c r="C19" s="2600"/>
      <c r="D19" s="450"/>
      <c r="E19" s="2600"/>
      <c r="F19" s="453"/>
      <c r="G19" s="2600"/>
      <c r="H19" s="448"/>
      <c r="I19" s="447"/>
      <c r="J19" s="448"/>
      <c r="K19" s="1380"/>
      <c r="L19" s="1137"/>
      <c r="M19" s="1128"/>
      <c r="N19" s="1128"/>
      <c r="O19" s="1136"/>
      <c r="P19" s="3309"/>
      <c r="Q19" s="1807"/>
      <c r="R19" s="774"/>
      <c r="S19" s="775"/>
      <c r="T19" s="774"/>
      <c r="U19" s="775"/>
      <c r="V19" s="774"/>
      <c r="W19" s="775"/>
      <c r="X19" s="1810"/>
      <c r="Y19" s="3309"/>
      <c r="Z19" s="1811"/>
      <c r="AA19" s="1808">
        <v>1</v>
      </c>
      <c r="AB19" s="1808">
        <v>1</v>
      </c>
      <c r="AC19" s="1808">
        <v>1</v>
      </c>
    </row>
    <row r="20" spans="1:29" ht="15">
      <c r="A20" s="428"/>
      <c r="B20" s="451" t="s">
        <v>2697</v>
      </c>
      <c r="C20" s="2599">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309"/>
      <c r="Q20" s="1807" t="str">
        <f>B20</f>
        <v>自然及人文环境</v>
      </c>
      <c r="R20" s="774" t="s">
        <v>17</v>
      </c>
      <c r="S20" s="775">
        <f>F20</f>
        <v>100</v>
      </c>
      <c r="T20" s="774" t="s">
        <v>17</v>
      </c>
      <c r="U20" s="775">
        <f>H20</f>
        <v>100</v>
      </c>
      <c r="V20" s="774" t="s">
        <v>17</v>
      </c>
      <c r="W20" s="775">
        <f>J20</f>
        <v>100</v>
      </c>
      <c r="X20" s="1810"/>
      <c r="Y20" s="3309"/>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309"/>
      <c r="Q21" s="1807"/>
      <c r="R21" s="774"/>
      <c r="S21" s="775"/>
      <c r="T21" s="774"/>
      <c r="U21" s="775"/>
      <c r="V21" s="774"/>
      <c r="W21" s="775"/>
      <c r="X21" s="1810"/>
      <c r="Y21" s="3309"/>
      <c r="Z21" s="1811"/>
      <c r="AA21" s="1808">
        <v>1</v>
      </c>
      <c r="AB21" s="1808">
        <v>1</v>
      </c>
      <c r="AC21" s="1808">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309"/>
      <c r="Q22" s="1807" t="str">
        <f>B22</f>
        <v>楼层</v>
      </c>
      <c r="R22" s="774" t="s">
        <v>17</v>
      </c>
      <c r="S22" s="775">
        <f>F22</f>
        <v>100</v>
      </c>
      <c r="T22" s="774" t="s">
        <v>17</v>
      </c>
      <c r="U22" s="775">
        <f>H22</f>
        <v>100</v>
      </c>
      <c r="V22" s="774" t="s">
        <v>17</v>
      </c>
      <c r="W22" s="775">
        <f>J22</f>
        <v>100</v>
      </c>
      <c r="X22" s="1810"/>
      <c r="Y22" s="3309"/>
      <c r="Z22" s="1811" t="str">
        <f>Q22</f>
        <v>楼层</v>
      </c>
      <c r="AA22" s="1808">
        <f t="shared" si="3"/>
        <v>1</v>
      </c>
      <c r="AB22" s="1808">
        <f t="shared" si="4"/>
        <v>1</v>
      </c>
      <c r="AC22" s="1808">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309"/>
      <c r="Q23" s="1807">
        <f>B23</f>
        <v>111</v>
      </c>
      <c r="R23" s="774" t="s">
        <v>17</v>
      </c>
      <c r="S23" s="775">
        <f>F23</f>
        <v>100</v>
      </c>
      <c r="T23" s="774" t="s">
        <v>17</v>
      </c>
      <c r="U23" s="775">
        <f>H23</f>
        <v>100</v>
      </c>
      <c r="V23" s="774" t="s">
        <v>17</v>
      </c>
      <c r="W23" s="775">
        <f>J23</f>
        <v>100</v>
      </c>
      <c r="X23" s="1810"/>
      <c r="Y23" s="3309"/>
      <c r="Z23" s="1811">
        <f>Q23</f>
        <v>111</v>
      </c>
      <c r="AA23" s="1808">
        <f t="shared" si="3"/>
        <v>1</v>
      </c>
      <c r="AB23" s="1808">
        <f t="shared" si="4"/>
        <v>1</v>
      </c>
      <c r="AC23" s="1808">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309"/>
      <c r="Q24" s="1807">
        <f t="shared" ref="Q24:Q34" si="11">B24</f>
        <v>111</v>
      </c>
      <c r="R24" s="774" t="s">
        <v>17</v>
      </c>
      <c r="S24" s="775">
        <f>F24</f>
        <v>100</v>
      </c>
      <c r="T24" s="774" t="s">
        <v>17</v>
      </c>
      <c r="U24" s="775">
        <f>H24</f>
        <v>100</v>
      </c>
      <c r="V24" s="774" t="s">
        <v>17</v>
      </c>
      <c r="W24" s="775">
        <f>J24</f>
        <v>100</v>
      </c>
      <c r="X24" s="1810"/>
      <c r="Y24" s="3309"/>
      <c r="Z24" s="1811">
        <f>Q24</f>
        <v>111</v>
      </c>
      <c r="AA24" s="1808">
        <f t="shared" si="3"/>
        <v>1</v>
      </c>
      <c r="AB24" s="1808">
        <f t="shared" si="4"/>
        <v>1</v>
      </c>
      <c r="AC24" s="1808">
        <f t="shared" si="5"/>
        <v>1</v>
      </c>
    </row>
    <row r="25" spans="1:29" s="117" customFormat="1" ht="15.75" thickBot="1">
      <c r="A25" s="431"/>
      <c r="B25" s="2592">
        <v>111</v>
      </c>
      <c r="C25" s="2690"/>
      <c r="D25" s="665">
        <v>100</v>
      </c>
      <c r="E25" s="2690"/>
      <c r="F25" s="666">
        <f>SUMIF(75:75,E25,76:76)-SUMIF(75:75,C25,76:76)+100</f>
        <v>100</v>
      </c>
      <c r="G25" s="2690"/>
      <c r="H25" s="665">
        <f>SUMIF(75:75,G25,76:76)-SUMIF(75:75,C25,76:76)+100</f>
        <v>100</v>
      </c>
      <c r="I25" s="2690"/>
      <c r="J25" s="665">
        <f>SUMIF(75:75,I25,76:76)-SUMIF(75:75,C25,76:76)+100</f>
        <v>100</v>
      </c>
      <c r="K25" s="613"/>
      <c r="L25" s="1129"/>
      <c r="M25" s="1130"/>
      <c r="N25" s="1130"/>
      <c r="O25" s="1131"/>
      <c r="P25" s="3309"/>
      <c r="Q25" s="1792">
        <f t="shared" si="11"/>
        <v>111</v>
      </c>
      <c r="R25" s="770" t="s">
        <v>17</v>
      </c>
      <c r="S25" s="771">
        <f>F25</f>
        <v>100</v>
      </c>
      <c r="T25" s="770" t="s">
        <v>17</v>
      </c>
      <c r="U25" s="771">
        <f>H25</f>
        <v>100</v>
      </c>
      <c r="V25" s="770" t="s">
        <v>17</v>
      </c>
      <c r="W25" s="771">
        <f>J25</f>
        <v>100</v>
      </c>
      <c r="X25" s="772"/>
      <c r="Y25" s="3309"/>
      <c r="Z25" s="55">
        <f>Q25</f>
        <v>111</v>
      </c>
      <c r="AA25" s="1808">
        <f>D25/F25</f>
        <v>1</v>
      </c>
      <c r="AB25" s="1808">
        <f>D25/H25</f>
        <v>1</v>
      </c>
      <c r="AC25" s="1808">
        <f>D25/J25</f>
        <v>1</v>
      </c>
    </row>
    <row r="26" spans="1:29" ht="28.5">
      <c r="A26" s="466" t="s">
        <v>2550</v>
      </c>
      <c r="B26" s="71" t="s">
        <v>2701</v>
      </c>
      <c r="C26" s="2671"/>
      <c r="D26" s="467">
        <v>100</v>
      </c>
      <c r="E26" s="2671"/>
      <c r="F26" s="667">
        <f>SUMIF(77:77,E26,78:78)-SUMIF(77:77,C26,78:78)+100</f>
        <v>100</v>
      </c>
      <c r="G26" s="2671"/>
      <c r="H26" s="467">
        <f>SUMIF(77:77,G26,78:78)-SUMIF(77:77,C26,78:78)+100</f>
        <v>100</v>
      </c>
      <c r="I26" s="2671"/>
      <c r="J26" s="467">
        <f>SUMIF(77:77,I26,78:78)-SUMIF(77:77,C26,78:78)+100</f>
        <v>100</v>
      </c>
      <c r="K26" s="612"/>
      <c r="L26" s="1137"/>
      <c r="M26" s="1128"/>
      <c r="N26" s="1128"/>
      <c r="O26" s="1136"/>
      <c r="P26" s="3310" t="s">
        <v>2552</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311" t="s">
        <v>2552</v>
      </c>
      <c r="Z26" s="1811" t="str">
        <f t="shared" ref="Z26:Z34" si="15">Q26</f>
        <v>公共部分装修</v>
      </c>
      <c r="AA26" s="1808">
        <f t="shared" si="3"/>
        <v>1</v>
      </c>
      <c r="AB26" s="1808">
        <f t="shared" si="4"/>
        <v>1</v>
      </c>
      <c r="AC26" s="1808">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311"/>
      <c r="Q27" s="776" t="str">
        <f t="shared" si="11"/>
        <v>成新率</v>
      </c>
      <c r="R27" s="777" t="s">
        <v>17</v>
      </c>
      <c r="S27" s="778" t="e">
        <f t="shared" si="12"/>
        <v>#N/A</v>
      </c>
      <c r="T27" s="777" t="s">
        <v>17</v>
      </c>
      <c r="U27" s="778" t="e">
        <f t="shared" si="13"/>
        <v>#N/A</v>
      </c>
      <c r="V27" s="777" t="s">
        <v>17</v>
      </c>
      <c r="W27" s="778" t="e">
        <f t="shared" si="14"/>
        <v>#N/A</v>
      </c>
      <c r="X27" s="779"/>
      <c r="Y27" s="3311"/>
      <c r="Z27" s="780" t="str">
        <f t="shared" si="15"/>
        <v>成新率</v>
      </c>
      <c r="AA27" s="1808" t="e">
        <f t="shared" si="3"/>
        <v>#N/A</v>
      </c>
      <c r="AB27" s="1808" t="e">
        <f t="shared" si="4"/>
        <v>#N/A</v>
      </c>
      <c r="AC27" s="1808"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311"/>
      <c r="Q28" s="1807" t="str">
        <f t="shared" si="11"/>
        <v>物业等级</v>
      </c>
      <c r="R28" s="774" t="s">
        <v>17</v>
      </c>
      <c r="S28" s="775">
        <f t="shared" si="12"/>
        <v>100</v>
      </c>
      <c r="T28" s="774" t="s">
        <v>17</v>
      </c>
      <c r="U28" s="775">
        <f t="shared" si="13"/>
        <v>100</v>
      </c>
      <c r="V28" s="774" t="s">
        <v>17</v>
      </c>
      <c r="W28" s="775">
        <f t="shared" si="14"/>
        <v>100</v>
      </c>
      <c r="X28" s="1810"/>
      <c r="Y28" s="3311"/>
      <c r="Z28" s="1811" t="str">
        <f t="shared" si="15"/>
        <v>物业等级</v>
      </c>
      <c r="AA28" s="1808">
        <f t="shared" si="3"/>
        <v>1</v>
      </c>
      <c r="AB28" s="1808">
        <f t="shared" si="4"/>
        <v>1</v>
      </c>
      <c r="AC28" s="1808">
        <f t="shared" si="5"/>
        <v>1</v>
      </c>
    </row>
    <row r="29" spans="1:29" ht="15">
      <c r="A29" s="472"/>
      <c r="B29" s="422" t="s">
        <v>2724</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311"/>
      <c r="Q29" s="1807" t="str">
        <f t="shared" si="11"/>
        <v>有无电梯</v>
      </c>
      <c r="R29" s="774" t="s">
        <v>17</v>
      </c>
      <c r="S29" s="775">
        <f t="shared" si="12"/>
        <v>100</v>
      </c>
      <c r="T29" s="774" t="s">
        <v>17</v>
      </c>
      <c r="U29" s="775">
        <f t="shared" si="13"/>
        <v>100</v>
      </c>
      <c r="V29" s="774" t="s">
        <v>17</v>
      </c>
      <c r="W29" s="775">
        <f t="shared" si="14"/>
        <v>100</v>
      </c>
      <c r="X29" s="1810"/>
      <c r="Y29" s="3311"/>
      <c r="Z29" s="1811" t="str">
        <f t="shared" si="15"/>
        <v>有无电梯</v>
      </c>
      <c r="AA29" s="1808">
        <f t="shared" si="3"/>
        <v>1</v>
      </c>
      <c r="AB29" s="1808">
        <f t="shared" si="4"/>
        <v>1</v>
      </c>
      <c r="AC29" s="1808">
        <f t="shared" si="5"/>
        <v>1</v>
      </c>
    </row>
    <row r="30" spans="1:29" ht="15">
      <c r="A30" s="472"/>
      <c r="B30" s="422" t="s">
        <v>2725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311"/>
      <c r="Q30" s="1807" t="str">
        <f t="shared" si="11"/>
        <v>建筑面积</v>
      </c>
      <c r="R30" s="774" t="s">
        <v>17</v>
      </c>
      <c r="S30" s="775" t="e">
        <f t="shared" si="12"/>
        <v>#N/A</v>
      </c>
      <c r="T30" s="774" t="s">
        <v>17</v>
      </c>
      <c r="U30" s="775" t="e">
        <f t="shared" si="13"/>
        <v>#N/A</v>
      </c>
      <c r="V30" s="774" t="s">
        <v>17</v>
      </c>
      <c r="W30" s="775" t="e">
        <f t="shared" si="14"/>
        <v>#N/A</v>
      </c>
      <c r="X30" s="1810"/>
      <c r="Y30" s="3311"/>
      <c r="Z30" s="1811" t="str">
        <f t="shared" si="15"/>
        <v>建筑面积</v>
      </c>
      <c r="AA30" s="1808" t="e">
        <f t="shared" si="3"/>
        <v>#N/A</v>
      </c>
      <c r="AB30" s="1808" t="e">
        <f t="shared" si="4"/>
        <v>#N/A</v>
      </c>
      <c r="AC30" s="1808" t="e">
        <f t="shared" si="5"/>
        <v>#N/A</v>
      </c>
    </row>
    <row r="31" spans="1:29" s="117" customFormat="1" ht="15">
      <c r="A31" s="473"/>
      <c r="B31" s="422" t="s">
        <v>2726</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311"/>
      <c r="Q31" s="1792" t="str">
        <f t="shared" si="11"/>
        <v>是否封闭</v>
      </c>
      <c r="R31" s="770" t="s">
        <v>17</v>
      </c>
      <c r="S31" s="771">
        <f t="shared" si="12"/>
        <v>100</v>
      </c>
      <c r="T31" s="770" t="s">
        <v>17</v>
      </c>
      <c r="U31" s="771">
        <f t="shared" si="13"/>
        <v>100</v>
      </c>
      <c r="V31" s="770" t="s">
        <v>17</v>
      </c>
      <c r="W31" s="771">
        <f t="shared" si="14"/>
        <v>100</v>
      </c>
      <c r="X31" s="772"/>
      <c r="Y31" s="3311"/>
      <c r="Z31" s="55" t="str">
        <f t="shared" si="15"/>
        <v>是否封闭</v>
      </c>
      <c r="AA31" s="773">
        <f t="shared" si="3"/>
        <v>1</v>
      </c>
      <c r="AB31" s="773">
        <f t="shared" si="4"/>
        <v>1</v>
      </c>
      <c r="AC31" s="773">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311" t="s">
        <v>2552</v>
      </c>
      <c r="Q32" s="1807">
        <f t="shared" si="11"/>
        <v>111</v>
      </c>
      <c r="R32" s="774" t="s">
        <v>17</v>
      </c>
      <c r="S32" s="775">
        <f t="shared" si="12"/>
        <v>100</v>
      </c>
      <c r="T32" s="774" t="s">
        <v>17</v>
      </c>
      <c r="U32" s="775">
        <f t="shared" si="13"/>
        <v>100</v>
      </c>
      <c r="V32" s="774" t="s">
        <v>17</v>
      </c>
      <c r="W32" s="775">
        <f t="shared" si="14"/>
        <v>100</v>
      </c>
      <c r="X32" s="1810"/>
      <c r="Y32" s="3311" t="s">
        <v>2552</v>
      </c>
      <c r="Z32" s="1811">
        <f t="shared" si="15"/>
        <v>111</v>
      </c>
      <c r="AA32" s="1808">
        <f t="shared" si="3"/>
        <v>1</v>
      </c>
      <c r="AB32" s="1808">
        <f t="shared" si="4"/>
        <v>1</v>
      </c>
      <c r="AC32" s="1808">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311"/>
      <c r="Q33" s="1807">
        <f t="shared" si="11"/>
        <v>111</v>
      </c>
      <c r="R33" s="774" t="s">
        <v>17</v>
      </c>
      <c r="S33" s="775">
        <f t="shared" si="12"/>
        <v>100</v>
      </c>
      <c r="T33" s="774" t="s">
        <v>17</v>
      </c>
      <c r="U33" s="775">
        <f t="shared" si="13"/>
        <v>100</v>
      </c>
      <c r="V33" s="774" t="s">
        <v>17</v>
      </c>
      <c r="W33" s="775">
        <f t="shared" si="14"/>
        <v>100</v>
      </c>
      <c r="X33" s="1810"/>
      <c r="Y33" s="3311"/>
      <c r="Z33" s="1811">
        <f t="shared" si="15"/>
        <v>111</v>
      </c>
      <c r="AA33" s="1808">
        <f t="shared" si="3"/>
        <v>1</v>
      </c>
      <c r="AB33" s="1808">
        <f t="shared" si="4"/>
        <v>1</v>
      </c>
      <c r="AC33" s="1808">
        <f t="shared" si="5"/>
        <v>1</v>
      </c>
    </row>
    <row r="34" spans="1:29" ht="15.75" thickBot="1">
      <c r="A34" s="478"/>
      <c r="B34" s="2594">
        <v>111</v>
      </c>
      <c r="C34" s="437"/>
      <c r="D34" s="438">
        <v>100</v>
      </c>
      <c r="E34" s="2689"/>
      <c r="F34" s="439">
        <f>SUMIF(95:95,E34,96:96)-SUMIF(95:95,C34,96:96)+100</f>
        <v>100</v>
      </c>
      <c r="G34" s="2689"/>
      <c r="H34" s="438">
        <f>SUMIF(95:95,G34,96:96)-SUMIF(95:95,C34,96:96)+100</f>
        <v>100</v>
      </c>
      <c r="I34" s="2689"/>
      <c r="J34" s="438">
        <f>SUMIF(95:95,I34,96:96)-SUMIF(95:95,C34,96:96)+100</f>
        <v>100</v>
      </c>
      <c r="K34" s="613"/>
      <c r="L34" s="1137"/>
      <c r="M34" s="1128"/>
      <c r="N34" s="1128"/>
      <c r="O34" s="1136"/>
      <c r="P34" s="3311"/>
      <c r="Q34" s="1807">
        <f t="shared" si="11"/>
        <v>111</v>
      </c>
      <c r="R34" s="774" t="s">
        <v>17</v>
      </c>
      <c r="S34" s="775">
        <f t="shared" si="12"/>
        <v>100</v>
      </c>
      <c r="T34" s="774" t="s">
        <v>17</v>
      </c>
      <c r="U34" s="775">
        <f t="shared" si="13"/>
        <v>100</v>
      </c>
      <c r="V34" s="774" t="s">
        <v>17</v>
      </c>
      <c r="W34" s="775">
        <f t="shared" si="14"/>
        <v>100</v>
      </c>
      <c r="X34" s="1810"/>
      <c r="Y34" s="3311"/>
      <c r="Z34" s="1811">
        <f t="shared" si="15"/>
        <v>111</v>
      </c>
      <c r="AA34" s="1808">
        <f t="shared" si="3"/>
        <v>1</v>
      </c>
      <c r="AB34" s="1808">
        <f t="shared" si="4"/>
        <v>1</v>
      </c>
      <c r="AC34" s="1808">
        <f t="shared" si="5"/>
        <v>1</v>
      </c>
    </row>
    <row r="35" spans="1:29" ht="15">
      <c r="A35" s="479" t="s">
        <v>2564</v>
      </c>
      <c r="B35" s="480"/>
      <c r="C35" s="1404" t="s">
        <v>1</v>
      </c>
      <c r="D35" s="1405"/>
      <c r="E35" s="1406"/>
      <c r="F35" s="1407"/>
      <c r="G35" s="1408"/>
      <c r="H35" s="1409"/>
      <c r="I35" s="1406"/>
      <c r="J35" s="1409"/>
      <c r="K35" s="783"/>
      <c r="L35" s="1140"/>
      <c r="M35" s="1141"/>
      <c r="N35" s="1128"/>
      <c r="O35" s="1141"/>
      <c r="P35" s="3293" t="str">
        <f>A35</f>
        <v>成交单价（元/平方米）</v>
      </c>
      <c r="Q35" s="3293"/>
      <c r="R35" s="3329">
        <f>E35</f>
        <v>0</v>
      </c>
      <c r="S35" s="3329"/>
      <c r="T35" s="3329">
        <f>G35</f>
        <v>0</v>
      </c>
      <c r="U35" s="3329"/>
      <c r="V35" s="3329">
        <f>I35</f>
        <v>0</v>
      </c>
      <c r="W35" s="3329"/>
      <c r="X35" s="759"/>
      <c r="Y35" s="781"/>
      <c r="Z35" s="759"/>
      <c r="AA35" s="759"/>
      <c r="AB35" s="759"/>
      <c r="AC35" s="759"/>
    </row>
    <row r="36" spans="1:29" ht="15.75" thickBot="1">
      <c r="A36" s="486" t="s">
        <v>2656</v>
      </c>
      <c r="B36" s="487"/>
      <c r="C36" s="1410" t="e">
        <f>R37</f>
        <v>#DIV/0!</v>
      </c>
      <c r="D36" s="1411"/>
      <c r="E36" s="1412" t="e">
        <f>R36</f>
        <v>#DIV/0!</v>
      </c>
      <c r="F36" s="1412"/>
      <c r="G36" s="1410" t="e">
        <f>T36</f>
        <v>#DIV/0!</v>
      </c>
      <c r="H36" s="1411"/>
      <c r="I36" s="1412" t="e">
        <f>V36</f>
        <v>#DIV/0!</v>
      </c>
      <c r="J36" s="1411"/>
      <c r="K36" s="784"/>
      <c r="L36" s="1140"/>
      <c r="M36" s="1141"/>
      <c r="N36" s="1128"/>
      <c r="O36" s="1141"/>
      <c r="P36" s="3293" t="str">
        <f>A36</f>
        <v>比较价值（元/平方米）</v>
      </c>
      <c r="Q36" s="3293"/>
      <c r="R36" s="3329" t="e">
        <f>IF(F1="售价",ROUND(PRODUCT(R35,AA7:AA34),0),ROUND(PRODUCT(R35,AA7:AA34),1))</f>
        <v>#DIV/0!</v>
      </c>
      <c r="S36" s="3329"/>
      <c r="T36" s="3329" t="e">
        <f>IF(F1="售价",ROUND(PRODUCT(T35,AB7:AB34),0),ROUND(PRODUCT(T35,AB7:AB34),1))</f>
        <v>#DIV/0!</v>
      </c>
      <c r="U36" s="3329"/>
      <c r="V36" s="3329" t="e">
        <f>IF(F1="售价",ROUND(PRODUCT(V35,AC7:AC34),0),ROUND(PRODUCT(V35,AC7:AC34),1))</f>
        <v>#DIV/0!</v>
      </c>
      <c r="W36" s="3329"/>
      <c r="X36" s="759"/>
      <c r="Y36" s="759"/>
      <c r="Z36" s="759"/>
      <c r="AA36" s="759"/>
      <c r="AB36" s="759"/>
      <c r="AC36" s="759"/>
    </row>
    <row r="37" spans="1:29" ht="15.75" thickBot="1">
      <c r="A37" s="492" t="s">
        <v>2657</v>
      </c>
      <c r="B37" s="493"/>
      <c r="C37" s="1414" t="e">
        <f>R37</f>
        <v>#DIV/0!</v>
      </c>
      <c r="D37" s="1414"/>
      <c r="E37" s="1414"/>
      <c r="F37" s="1414"/>
      <c r="G37" s="1414"/>
      <c r="H37" s="1414"/>
      <c r="I37" s="1414"/>
      <c r="J37" s="1414"/>
      <c r="K37" s="785"/>
      <c r="L37" s="1140"/>
      <c r="M37" s="1141"/>
      <c r="N37" s="1141"/>
      <c r="O37" s="1141"/>
      <c r="P37" s="3313" t="str">
        <f>A37</f>
        <v>估价对象XX用房的比较价值（楼面单价，元/平方米）</v>
      </c>
      <c r="Q37" s="3314"/>
      <c r="R37" s="3328" t="e">
        <f>IF(F1="售价",ROUND(AVERAGE(R36:V36),0),ROUND(AVERAGE(R36:V36),1))</f>
        <v>#DIV/0!</v>
      </c>
      <c r="S37" s="3328"/>
      <c r="T37" s="3328"/>
      <c r="U37" s="3328"/>
      <c r="V37" s="3328"/>
      <c r="W37" s="3328"/>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2661</v>
      </c>
      <c r="B45" s="759"/>
      <c r="C45" s="764"/>
      <c r="D45" s="764"/>
      <c r="E45" s="764"/>
      <c r="F45" s="765"/>
      <c r="G45" s="765"/>
      <c r="H45" s="764"/>
      <c r="I45" s="764"/>
      <c r="J45" s="764"/>
      <c r="K45" s="766"/>
      <c r="L45" s="767"/>
      <c r="M45" s="764"/>
      <c r="N45" s="764"/>
      <c r="O45" s="764"/>
      <c r="P45" s="503"/>
      <c r="Q45" s="504"/>
    </row>
    <row r="46" spans="1:29" s="508" customFormat="1" ht="15">
      <c r="A46" s="505" t="s">
        <v>2535</v>
      </c>
      <c r="B46" s="506"/>
      <c r="C46" s="1571" t="str">
        <f>YEAR(C7)&amp;"-"&amp;MONTH(C7)</f>
        <v>2020-4</v>
      </c>
      <c r="D46" s="1572">
        <f>EDATE(C46,-1)</f>
        <v>43891</v>
      </c>
      <c r="E46" s="1572">
        <f t="shared" ref="E46:O46" si="16">EDATE(D46,-1)</f>
        <v>43862</v>
      </c>
      <c r="F46" s="1572">
        <f t="shared" si="16"/>
        <v>43831</v>
      </c>
      <c r="G46" s="1572">
        <f t="shared" si="16"/>
        <v>43800</v>
      </c>
      <c r="H46" s="1572">
        <f t="shared" si="16"/>
        <v>43770</v>
      </c>
      <c r="I46" s="1572">
        <f t="shared" si="16"/>
        <v>43739</v>
      </c>
      <c r="J46" s="1572">
        <f t="shared" si="16"/>
        <v>43709</v>
      </c>
      <c r="K46" s="1572">
        <f t="shared" si="16"/>
        <v>43678</v>
      </c>
      <c r="L46" s="1572">
        <f t="shared" si="16"/>
        <v>43647</v>
      </c>
      <c r="M46" s="1572">
        <f t="shared" si="16"/>
        <v>43617</v>
      </c>
      <c r="N46" s="1572">
        <f t="shared" si="16"/>
        <v>43586</v>
      </c>
      <c r="O46" s="1572">
        <f t="shared" si="16"/>
        <v>43556</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2572</v>
      </c>
      <c r="B48" s="516"/>
      <c r="C48" s="517"/>
      <c r="D48" s="518"/>
      <c r="E48" s="518"/>
      <c r="F48" s="518"/>
      <c r="G48" s="518"/>
      <c r="H48" s="518"/>
      <c r="I48" s="518"/>
      <c r="J48" s="518"/>
      <c r="K48" s="518"/>
      <c r="L48" s="518"/>
      <c r="M48" s="519"/>
      <c r="N48" s="518"/>
      <c r="O48" s="520"/>
      <c r="P48" s="504"/>
      <c r="Q48" s="504"/>
    </row>
    <row r="49" spans="1:17" s="117" customFormat="1" ht="15">
      <c r="A49" s="521" t="s">
        <v>2537</v>
      </c>
      <c r="B49" s="510"/>
      <c r="C49" s="522" t="s">
        <v>2639</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2575</v>
      </c>
      <c r="B51" s="528" t="s">
        <v>2541</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2544</v>
      </c>
      <c r="C53" s="539" t="s">
        <v>2576</v>
      </c>
      <c r="D53" s="539" t="s">
        <v>2577</v>
      </c>
      <c r="E53" s="539" t="s">
        <v>2578</v>
      </c>
      <c r="F53" s="539" t="s">
        <v>2579</v>
      </c>
      <c r="G53" s="539" t="s">
        <v>2580</v>
      </c>
      <c r="H53" s="539" t="s">
        <v>2581</v>
      </c>
      <c r="I53" s="539" t="s">
        <v>2582</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2546</v>
      </c>
      <c r="B61" s="528" t="s">
        <v>2589</v>
      </c>
      <c r="C61" s="573" t="s">
        <v>2584</v>
      </c>
      <c r="D61" s="573" t="s">
        <v>2585</v>
      </c>
      <c r="E61" s="573" t="s">
        <v>2586</v>
      </c>
      <c r="F61" s="573" t="s">
        <v>2587</v>
      </c>
      <c r="G61" s="573" t="s">
        <v>2588</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2727</v>
      </c>
      <c r="C63" s="578" t="s">
        <v>2584</v>
      </c>
      <c r="D63" s="578" t="s">
        <v>2585</v>
      </c>
      <c r="E63" s="578" t="s">
        <v>2586</v>
      </c>
      <c r="F63" s="578" t="s">
        <v>2587</v>
      </c>
      <c r="G63" s="578" t="s">
        <v>2588</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2676</v>
      </c>
      <c r="C65" s="660" t="s">
        <v>2662</v>
      </c>
      <c r="D65" s="660" t="s">
        <v>2663</v>
      </c>
      <c r="E65" s="660" t="s">
        <v>2664</v>
      </c>
      <c r="F65" s="660" t="s">
        <v>2665</v>
      </c>
      <c r="G65" s="660" t="s">
        <v>2666</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2596</v>
      </c>
      <c r="C67" s="578" t="s">
        <v>2584</v>
      </c>
      <c r="D67" s="578" t="s">
        <v>2585</v>
      </c>
      <c r="E67" s="578" t="s">
        <v>2586</v>
      </c>
      <c r="F67" s="578" t="s">
        <v>2587</v>
      </c>
      <c r="G67" s="578" t="s">
        <v>2588</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2716</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2550</v>
      </c>
      <c r="B77" s="528" t="s">
        <v>2603</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2719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2720</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2728</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2729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2730</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2731</v>
      </c>
      <c r="B1" s="395"/>
      <c r="C1" s="396" t="s">
        <v>2782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2733</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2632</v>
      </c>
      <c r="B4" s="402"/>
      <c r="C4" s="3294" t="s">
        <v>2633</v>
      </c>
      <c r="D4" s="3295"/>
      <c r="E4" s="3296" t="s">
        <v>2634</v>
      </c>
      <c r="F4" s="3297"/>
      <c r="G4" s="3294" t="s">
        <v>2635</v>
      </c>
      <c r="H4" s="3295"/>
      <c r="I4" s="3294" t="s">
        <v>2636</v>
      </c>
      <c r="J4" s="3295"/>
      <c r="K4" s="610" t="s">
        <v>2637</v>
      </c>
      <c r="L4" s="1127"/>
      <c r="M4" s="1128"/>
      <c r="N4" s="1128"/>
      <c r="O4" s="1128"/>
      <c r="P4" s="3298" t="s">
        <v>2638</v>
      </c>
      <c r="Q4" s="3299"/>
      <c r="R4" s="3284" t="s">
        <v>2634</v>
      </c>
      <c r="S4" s="3285"/>
      <c r="T4" s="3284" t="s">
        <v>2635</v>
      </c>
      <c r="U4" s="3285"/>
      <c r="V4" s="3306" t="s">
        <v>2636</v>
      </c>
      <c r="W4" s="3306"/>
      <c r="X4" s="1810"/>
      <c r="Y4" s="3284" t="s">
        <v>2638</v>
      </c>
      <c r="Z4" s="3285"/>
      <c r="AA4" s="3279" t="s">
        <v>2634</v>
      </c>
      <c r="AB4" s="3280" t="s">
        <v>2635</v>
      </c>
      <c r="AC4" s="3279" t="s">
        <v>2636</v>
      </c>
    </row>
    <row r="5" spans="1:29" ht="15">
      <c r="A5" s="404"/>
      <c r="B5" s="405"/>
      <c r="C5" s="3321" t="s">
        <v>2529</v>
      </c>
      <c r="D5" s="3322"/>
      <c r="E5" s="3363" t="s">
        <v>2530</v>
      </c>
      <c r="F5" s="3320"/>
      <c r="G5" s="3321" t="s">
        <v>2531</v>
      </c>
      <c r="H5" s="3322"/>
      <c r="I5" s="3321" t="s">
        <v>2532</v>
      </c>
      <c r="J5" s="3322"/>
      <c r="K5" s="610"/>
      <c r="L5" s="1127"/>
      <c r="M5" s="1128"/>
      <c r="N5" s="1128"/>
      <c r="O5" s="1128"/>
      <c r="P5" s="3300"/>
      <c r="Q5" s="3301"/>
      <c r="R5" s="3286"/>
      <c r="S5" s="3287"/>
      <c r="T5" s="3286"/>
      <c r="U5" s="3287"/>
      <c r="V5" s="3306"/>
      <c r="W5" s="3306"/>
      <c r="X5" s="1810"/>
      <c r="Y5" s="3286"/>
      <c r="Z5" s="3287"/>
      <c r="AA5" s="3280"/>
      <c r="AB5" s="3280"/>
      <c r="AC5" s="3280"/>
    </row>
    <row r="6" spans="1:29" ht="15.75" thickBot="1">
      <c r="A6" s="406"/>
      <c r="B6" s="407"/>
      <c r="C6" s="3379" t="s">
        <v>2783</v>
      </c>
      <c r="D6" s="3380"/>
      <c r="E6" s="3381" t="s">
        <v>2783</v>
      </c>
      <c r="F6" s="3382"/>
      <c r="G6" s="3379" t="s">
        <v>2783</v>
      </c>
      <c r="H6" s="3380"/>
      <c r="I6" s="3379" t="s">
        <v>2783</v>
      </c>
      <c r="J6" s="3380"/>
      <c r="K6" s="610" t="s">
        <v>2534</v>
      </c>
      <c r="L6" s="1127"/>
      <c r="M6" s="1128"/>
      <c r="N6" s="1128"/>
      <c r="O6" s="1128"/>
      <c r="P6" s="3302"/>
      <c r="Q6" s="3303"/>
      <c r="R6" s="3286"/>
      <c r="S6" s="3287"/>
      <c r="T6" s="3304"/>
      <c r="U6" s="3305"/>
      <c r="V6" s="3306"/>
      <c r="W6" s="3306"/>
      <c r="X6" s="1810"/>
      <c r="Y6" s="3304"/>
      <c r="Z6" s="3305"/>
      <c r="AA6" s="3281"/>
      <c r="AB6" s="3281"/>
      <c r="AC6" s="3281"/>
    </row>
    <row r="7" spans="1:29" s="117" customFormat="1" ht="15.75" thickBot="1">
      <c r="A7" s="408" t="s">
        <v>2535</v>
      </c>
      <c r="B7" s="409"/>
      <c r="C7" s="410">
        <f>'数据-取费表'!B2</f>
        <v>43951</v>
      </c>
      <c r="D7" s="411">
        <v>100</v>
      </c>
      <c r="E7" s="412"/>
      <c r="F7" s="413">
        <f>SUMIF(65:65,YEAR(E7)&amp;"-"&amp;INT((MONTH(E7)+2)/3),66:66)</f>
        <v>0</v>
      </c>
      <c r="G7" s="2688"/>
      <c r="H7" s="411">
        <f>SUMIF(65:65,YEAR(G7)&amp;"-"&amp;INT((MONTH(G7)+2)/3),66:66)</f>
        <v>0</v>
      </c>
      <c r="I7" s="2688"/>
      <c r="J7" s="411">
        <f>SUMIF(65:65,YEAR(I7)&amp;"-"&amp;INT((MONTH(I7)+2)/3),66:66)</f>
        <v>0</v>
      </c>
      <c r="K7" s="611"/>
      <c r="L7" s="1129"/>
      <c r="M7" s="1130"/>
      <c r="N7" s="1130"/>
      <c r="O7" s="1130"/>
      <c r="P7" s="3282" t="s">
        <v>2536</v>
      </c>
      <c r="Q7" s="3307"/>
      <c r="R7" s="770" t="s">
        <v>17</v>
      </c>
      <c r="S7" s="771">
        <f t="shared" ref="S7:S15" si="0">F7</f>
        <v>0</v>
      </c>
      <c r="T7" s="770" t="s">
        <v>17</v>
      </c>
      <c r="U7" s="771">
        <f t="shared" ref="U7:U15" si="1">H7</f>
        <v>0</v>
      </c>
      <c r="V7" s="770" t="s">
        <v>17</v>
      </c>
      <c r="W7" s="771">
        <f t="shared" ref="W7:W15" si="2">J7</f>
        <v>0</v>
      </c>
      <c r="X7" s="772"/>
      <c r="Y7" s="3282" t="s">
        <v>2536</v>
      </c>
      <c r="Z7" s="3283"/>
      <c r="AA7" s="773" t="e">
        <f>D7/F7</f>
        <v>#DIV/0!</v>
      </c>
      <c r="AB7" s="773" t="e">
        <f>D7/H7</f>
        <v>#DIV/0!</v>
      </c>
      <c r="AC7" s="773" t="e">
        <f>D7/J7</f>
        <v>#DIV/0!</v>
      </c>
    </row>
    <row r="8" spans="1:29" s="117" customFormat="1" ht="15.75" thickBot="1">
      <c r="A8" s="408" t="s">
        <v>2537</v>
      </c>
      <c r="B8" s="409"/>
      <c r="C8" s="414" t="s">
        <v>2538</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82" t="s">
        <v>2539</v>
      </c>
      <c r="Q8" s="3283"/>
      <c r="R8" s="770" t="s">
        <v>17</v>
      </c>
      <c r="S8" s="771">
        <f t="shared" si="0"/>
        <v>0</v>
      </c>
      <c r="T8" s="770" t="s">
        <v>17</v>
      </c>
      <c r="U8" s="771">
        <f t="shared" si="1"/>
        <v>0</v>
      </c>
      <c r="V8" s="770" t="s">
        <v>17</v>
      </c>
      <c r="W8" s="771">
        <f t="shared" si="2"/>
        <v>0</v>
      </c>
      <c r="X8" s="772"/>
      <c r="Y8" s="3282" t="s">
        <v>2539</v>
      </c>
      <c r="Z8" s="3283"/>
      <c r="AA8" s="773" t="e">
        <f t="shared" ref="AA8:AA40" si="3">D8/F8</f>
        <v>#DIV/0!</v>
      </c>
      <c r="AB8" s="773" t="e">
        <f t="shared" ref="AB8:AB40" si="4">D8/H8</f>
        <v>#DIV/0!</v>
      </c>
      <c r="AC8" s="773" t="e">
        <f t="shared" ref="AC8:AC40" si="5">D8/J8</f>
        <v>#DIV/0!</v>
      </c>
    </row>
    <row r="9" spans="1:29" s="117" customFormat="1">
      <c r="A9" s="415" t="s">
        <v>2540</v>
      </c>
      <c r="B9" s="71" t="s">
        <v>2541</v>
      </c>
      <c r="C9" s="2691"/>
      <c r="D9" s="135">
        <v>100</v>
      </c>
      <c r="E9" s="2691"/>
      <c r="F9" s="135">
        <f>SUMIF(70:70,E9,71:71)-SUMIF(70:70,C9,71:71)+100</f>
        <v>100</v>
      </c>
      <c r="G9" s="2691"/>
      <c r="H9" s="135">
        <f>SUMIF(70:70,G9,71:71)-SUMIF(70:70,C9,71:71)+100</f>
        <v>100</v>
      </c>
      <c r="I9" s="2691"/>
      <c r="J9" s="135">
        <f>SUMIF(70:70,I9,71:71)-SUMIF(70:70,C9,71:71)+100</f>
        <v>100</v>
      </c>
      <c r="K9" s="611"/>
      <c r="L9" s="1129"/>
      <c r="M9" s="1130"/>
      <c r="N9" s="1130"/>
      <c r="O9" s="1131"/>
      <c r="P9" s="3293" t="s">
        <v>2542</v>
      </c>
      <c r="Q9" s="1792" t="str">
        <f t="shared" ref="Q9:Q15" si="6">B9</f>
        <v>用途</v>
      </c>
      <c r="R9" s="770" t="s">
        <v>17</v>
      </c>
      <c r="S9" s="771">
        <f t="shared" si="0"/>
        <v>100</v>
      </c>
      <c r="T9" s="770" t="s">
        <v>17</v>
      </c>
      <c r="U9" s="771">
        <f t="shared" si="1"/>
        <v>100</v>
      </c>
      <c r="V9" s="770" t="s">
        <v>17</v>
      </c>
      <c r="W9" s="771">
        <f t="shared" si="2"/>
        <v>100</v>
      </c>
      <c r="X9" s="772"/>
      <c r="Y9" s="3125" t="s">
        <v>2543</v>
      </c>
      <c r="Z9" s="55" t="str">
        <f t="shared" ref="Z9:Z15" si="7">Q9</f>
        <v>用途</v>
      </c>
      <c r="AA9" s="773">
        <f t="shared" si="3"/>
        <v>1</v>
      </c>
      <c r="AB9" s="773">
        <f t="shared" si="4"/>
        <v>1</v>
      </c>
      <c r="AC9" s="773">
        <f t="shared" si="5"/>
        <v>1</v>
      </c>
    </row>
    <row r="10" spans="1:29" s="427" customFormat="1" ht="27">
      <c r="A10" s="421"/>
      <c r="B10" s="422" t="s">
        <v>2544</v>
      </c>
      <c r="C10" s="432"/>
      <c r="D10" s="136">
        <v>100</v>
      </c>
      <c r="E10" s="432"/>
      <c r="F10" s="136">
        <f>ROUND(100/'数据-取费表'!G16,0)</f>
        <v>103</v>
      </c>
      <c r="G10" s="432"/>
      <c r="H10" s="136">
        <f>ROUND(100/'数据-取费表'!G16,0)</f>
        <v>103</v>
      </c>
      <c r="I10" s="432"/>
      <c r="J10" s="136">
        <f>ROUND(100/'数据-取费表'!G16,0)</f>
        <v>103</v>
      </c>
      <c r="K10" s="672"/>
      <c r="L10" s="1132"/>
      <c r="M10" s="1133"/>
      <c r="N10" s="1133"/>
      <c r="O10" s="1134"/>
      <c r="P10" s="3293"/>
      <c r="Q10" s="1792" t="str">
        <f t="shared" si="6"/>
        <v>土地使用年限（年）</v>
      </c>
      <c r="R10" s="770" t="s">
        <v>17</v>
      </c>
      <c r="S10" s="771">
        <f t="shared" si="0"/>
        <v>103</v>
      </c>
      <c r="T10" s="770" t="s">
        <v>17</v>
      </c>
      <c r="U10" s="771">
        <f t="shared" si="1"/>
        <v>103</v>
      </c>
      <c r="V10" s="770" t="s">
        <v>17</v>
      </c>
      <c r="W10" s="771">
        <f t="shared" si="2"/>
        <v>103</v>
      </c>
      <c r="X10" s="772"/>
      <c r="Y10" s="3125"/>
      <c r="Z10" s="55" t="str">
        <f t="shared" si="7"/>
        <v>土地使用年限（年）</v>
      </c>
      <c r="AA10" s="773">
        <f t="shared" si="3"/>
        <v>0.970873786407767</v>
      </c>
      <c r="AB10" s="773">
        <f t="shared" si="4"/>
        <v>0.970873786407767</v>
      </c>
      <c r="AC10" s="773">
        <f t="shared" si="5"/>
        <v>0.970873786407767</v>
      </c>
    </row>
    <row r="11" spans="1:29" ht="15">
      <c r="A11" s="428"/>
      <c r="B11" s="422" t="s">
        <v>2545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93"/>
      <c r="Q11" s="1792" t="str">
        <f t="shared" si="6"/>
        <v>容积率</v>
      </c>
      <c r="R11" s="770" t="s">
        <v>17</v>
      </c>
      <c r="S11" s="771" t="e">
        <f t="shared" si="0"/>
        <v>#N/A</v>
      </c>
      <c r="T11" s="770" t="s">
        <v>17</v>
      </c>
      <c r="U11" s="771" t="e">
        <f t="shared" si="1"/>
        <v>#N/A</v>
      </c>
      <c r="V11" s="770" t="s">
        <v>17</v>
      </c>
      <c r="W11" s="771" t="e">
        <f t="shared" si="2"/>
        <v>#N/A</v>
      </c>
      <c r="X11" s="772"/>
      <c r="Y11" s="3125"/>
      <c r="Z11" s="55" t="str">
        <f t="shared" si="7"/>
        <v>容积率</v>
      </c>
      <c r="AA11" s="773" t="e">
        <f t="shared" si="3"/>
        <v>#N/A</v>
      </c>
      <c r="AB11" s="773" t="e">
        <f t="shared" si="4"/>
        <v>#N/A</v>
      </c>
      <c r="AC11" s="773" t="e">
        <f t="shared" si="5"/>
        <v>#N/A</v>
      </c>
    </row>
    <row r="12" spans="1:29" s="117" customFormat="1" ht="15">
      <c r="A12" s="431"/>
      <c r="B12" s="2592">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93"/>
      <c r="Q12" s="1792">
        <f t="shared" si="6"/>
        <v>111</v>
      </c>
      <c r="R12" s="770" t="s">
        <v>17</v>
      </c>
      <c r="S12" s="771">
        <f t="shared" si="0"/>
        <v>100</v>
      </c>
      <c r="T12" s="770" t="s">
        <v>17</v>
      </c>
      <c r="U12" s="771">
        <f t="shared" si="1"/>
        <v>100</v>
      </c>
      <c r="V12" s="770" t="s">
        <v>17</v>
      </c>
      <c r="W12" s="771">
        <f t="shared" si="2"/>
        <v>100</v>
      </c>
      <c r="X12" s="772"/>
      <c r="Y12" s="3125"/>
      <c r="Z12" s="55">
        <f t="shared" si="7"/>
        <v>111</v>
      </c>
      <c r="AA12" s="773">
        <f>D12/F12</f>
        <v>1</v>
      </c>
      <c r="AB12" s="773">
        <f>D12/H12</f>
        <v>1</v>
      </c>
      <c r="AC12" s="773">
        <f>D12/J12</f>
        <v>1</v>
      </c>
    </row>
    <row r="13" spans="1:29" ht="15">
      <c r="A13" s="428"/>
      <c r="B13" s="2592">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93"/>
      <c r="Q13" s="1792">
        <f t="shared" si="6"/>
        <v>111</v>
      </c>
      <c r="R13" s="770" t="s">
        <v>17</v>
      </c>
      <c r="S13" s="771">
        <f t="shared" si="0"/>
        <v>100</v>
      </c>
      <c r="T13" s="770" t="s">
        <v>17</v>
      </c>
      <c r="U13" s="771">
        <f t="shared" si="1"/>
        <v>100</v>
      </c>
      <c r="V13" s="770" t="s">
        <v>17</v>
      </c>
      <c r="W13" s="771">
        <f t="shared" si="2"/>
        <v>100</v>
      </c>
      <c r="X13" s="772"/>
      <c r="Y13" s="3125"/>
      <c r="Z13" s="55">
        <f t="shared" si="7"/>
        <v>111</v>
      </c>
      <c r="AA13" s="773">
        <f t="shared" si="3"/>
        <v>1</v>
      </c>
      <c r="AB13" s="773">
        <f t="shared" si="4"/>
        <v>1</v>
      </c>
      <c r="AC13" s="773">
        <f t="shared" si="5"/>
        <v>1</v>
      </c>
    </row>
    <row r="14" spans="1:29" ht="15.75" thickBot="1">
      <c r="A14" s="436"/>
      <c r="B14" s="2594">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93"/>
      <c r="Q14" s="1792">
        <f t="shared" si="6"/>
        <v>111</v>
      </c>
      <c r="R14" s="770" t="s">
        <v>17</v>
      </c>
      <c r="S14" s="771">
        <f t="shared" si="0"/>
        <v>100</v>
      </c>
      <c r="T14" s="770" t="s">
        <v>17</v>
      </c>
      <c r="U14" s="771">
        <f t="shared" si="1"/>
        <v>100</v>
      </c>
      <c r="V14" s="770" t="s">
        <v>17</v>
      </c>
      <c r="W14" s="771">
        <f t="shared" si="2"/>
        <v>100</v>
      </c>
      <c r="X14" s="772"/>
      <c r="Y14" s="3125"/>
      <c r="Z14" s="55">
        <f t="shared" si="7"/>
        <v>111</v>
      </c>
      <c r="AA14" s="773">
        <f t="shared" si="3"/>
        <v>1</v>
      </c>
      <c r="AB14" s="773">
        <f t="shared" si="4"/>
        <v>1</v>
      </c>
      <c r="AC14" s="773">
        <f t="shared" si="5"/>
        <v>1</v>
      </c>
    </row>
    <row r="15" spans="1:29" ht="15">
      <c r="A15" s="440" t="s">
        <v>2546</v>
      </c>
      <c r="B15" s="629" t="s">
        <v>2784</v>
      </c>
      <c r="C15" s="2685">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308" t="s">
        <v>2547</v>
      </c>
      <c r="Q15" s="1807" t="str">
        <f t="shared" si="6"/>
        <v>产业集聚程度</v>
      </c>
      <c r="R15" s="774" t="s">
        <v>17</v>
      </c>
      <c r="S15" s="775">
        <f t="shared" si="0"/>
        <v>100</v>
      </c>
      <c r="T15" s="774" t="s">
        <v>17</v>
      </c>
      <c r="U15" s="775">
        <f t="shared" si="1"/>
        <v>100</v>
      </c>
      <c r="V15" s="774" t="s">
        <v>17</v>
      </c>
      <c r="W15" s="775">
        <f t="shared" si="2"/>
        <v>100</v>
      </c>
      <c r="X15" s="1810"/>
      <c r="Y15" s="3308" t="s">
        <v>2547</v>
      </c>
      <c r="Z15" s="1811" t="str">
        <f t="shared" si="7"/>
        <v>产业集聚程度</v>
      </c>
      <c r="AA15" s="1808">
        <f t="shared" si="3"/>
        <v>1</v>
      </c>
      <c r="AB15" s="1808">
        <f t="shared" si="4"/>
        <v>1</v>
      </c>
      <c r="AC15" s="1808">
        <f t="shared" si="5"/>
        <v>1</v>
      </c>
    </row>
    <row r="16" spans="1:29" ht="15">
      <c r="A16" s="428"/>
      <c r="B16" s="630"/>
      <c r="C16" s="447"/>
      <c r="D16" s="448"/>
      <c r="E16" s="2603"/>
      <c r="F16" s="448"/>
      <c r="G16" s="2603"/>
      <c r="H16" s="450"/>
      <c r="I16" s="2603"/>
      <c r="J16" s="448"/>
      <c r="K16" s="672"/>
      <c r="L16" s="1137"/>
      <c r="M16" s="1128"/>
      <c r="N16" s="1128"/>
      <c r="O16" s="1136"/>
      <c r="P16" s="3309"/>
      <c r="Q16" s="1807"/>
      <c r="R16" s="774"/>
      <c r="S16" s="775"/>
      <c r="T16" s="774"/>
      <c r="U16" s="775"/>
      <c r="V16" s="774"/>
      <c r="W16" s="775"/>
      <c r="X16" s="1810"/>
      <c r="Y16" s="3309"/>
      <c r="Z16" s="1811"/>
      <c r="AA16" s="1808">
        <v>1</v>
      </c>
      <c r="AB16" s="1808">
        <v>1</v>
      </c>
      <c r="AC16" s="1808">
        <v>1</v>
      </c>
    </row>
    <row r="17" spans="1:29" ht="15">
      <c r="A17" s="428"/>
      <c r="B17" s="631" t="s">
        <v>2696</v>
      </c>
      <c r="C17" s="259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309"/>
      <c r="Q17" s="1807" t="str">
        <f>B17</f>
        <v>交通便捷度</v>
      </c>
      <c r="R17" s="774" t="s">
        <v>17</v>
      </c>
      <c r="S17" s="775">
        <f>F17</f>
        <v>100</v>
      </c>
      <c r="T17" s="774" t="s">
        <v>17</v>
      </c>
      <c r="U17" s="775">
        <f>H17</f>
        <v>100</v>
      </c>
      <c r="V17" s="774" t="s">
        <v>17</v>
      </c>
      <c r="W17" s="775">
        <f>J17</f>
        <v>100</v>
      </c>
      <c r="X17" s="1810"/>
      <c r="Y17" s="3309"/>
      <c r="Z17" s="1811" t="str">
        <f>Q17</f>
        <v>交通便捷度</v>
      </c>
      <c r="AA17" s="1808">
        <f t="shared" si="3"/>
        <v>1</v>
      </c>
      <c r="AB17" s="1808">
        <f t="shared" si="4"/>
        <v>1</v>
      </c>
      <c r="AC17" s="1808">
        <f t="shared" si="5"/>
        <v>1</v>
      </c>
    </row>
    <row r="18" spans="1:29" ht="15">
      <c r="A18" s="428"/>
      <c r="B18" s="632"/>
      <c r="C18" s="447"/>
      <c r="D18" s="448"/>
      <c r="E18" s="2597"/>
      <c r="F18" s="448"/>
      <c r="G18" s="2597"/>
      <c r="H18" s="448"/>
      <c r="I18" s="2596"/>
      <c r="J18" s="448"/>
      <c r="K18" s="672"/>
      <c r="L18" s="1137"/>
      <c r="M18" s="1128"/>
      <c r="N18" s="1128"/>
      <c r="O18" s="1136"/>
      <c r="P18" s="3309"/>
      <c r="Q18" s="1807"/>
      <c r="R18" s="774"/>
      <c r="S18" s="775"/>
      <c r="T18" s="774"/>
      <c r="U18" s="775"/>
      <c r="V18" s="774"/>
      <c r="W18" s="775"/>
      <c r="X18" s="1810"/>
      <c r="Y18" s="3309"/>
      <c r="Z18" s="1811"/>
      <c r="AA18" s="1808">
        <v>1</v>
      </c>
      <c r="AB18" s="1808">
        <v>1</v>
      </c>
      <c r="AC18" s="1808">
        <v>1</v>
      </c>
    </row>
    <row r="19" spans="1:29" ht="15">
      <c r="A19" s="428"/>
      <c r="B19" s="631" t="s">
        <v>2734</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309"/>
      <c r="Q19" s="1807" t="str">
        <f t="shared" ref="Q19:Q33" si="8">B19</f>
        <v>区域土地利用方向</v>
      </c>
      <c r="R19" s="774" t="s">
        <v>17</v>
      </c>
      <c r="S19" s="775">
        <f>F19</f>
        <v>100</v>
      </c>
      <c r="T19" s="774" t="s">
        <v>17</v>
      </c>
      <c r="U19" s="775">
        <f>H19</f>
        <v>100</v>
      </c>
      <c r="V19" s="774" t="s">
        <v>17</v>
      </c>
      <c r="W19" s="775">
        <f>J19</f>
        <v>100</v>
      </c>
      <c r="X19" s="1810"/>
      <c r="Y19" s="3309"/>
      <c r="Z19" s="1811" t="str">
        <f>Q19</f>
        <v>区域土地利用方向</v>
      </c>
      <c r="AA19" s="1808">
        <f t="shared" si="3"/>
        <v>1</v>
      </c>
      <c r="AB19" s="1808">
        <f t="shared" si="4"/>
        <v>1</v>
      </c>
      <c r="AC19" s="1808">
        <f t="shared" si="5"/>
        <v>1</v>
      </c>
    </row>
    <row r="20" spans="1:29" ht="15">
      <c r="A20" s="404"/>
      <c r="B20" s="632"/>
      <c r="C20" s="447"/>
      <c r="D20" s="448"/>
      <c r="E20" s="2597"/>
      <c r="F20" s="448"/>
      <c r="G20" s="2597"/>
      <c r="H20" s="448"/>
      <c r="I20" s="2597"/>
      <c r="J20" s="448"/>
      <c r="K20" s="809"/>
      <c r="L20" s="1137"/>
      <c r="M20" s="1128"/>
      <c r="N20" s="1128"/>
      <c r="O20" s="1136"/>
      <c r="P20" s="3309"/>
      <c r="Q20" s="1807"/>
      <c r="R20" s="774"/>
      <c r="S20" s="775"/>
      <c r="T20" s="774"/>
      <c r="U20" s="775"/>
      <c r="V20" s="774"/>
      <c r="W20" s="775"/>
      <c r="X20" s="1810"/>
      <c r="Y20" s="3309"/>
      <c r="Z20" s="1811"/>
      <c r="AA20" s="1808"/>
      <c r="AB20" s="1808"/>
      <c r="AC20" s="1808"/>
    </row>
    <row r="21" spans="1:29" ht="15">
      <c r="A21" s="404"/>
      <c r="B21" s="631" t="s">
        <v>2785</v>
      </c>
      <c r="C21" s="259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309"/>
      <c r="Q21" s="1807" t="str">
        <f t="shared" si="8"/>
        <v>环境状况</v>
      </c>
      <c r="R21" s="774" t="s">
        <v>17</v>
      </c>
      <c r="S21" s="775">
        <f>F21</f>
        <v>100</v>
      </c>
      <c r="T21" s="774" t="s">
        <v>17</v>
      </c>
      <c r="U21" s="775">
        <f>H21</f>
        <v>100</v>
      </c>
      <c r="V21" s="774" t="s">
        <v>17</v>
      </c>
      <c r="W21" s="775">
        <f>J21</f>
        <v>100</v>
      </c>
      <c r="X21" s="1810"/>
      <c r="Y21" s="3309"/>
      <c r="Z21" s="1811" t="str">
        <f>Q21</f>
        <v>环境状况</v>
      </c>
      <c r="AA21" s="1808">
        <f t="shared" si="3"/>
        <v>1</v>
      </c>
      <c r="AB21" s="1808">
        <f t="shared" si="4"/>
        <v>1</v>
      </c>
      <c r="AC21" s="1808">
        <f t="shared" si="5"/>
        <v>1</v>
      </c>
    </row>
    <row r="22" spans="1:29" ht="15">
      <c r="A22" s="404"/>
      <c r="B22" s="632"/>
      <c r="C22" s="447"/>
      <c r="D22" s="448"/>
      <c r="E22" s="2603"/>
      <c r="F22" s="448"/>
      <c r="G22" s="2603"/>
      <c r="H22" s="448"/>
      <c r="I22" s="447"/>
      <c r="J22" s="448"/>
      <c r="K22" s="672"/>
      <c r="L22" s="1137"/>
      <c r="M22" s="1128"/>
      <c r="N22" s="1128"/>
      <c r="O22" s="1136"/>
      <c r="P22" s="3309"/>
      <c r="Q22" s="1807"/>
      <c r="R22" s="774"/>
      <c r="S22" s="775"/>
      <c r="T22" s="774"/>
      <c r="U22" s="775"/>
      <c r="V22" s="774"/>
      <c r="W22" s="775"/>
      <c r="X22" s="1810"/>
      <c r="Y22" s="3309"/>
      <c r="Z22" s="1811"/>
      <c r="AA22" s="1808">
        <v>1</v>
      </c>
      <c r="AB22" s="1808">
        <v>1</v>
      </c>
      <c r="AC22" s="1808">
        <v>1</v>
      </c>
    </row>
    <row r="23" spans="1:29" s="117" customFormat="1" ht="15">
      <c r="A23" s="649"/>
      <c r="B23" s="633" t="s">
        <v>2641</v>
      </c>
      <c r="C23" s="259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309"/>
      <c r="Q23" s="1792" t="str">
        <f t="shared" si="8"/>
        <v>公共配套设施</v>
      </c>
      <c r="R23" s="770" t="s">
        <v>17</v>
      </c>
      <c r="S23" s="771">
        <f>F23</f>
        <v>100</v>
      </c>
      <c r="T23" s="770" t="s">
        <v>17</v>
      </c>
      <c r="U23" s="771">
        <f>H23</f>
        <v>100</v>
      </c>
      <c r="V23" s="770" t="s">
        <v>17</v>
      </c>
      <c r="W23" s="771">
        <f>J23</f>
        <v>100</v>
      </c>
      <c r="X23" s="772"/>
      <c r="Y23" s="3309"/>
      <c r="Z23" s="55" t="str">
        <f>Q23</f>
        <v>公共配套设施</v>
      </c>
      <c r="AA23" s="1808">
        <f>D23/F23</f>
        <v>1</v>
      </c>
      <c r="AB23" s="1808">
        <f>D23/H23</f>
        <v>1</v>
      </c>
      <c r="AC23" s="1808">
        <f>D23/J23</f>
        <v>1</v>
      </c>
    </row>
    <row r="24" spans="1:29" s="117" customFormat="1" ht="15">
      <c r="A24" s="649"/>
      <c r="B24" s="632"/>
      <c r="C24" s="2692"/>
      <c r="D24" s="448"/>
      <c r="E24" s="2603"/>
      <c r="F24" s="448"/>
      <c r="G24" s="2603"/>
      <c r="H24" s="448"/>
      <c r="I24" s="447"/>
      <c r="J24" s="448"/>
      <c r="K24" s="672"/>
      <c r="L24" s="1129"/>
      <c r="M24" s="1130"/>
      <c r="N24" s="1130"/>
      <c r="O24" s="1131"/>
      <c r="P24" s="3309"/>
      <c r="Q24" s="1792"/>
      <c r="R24" s="770"/>
      <c r="S24" s="771"/>
      <c r="T24" s="770"/>
      <c r="U24" s="771"/>
      <c r="V24" s="770"/>
      <c r="W24" s="771"/>
      <c r="X24" s="772"/>
      <c r="Y24" s="3309"/>
      <c r="Z24" s="55"/>
      <c r="AA24" s="773">
        <v>1</v>
      </c>
      <c r="AB24" s="773">
        <v>1</v>
      </c>
      <c r="AC24" s="773">
        <v>1</v>
      </c>
    </row>
    <row r="25" spans="1:29" s="117" customFormat="1" ht="15">
      <c r="A25" s="649"/>
      <c r="B25" s="633" t="s">
        <v>2642</v>
      </c>
      <c r="C25" s="259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309"/>
      <c r="Q25" s="1792" t="str">
        <f t="shared" ref="Q25" si="9">B25</f>
        <v>基础设施水平</v>
      </c>
      <c r="R25" s="770" t="s">
        <v>17</v>
      </c>
      <c r="S25" s="771">
        <f>F25</f>
        <v>100</v>
      </c>
      <c r="T25" s="770" t="s">
        <v>17</v>
      </c>
      <c r="U25" s="771">
        <f>H25</f>
        <v>100</v>
      </c>
      <c r="V25" s="770" t="s">
        <v>17</v>
      </c>
      <c r="W25" s="771">
        <f>J25</f>
        <v>100</v>
      </c>
      <c r="X25" s="772"/>
      <c r="Y25" s="3309"/>
      <c r="Z25" s="55" t="str">
        <f>Q25</f>
        <v>基础设施水平</v>
      </c>
      <c r="AA25" s="1808">
        <f>D25/F25</f>
        <v>1</v>
      </c>
      <c r="AB25" s="1808">
        <f>D25/H25</f>
        <v>1</v>
      </c>
      <c r="AC25" s="1808">
        <f>D25/J25</f>
        <v>1</v>
      </c>
    </row>
    <row r="26" spans="1:29" s="117" customFormat="1" ht="15">
      <c r="A26" s="649"/>
      <c r="B26" s="632"/>
      <c r="C26" s="2692"/>
      <c r="D26" s="448"/>
      <c r="E26" s="2693"/>
      <c r="F26" s="448"/>
      <c r="G26" s="2693"/>
      <c r="H26" s="448"/>
      <c r="I26" s="2693"/>
      <c r="J26" s="448"/>
      <c r="K26" s="672"/>
      <c r="L26" s="1129"/>
      <c r="M26" s="1130"/>
      <c r="N26" s="1130"/>
      <c r="O26" s="1131"/>
      <c r="P26" s="3309"/>
      <c r="Q26" s="1792"/>
      <c r="R26" s="770"/>
      <c r="S26" s="771"/>
      <c r="T26" s="770"/>
      <c r="U26" s="771"/>
      <c r="V26" s="770"/>
      <c r="W26" s="771"/>
      <c r="X26" s="772"/>
      <c r="Y26" s="3309"/>
      <c r="Z26" s="55"/>
      <c r="AA26" s="773">
        <v>1</v>
      </c>
      <c r="AB26" s="773">
        <v>1</v>
      </c>
      <c r="AC26" s="773">
        <v>1</v>
      </c>
    </row>
    <row r="27" spans="1:29" ht="15">
      <c r="A27" s="428"/>
      <c r="B27" s="632" t="s">
        <v>2643</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309"/>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309"/>
      <c r="Z27" s="1811" t="str">
        <f t="shared" ref="Z27:Z40" si="13">Q27</f>
        <v>临街状况</v>
      </c>
      <c r="AA27" s="1808">
        <f t="shared" si="3"/>
        <v>1</v>
      </c>
      <c r="AB27" s="1808">
        <f t="shared" si="4"/>
        <v>1</v>
      </c>
      <c r="AC27" s="1808">
        <f t="shared" si="5"/>
        <v>1</v>
      </c>
    </row>
    <row r="28" spans="1:29" ht="27">
      <c r="A28" s="428"/>
      <c r="B28" s="633" t="s">
        <v>2678</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309"/>
      <c r="Q28" s="1807" t="str">
        <f t="shared" si="8"/>
        <v>毗邻道路的类型与等级</v>
      </c>
      <c r="R28" s="774" t="s">
        <v>17</v>
      </c>
      <c r="S28" s="775">
        <f t="shared" si="10"/>
        <v>100</v>
      </c>
      <c r="T28" s="774" t="s">
        <v>17</v>
      </c>
      <c r="U28" s="775">
        <f t="shared" si="11"/>
        <v>100</v>
      </c>
      <c r="V28" s="774" t="s">
        <v>17</v>
      </c>
      <c r="W28" s="775">
        <f t="shared" si="12"/>
        <v>100</v>
      </c>
      <c r="X28" s="1810"/>
      <c r="Y28" s="3309"/>
      <c r="Z28" s="1811" t="str">
        <f t="shared" si="13"/>
        <v>毗邻道路的类型与等级</v>
      </c>
      <c r="AA28" s="1808">
        <f t="shared" si="3"/>
        <v>1</v>
      </c>
      <c r="AB28" s="1808">
        <f t="shared" si="4"/>
        <v>1</v>
      </c>
      <c r="AC28" s="1808">
        <f t="shared" si="5"/>
        <v>1</v>
      </c>
    </row>
    <row r="29" spans="1:29" ht="15">
      <c r="A29" s="428"/>
      <c r="B29" s="632"/>
      <c r="C29" s="447"/>
      <c r="D29" s="448"/>
      <c r="E29" s="2603"/>
      <c r="F29" s="448"/>
      <c r="G29" s="2603"/>
      <c r="H29" s="448"/>
      <c r="I29" s="2603"/>
      <c r="J29" s="448"/>
      <c r="K29" s="613"/>
      <c r="L29" s="1137"/>
      <c r="M29" s="1128"/>
      <c r="N29" s="1128"/>
      <c r="O29" s="1136"/>
      <c r="P29" s="3309"/>
      <c r="Q29" s="1807"/>
      <c r="R29" s="774"/>
      <c r="S29" s="775"/>
      <c r="T29" s="774"/>
      <c r="U29" s="775"/>
      <c r="V29" s="774"/>
      <c r="W29" s="775"/>
      <c r="X29" s="1810"/>
      <c r="Y29" s="3309"/>
      <c r="Z29" s="1811"/>
      <c r="AA29" s="1808">
        <v>1</v>
      </c>
      <c r="AB29" s="1808">
        <v>1</v>
      </c>
      <c r="AC29" s="1808">
        <v>1</v>
      </c>
    </row>
    <row r="30" spans="1:29" ht="15">
      <c r="A30" s="428"/>
      <c r="B30" s="654" t="s">
        <v>2736</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309"/>
      <c r="Q30" s="1807" t="str">
        <f t="shared" si="8"/>
        <v>土地级别</v>
      </c>
      <c r="R30" s="774" t="s">
        <v>17</v>
      </c>
      <c r="S30" s="775">
        <f t="shared" si="10"/>
        <v>100</v>
      </c>
      <c r="T30" s="774" t="s">
        <v>17</v>
      </c>
      <c r="U30" s="775">
        <f t="shared" si="11"/>
        <v>100</v>
      </c>
      <c r="V30" s="774" t="s">
        <v>17</v>
      </c>
      <c r="W30" s="775">
        <f t="shared" si="12"/>
        <v>100</v>
      </c>
      <c r="X30" s="1810"/>
      <c r="Y30" s="3309"/>
      <c r="Z30" s="1811" t="str">
        <f t="shared" si="13"/>
        <v>土地级别</v>
      </c>
      <c r="AA30" s="1808">
        <f t="shared" si="3"/>
        <v>1</v>
      </c>
      <c r="AB30" s="1808">
        <f t="shared" si="4"/>
        <v>1</v>
      </c>
      <c r="AC30" s="1808">
        <f t="shared" si="5"/>
        <v>1</v>
      </c>
    </row>
    <row r="31" spans="1:29" ht="15">
      <c r="A31" s="404"/>
      <c r="B31" s="267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309"/>
      <c r="Q31" s="1807">
        <f t="shared" si="8"/>
        <v>111</v>
      </c>
      <c r="R31" s="774" t="s">
        <v>17</v>
      </c>
      <c r="S31" s="775">
        <f t="shared" si="10"/>
        <v>100</v>
      </c>
      <c r="T31" s="774" t="s">
        <v>17</v>
      </c>
      <c r="U31" s="775">
        <f t="shared" si="11"/>
        <v>100</v>
      </c>
      <c r="V31" s="774" t="s">
        <v>17</v>
      </c>
      <c r="W31" s="775">
        <f t="shared" si="12"/>
        <v>100</v>
      </c>
      <c r="X31" s="1810"/>
      <c r="Y31" s="3309"/>
      <c r="Z31" s="1811">
        <f t="shared" si="13"/>
        <v>111</v>
      </c>
      <c r="AA31" s="1808">
        <f t="shared" si="3"/>
        <v>1</v>
      </c>
      <c r="AB31" s="1808">
        <f t="shared" si="4"/>
        <v>1</v>
      </c>
      <c r="AC31" s="1808">
        <f t="shared" si="5"/>
        <v>1</v>
      </c>
    </row>
    <row r="32" spans="1:29" ht="15">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310" t="s">
        <v>2552</v>
      </c>
      <c r="Q32" s="1807">
        <f t="shared" si="8"/>
        <v>111</v>
      </c>
      <c r="R32" s="774" t="s">
        <v>17</v>
      </c>
      <c r="S32" s="775">
        <f t="shared" si="10"/>
        <v>100</v>
      </c>
      <c r="T32" s="774" t="s">
        <v>17</v>
      </c>
      <c r="U32" s="775">
        <f t="shared" si="11"/>
        <v>100</v>
      </c>
      <c r="V32" s="774" t="s">
        <v>17</v>
      </c>
      <c r="W32" s="775">
        <f t="shared" si="12"/>
        <v>100</v>
      </c>
      <c r="X32" s="1810"/>
      <c r="Y32" s="3311" t="s">
        <v>2552</v>
      </c>
      <c r="Z32" s="1811">
        <f t="shared" si="13"/>
        <v>111</v>
      </c>
      <c r="AA32" s="1808">
        <f t="shared" si="3"/>
        <v>1</v>
      </c>
      <c r="AB32" s="1808">
        <f t="shared" si="4"/>
        <v>1</v>
      </c>
      <c r="AC32" s="1808">
        <f t="shared" si="5"/>
        <v>1</v>
      </c>
    </row>
    <row r="33" spans="1:29" s="471" customFormat="1" ht="15.75"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311"/>
      <c r="Q33" s="1807">
        <f t="shared" si="8"/>
        <v>111</v>
      </c>
      <c r="R33" s="777" t="s">
        <v>17</v>
      </c>
      <c r="S33" s="778">
        <f t="shared" si="10"/>
        <v>100</v>
      </c>
      <c r="T33" s="777" t="s">
        <v>17</v>
      </c>
      <c r="U33" s="778">
        <f t="shared" si="11"/>
        <v>100</v>
      </c>
      <c r="V33" s="777" t="s">
        <v>17</v>
      </c>
      <c r="W33" s="778">
        <f t="shared" si="12"/>
        <v>100</v>
      </c>
      <c r="X33" s="779"/>
      <c r="Y33" s="3311"/>
      <c r="Z33" s="780">
        <f t="shared" si="13"/>
        <v>111</v>
      </c>
      <c r="AA33" s="1808">
        <f t="shared" si="3"/>
        <v>1</v>
      </c>
      <c r="AB33" s="1808">
        <f t="shared" si="4"/>
        <v>1</v>
      </c>
      <c r="AC33" s="1808">
        <f t="shared" si="5"/>
        <v>1</v>
      </c>
    </row>
    <row r="34" spans="1:29" ht="15">
      <c r="A34" s="440" t="s">
        <v>2550</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311"/>
      <c r="Q34" s="1807" t="str">
        <f>B34</f>
        <v>宗地面积</v>
      </c>
      <c r="R34" s="774" t="s">
        <v>17</v>
      </c>
      <c r="S34" s="775" t="e">
        <f t="shared" si="10"/>
        <v>#N/A</v>
      </c>
      <c r="T34" s="774" t="s">
        <v>17</v>
      </c>
      <c r="U34" s="775" t="e">
        <f t="shared" si="11"/>
        <v>#N/A</v>
      </c>
      <c r="V34" s="774" t="s">
        <v>17</v>
      </c>
      <c r="W34" s="775" t="e">
        <f t="shared" si="12"/>
        <v>#N/A</v>
      </c>
      <c r="X34" s="1810"/>
      <c r="Y34" s="3311"/>
      <c r="Z34" s="1811" t="str">
        <f t="shared" si="13"/>
        <v>宗地面积</v>
      </c>
      <c r="AA34" s="1808" t="e">
        <f t="shared" si="3"/>
        <v>#N/A</v>
      </c>
      <c r="AB34" s="1808" t="e">
        <f t="shared" si="4"/>
        <v>#N/A</v>
      </c>
      <c r="AC34" s="1808" t="e">
        <f t="shared" si="5"/>
        <v>#N/A</v>
      </c>
    </row>
    <row r="35" spans="1:29" ht="15">
      <c r="A35" s="472"/>
      <c r="B35" s="422" t="s">
        <v>2738</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37"/>
      <c r="M35" s="1128"/>
      <c r="N35" s="1128"/>
      <c r="O35" s="1136"/>
      <c r="P35" s="3311"/>
      <c r="Q35" s="1807" t="str">
        <f t="shared" ref="Q35:Q40" si="14">B35</f>
        <v>宗地形状</v>
      </c>
      <c r="R35" s="774" t="s">
        <v>17</v>
      </c>
      <c r="S35" s="775">
        <f t="shared" si="10"/>
        <v>100</v>
      </c>
      <c r="T35" s="774" t="s">
        <v>17</v>
      </c>
      <c r="U35" s="775">
        <f t="shared" si="11"/>
        <v>100</v>
      </c>
      <c r="V35" s="774" t="s">
        <v>17</v>
      </c>
      <c r="W35" s="775">
        <f t="shared" si="12"/>
        <v>100</v>
      </c>
      <c r="X35" s="1810"/>
      <c r="Y35" s="3311"/>
      <c r="Z35" s="1811" t="str">
        <f t="shared" si="13"/>
        <v>宗地形状</v>
      </c>
      <c r="AA35" s="1808">
        <f t="shared" si="3"/>
        <v>1</v>
      </c>
      <c r="AB35" s="1808">
        <f t="shared" si="4"/>
        <v>1</v>
      </c>
      <c r="AC35" s="1808">
        <f t="shared" si="5"/>
        <v>1</v>
      </c>
    </row>
    <row r="36" spans="1:29" s="117" customFormat="1" ht="15">
      <c r="A36" s="473"/>
      <c r="B36" s="422" t="s">
        <v>2740</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29"/>
      <c r="M36" s="1130"/>
      <c r="N36" s="1130"/>
      <c r="O36" s="1131"/>
      <c r="P36" s="3311"/>
      <c r="Q36" s="1807" t="str">
        <f t="shared" si="14"/>
        <v>宗地开发程度</v>
      </c>
      <c r="R36" s="770" t="s">
        <v>17</v>
      </c>
      <c r="S36" s="771">
        <f t="shared" si="10"/>
        <v>100</v>
      </c>
      <c r="T36" s="770" t="s">
        <v>17</v>
      </c>
      <c r="U36" s="771">
        <f t="shared" si="11"/>
        <v>100</v>
      </c>
      <c r="V36" s="770" t="s">
        <v>17</v>
      </c>
      <c r="W36" s="771">
        <f t="shared" si="12"/>
        <v>100</v>
      </c>
      <c r="X36" s="772"/>
      <c r="Y36" s="3311"/>
      <c r="Z36" s="55" t="str">
        <f t="shared" si="13"/>
        <v>宗地开发程度</v>
      </c>
      <c r="AA36" s="773">
        <f t="shared" si="3"/>
        <v>1</v>
      </c>
      <c r="AB36" s="773">
        <f t="shared" si="4"/>
        <v>1</v>
      </c>
      <c r="AC36" s="773">
        <f t="shared" si="5"/>
        <v>1</v>
      </c>
    </row>
    <row r="37" spans="1:29" ht="15">
      <c r="A37" s="472"/>
      <c r="B37" s="422" t="s">
        <v>2741</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37"/>
      <c r="M37" s="1128"/>
      <c r="N37" s="1128"/>
      <c r="O37" s="1136"/>
      <c r="P37" s="3311" t="s">
        <v>2552</v>
      </c>
      <c r="Q37" s="1807" t="str">
        <f t="shared" si="14"/>
        <v>工程地质条件</v>
      </c>
      <c r="R37" s="774" t="s">
        <v>17</v>
      </c>
      <c r="S37" s="775">
        <f t="shared" si="10"/>
        <v>100</v>
      </c>
      <c r="T37" s="774" t="s">
        <v>17</v>
      </c>
      <c r="U37" s="775">
        <f t="shared" si="11"/>
        <v>100</v>
      </c>
      <c r="V37" s="774" t="s">
        <v>17</v>
      </c>
      <c r="W37" s="775">
        <f t="shared" si="12"/>
        <v>100</v>
      </c>
      <c r="X37" s="1810"/>
      <c r="Y37" s="3311" t="s">
        <v>2552</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311"/>
      <c r="Q38" s="1807">
        <f t="shared" si="14"/>
        <v>111</v>
      </c>
      <c r="R38" s="774" t="s">
        <v>17</v>
      </c>
      <c r="S38" s="775">
        <f t="shared" si="10"/>
        <v>100</v>
      </c>
      <c r="T38" s="774" t="s">
        <v>17</v>
      </c>
      <c r="U38" s="775">
        <f t="shared" si="11"/>
        <v>100</v>
      </c>
      <c r="V38" s="774" t="s">
        <v>17</v>
      </c>
      <c r="W38" s="775">
        <f t="shared" si="12"/>
        <v>100</v>
      </c>
      <c r="X38" s="1810"/>
      <c r="Y38" s="3311"/>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311"/>
      <c r="Q39" s="1807">
        <f t="shared" si="14"/>
        <v>111</v>
      </c>
      <c r="R39" s="774" t="s">
        <v>17</v>
      </c>
      <c r="S39" s="775">
        <f t="shared" si="10"/>
        <v>100</v>
      </c>
      <c r="T39" s="774" t="s">
        <v>17</v>
      </c>
      <c r="U39" s="775">
        <f t="shared" si="11"/>
        <v>100</v>
      </c>
      <c r="V39" s="774" t="s">
        <v>17</v>
      </c>
      <c r="W39" s="775">
        <f t="shared" si="12"/>
        <v>100</v>
      </c>
      <c r="X39" s="1810"/>
      <c r="Y39" s="3311"/>
      <c r="Z39" s="1811">
        <f t="shared" si="13"/>
        <v>111</v>
      </c>
      <c r="AA39" s="1808">
        <f t="shared" si="3"/>
        <v>1</v>
      </c>
      <c r="AB39" s="1808">
        <f t="shared" si="4"/>
        <v>1</v>
      </c>
      <c r="AC39" s="1808">
        <f t="shared" si="5"/>
        <v>1</v>
      </c>
    </row>
    <row r="40" spans="1:29" s="471" customFormat="1" ht="15.75" thickBot="1">
      <c r="A40" s="468"/>
      <c r="B40" s="1384">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311"/>
      <c r="Q40" s="1807">
        <f t="shared" si="14"/>
        <v>111</v>
      </c>
      <c r="R40" s="777" t="s">
        <v>17</v>
      </c>
      <c r="S40" s="778">
        <f t="shared" si="10"/>
        <v>100</v>
      </c>
      <c r="T40" s="777" t="s">
        <v>17</v>
      </c>
      <c r="U40" s="778">
        <f t="shared" si="11"/>
        <v>100</v>
      </c>
      <c r="V40" s="777" t="s">
        <v>17</v>
      </c>
      <c r="W40" s="778">
        <f t="shared" si="12"/>
        <v>100</v>
      </c>
      <c r="X40" s="779"/>
      <c r="Y40" s="3311"/>
      <c r="Z40" s="780">
        <f t="shared" si="13"/>
        <v>111</v>
      </c>
      <c r="AA40" s="1808">
        <f t="shared" si="3"/>
        <v>1</v>
      </c>
      <c r="AB40" s="1808">
        <f t="shared" si="4"/>
        <v>1</v>
      </c>
      <c r="AC40" s="1808">
        <f t="shared" si="5"/>
        <v>1</v>
      </c>
    </row>
    <row r="41" spans="1:29" ht="15">
      <c r="A41" s="479" t="s">
        <v>2707</v>
      </c>
      <c r="B41" s="2696" t="s">
        <v>2786</v>
      </c>
      <c r="C41" s="682" t="s">
        <v>1</v>
      </c>
      <c r="D41" s="481"/>
      <c r="E41" s="482"/>
      <c r="F41" s="483"/>
      <c r="G41" s="484"/>
      <c r="H41" s="485"/>
      <c r="I41" s="482"/>
      <c r="J41" s="485"/>
      <c r="K41" s="783"/>
      <c r="L41" s="1140"/>
      <c r="M41" s="1128"/>
      <c r="N41" s="1128"/>
      <c r="O41" s="1141"/>
      <c r="P41" s="3293" t="str">
        <f>A41</f>
        <v>成交单价</v>
      </c>
      <c r="Q41" s="3293"/>
      <c r="R41" s="3306">
        <f>E41</f>
        <v>0</v>
      </c>
      <c r="S41" s="3306"/>
      <c r="T41" s="3306">
        <f>G41</f>
        <v>0</v>
      </c>
      <c r="U41" s="3306"/>
      <c r="V41" s="3306">
        <f>I41</f>
        <v>0</v>
      </c>
      <c r="W41" s="3306"/>
      <c r="X41" s="759"/>
      <c r="Y41" s="781"/>
      <c r="Z41" s="759"/>
      <c r="AA41" s="759"/>
      <c r="AB41" s="759"/>
      <c r="AC41" s="759"/>
    </row>
    <row r="42" spans="1:29" ht="15.75" thickBot="1">
      <c r="A42" s="486" t="s">
        <v>2656</v>
      </c>
      <c r="B42" s="683"/>
      <c r="C42" s="490" t="e">
        <f>R43</f>
        <v>#DIV/0!</v>
      </c>
      <c r="D42" s="489"/>
      <c r="E42" s="490" t="e">
        <f>R42</f>
        <v>#DIV/0!</v>
      </c>
      <c r="F42" s="491"/>
      <c r="G42" s="488" t="e">
        <f>T42</f>
        <v>#DIV/0!</v>
      </c>
      <c r="H42" s="489"/>
      <c r="I42" s="490" t="e">
        <f>V42</f>
        <v>#DIV/0!</v>
      </c>
      <c r="J42" s="489"/>
      <c r="K42" s="784"/>
      <c r="L42" s="1140"/>
      <c r="M42" s="1128"/>
      <c r="N42" s="1128"/>
      <c r="O42" s="1141"/>
      <c r="P42" s="3293" t="str">
        <f>A42</f>
        <v>比较价值（元/平方米）</v>
      </c>
      <c r="Q42" s="3293"/>
      <c r="R42" s="3312" t="e">
        <f>ROUND(PRODUCT(R41,AA7:AA40),0)</f>
        <v>#DIV/0!</v>
      </c>
      <c r="S42" s="3312"/>
      <c r="T42" s="3312" t="e">
        <f>ROUND(PRODUCT(T41,AB7:AB40),0)</f>
        <v>#DIV/0!</v>
      </c>
      <c r="U42" s="3312"/>
      <c r="V42" s="3312" t="e">
        <f>ROUND(PRODUCT(V41,AC7:AC40),0)</f>
        <v>#DIV/0!</v>
      </c>
      <c r="W42" s="3312"/>
      <c r="X42" s="759"/>
      <c r="Y42" s="759"/>
      <c r="Z42" s="759"/>
      <c r="AA42" s="759"/>
      <c r="AB42" s="759"/>
      <c r="AC42" s="759"/>
    </row>
    <row r="43" spans="1:29" ht="15.75" thickBot="1">
      <c r="A43" s="492" t="s">
        <v>2657</v>
      </c>
      <c r="B43" s="493"/>
      <c r="C43" s="494" t="e">
        <f>R43</f>
        <v>#DIV/0!</v>
      </c>
      <c r="D43" s="494"/>
      <c r="E43" s="494"/>
      <c r="F43" s="494"/>
      <c r="G43" s="494"/>
      <c r="H43" s="494"/>
      <c r="I43" s="494"/>
      <c r="J43" s="494"/>
      <c r="K43" s="785"/>
      <c r="L43" s="1140"/>
      <c r="M43" s="1128"/>
      <c r="N43" s="1128"/>
      <c r="O43" s="1141"/>
      <c r="P43" s="3313" t="str">
        <f>A43</f>
        <v>估价对象XX用房的比较价值（楼面单价，元/平方米）</v>
      </c>
      <c r="Q43" s="3314"/>
      <c r="R43" s="3315" t="e">
        <f>ROUND(AVERAGE(R42:V42),0)</f>
        <v>#DIV/0!</v>
      </c>
      <c r="S43" s="3315"/>
      <c r="T43" s="3315"/>
      <c r="U43" s="3315"/>
      <c r="V43" s="3315"/>
      <c r="W43" s="3315"/>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2744</v>
      </c>
      <c r="B50" s="685" t="s">
        <v>2745</v>
      </c>
      <c r="C50" s="2697" t="s">
        <v>2746</v>
      </c>
      <c r="D50" s="2698" t="s">
        <v>2747</v>
      </c>
      <c r="E50" s="686" t="s">
        <v>2748</v>
      </c>
      <c r="F50" s="687" t="s">
        <v>2749</v>
      </c>
      <c r="G50" s="3294" t="s">
        <v>2750</v>
      </c>
      <c r="H50" s="3316"/>
      <c r="I50" s="1811" t="s">
        <v>2787</v>
      </c>
      <c r="J50" s="1811" t="str">
        <f>项目基本情况!F35</f>
        <v>河南省郑州市</v>
      </c>
      <c r="K50" s="2700" t="s">
        <v>2752</v>
      </c>
      <c r="L50" s="1103"/>
      <c r="M50" s="1141"/>
      <c r="N50" s="1141"/>
      <c r="O50" s="1141"/>
    </row>
    <row r="51" spans="1:17" s="692" customFormat="1">
      <c r="A51" s="688" t="s">
        <v>2753</v>
      </c>
      <c r="B51" s="689" t="e">
        <f>C43</f>
        <v>#DIV/0!</v>
      </c>
      <c r="C51" s="690">
        <v>1</v>
      </c>
      <c r="D51" s="1160">
        <v>1</v>
      </c>
      <c r="E51" s="690">
        <f>'数据-汇总表'!E8+'数据-汇总表'!E9</f>
        <v>120164.37999999998</v>
      </c>
      <c r="F51" s="691" t="e">
        <f t="shared" ref="F51:F60" si="15">ROUND(B51*E51/10000,0)</f>
        <v>#DIV/0!</v>
      </c>
      <c r="G51" s="3317"/>
      <c r="H51" s="3293"/>
      <c r="I51" s="939">
        <v>1</v>
      </c>
      <c r="J51" s="939">
        <v>1</v>
      </c>
      <c r="K51" s="1142"/>
      <c r="L51" s="938"/>
      <c r="M51" s="938"/>
      <c r="N51" s="938"/>
      <c r="O51" s="938"/>
    </row>
    <row r="52" spans="1:17" s="692" customFormat="1">
      <c r="A52" s="693" t="s">
        <v>2754</v>
      </c>
      <c r="B52" s="262" t="e">
        <f>ROUND($C$43*C52*D52,0)</f>
        <v>#DIV/0!</v>
      </c>
      <c r="C52" s="200">
        <f t="shared" ref="C52:C60" si="16">IF($C$50="北京市系数",I52,J52)</f>
        <v>0</v>
      </c>
      <c r="D52" s="1161">
        <v>0.25</v>
      </c>
      <c r="E52" s="694"/>
      <c r="F52" s="691" t="e">
        <f t="shared" si="15"/>
        <v>#DIV/0!</v>
      </c>
      <c r="G52" s="3318" t="s">
        <v>2755</v>
      </c>
      <c r="H52" s="1101">
        <f>项目基本情况!B37</f>
        <v>0</v>
      </c>
      <c r="I52" s="939">
        <f>SUMIF(修正!A45:A56,H52,修正!B45:B56)</f>
        <v>0</v>
      </c>
      <c r="J52" s="940"/>
      <c r="K52" s="1141"/>
      <c r="L52" s="938"/>
      <c r="M52" s="938"/>
      <c r="N52" s="938"/>
      <c r="O52" s="938"/>
    </row>
    <row r="53" spans="1:17" s="692" customFormat="1">
      <c r="A53" s="693" t="s">
        <v>2756</v>
      </c>
      <c r="B53" s="262" t="e">
        <f t="shared" ref="B53:B60" si="17">ROUND($C$43*C53*D53,0)</f>
        <v>#DIV/0!</v>
      </c>
      <c r="C53" s="200">
        <f t="shared" si="16"/>
        <v>0</v>
      </c>
      <c r="D53" s="1161">
        <v>0.25</v>
      </c>
      <c r="E53" s="694"/>
      <c r="F53" s="691" t="e">
        <f t="shared" si="15"/>
        <v>#DIV/0!</v>
      </c>
      <c r="G53" s="3318"/>
      <c r="H53" s="1101">
        <f>项目基本情况!B37</f>
        <v>0</v>
      </c>
      <c r="I53" s="939">
        <f>SUMIF(修正!A45:A56,H53,修正!C45:C56)</f>
        <v>0</v>
      </c>
      <c r="J53" s="940"/>
      <c r="K53" s="1142"/>
      <c r="L53" s="938"/>
      <c r="M53" s="938"/>
      <c r="N53" s="938"/>
      <c r="O53" s="938"/>
    </row>
    <row r="54" spans="1:17" s="692" customFormat="1">
      <c r="A54" s="693" t="s">
        <v>2757</v>
      </c>
      <c r="B54" s="262" t="e">
        <f t="shared" si="17"/>
        <v>#DIV/0!</v>
      </c>
      <c r="C54" s="200">
        <f t="shared" si="16"/>
        <v>0</v>
      </c>
      <c r="D54" s="1161">
        <v>0.25</v>
      </c>
      <c r="E54" s="694"/>
      <c r="F54" s="691" t="e">
        <f t="shared" si="15"/>
        <v>#DIV/0!</v>
      </c>
      <c r="G54" s="3318"/>
      <c r="H54" s="1101">
        <f>项目基本情况!B37</f>
        <v>0</v>
      </c>
      <c r="I54" s="939">
        <f>SUMIF(修正!A45:A56,H54,修正!D45:D56)</f>
        <v>0</v>
      </c>
      <c r="J54" s="940"/>
      <c r="K54" s="1141"/>
      <c r="L54" s="938"/>
      <c r="M54" s="938"/>
      <c r="N54" s="938"/>
      <c r="O54" s="938"/>
    </row>
    <row r="55" spans="1:17" s="692" customFormat="1">
      <c r="A55" s="693" t="s">
        <v>2758</v>
      </c>
      <c r="B55" s="262" t="e">
        <f t="shared" si="17"/>
        <v>#DIV/0!</v>
      </c>
      <c r="C55" s="200">
        <f t="shared" si="16"/>
        <v>0</v>
      </c>
      <c r="D55" s="1161">
        <v>0.25</v>
      </c>
      <c r="E55" s="694"/>
      <c r="F55" s="691" t="e">
        <f t="shared" si="15"/>
        <v>#DIV/0!</v>
      </c>
      <c r="G55" s="3318"/>
      <c r="H55" s="1101">
        <f>项目基本情况!B37</f>
        <v>0</v>
      </c>
      <c r="I55" s="939">
        <f>SUMIF(修正!A45:A56,H55,修正!E45:E56)</f>
        <v>0</v>
      </c>
      <c r="J55" s="940"/>
      <c r="K55" s="1142"/>
      <c r="L55" s="938"/>
      <c r="M55" s="938"/>
      <c r="N55" s="938"/>
      <c r="O55" s="938"/>
    </row>
    <row r="56" spans="1:17" s="692" customFormat="1">
      <c r="A56" s="693" t="s">
        <v>2759</v>
      </c>
      <c r="B56" s="262" t="e">
        <f t="shared" si="17"/>
        <v>#DIV/0!</v>
      </c>
      <c r="C56" s="200">
        <f t="shared" si="16"/>
        <v>0</v>
      </c>
      <c r="D56" s="1161">
        <v>0.25</v>
      </c>
      <c r="E56" s="261">
        <f>'数据-汇总表'!E11</f>
        <v>0</v>
      </c>
      <c r="F56" s="691" t="e">
        <f t="shared" si="15"/>
        <v>#DIV/0!</v>
      </c>
      <c r="G56" s="2701" t="s">
        <v>2760</v>
      </c>
      <c r="H56" s="1101">
        <f>项目基本情况!C37</f>
        <v>0</v>
      </c>
      <c r="I56" s="939">
        <f>SUMIF(修正!A45:A56,H56,修正!F45:F56)</f>
        <v>0</v>
      </c>
      <c r="J56" s="940"/>
      <c r="K56" s="1141"/>
      <c r="L56" s="938"/>
      <c r="M56" s="938"/>
      <c r="N56" s="938"/>
      <c r="O56" s="938"/>
    </row>
    <row r="57" spans="1:17" s="692" customFormat="1">
      <c r="A57" s="693" t="s">
        <v>2761</v>
      </c>
      <c r="B57" s="262" t="e">
        <f t="shared" si="17"/>
        <v>#DIV/0!</v>
      </c>
      <c r="C57" s="200">
        <f t="shared" si="16"/>
        <v>0</v>
      </c>
      <c r="D57" s="1161">
        <v>0.25</v>
      </c>
      <c r="E57" s="261">
        <f>'数据-汇总表'!E12</f>
        <v>0</v>
      </c>
      <c r="F57" s="691" t="e">
        <f t="shared" si="15"/>
        <v>#DIV/0!</v>
      </c>
      <c r="G57" s="1106" t="s">
        <v>2762</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2763</v>
      </c>
      <c r="B58" s="262" t="e">
        <f t="shared" si="17"/>
        <v>#DIV/0!</v>
      </c>
      <c r="C58" s="200">
        <f t="shared" si="16"/>
        <v>0</v>
      </c>
      <c r="D58" s="1161">
        <v>0.25</v>
      </c>
      <c r="E58" s="261">
        <f>'数据-汇总表'!E13</f>
        <v>0</v>
      </c>
      <c r="F58" s="691" t="e">
        <f t="shared" si="15"/>
        <v>#DIV/0!</v>
      </c>
      <c r="G58" s="1106" t="s">
        <v>2764</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2765</v>
      </c>
      <c r="B59" s="262" t="e">
        <f t="shared" si="17"/>
        <v>#DIV/0!</v>
      </c>
      <c r="C59" s="200">
        <f t="shared" si="16"/>
        <v>0</v>
      </c>
      <c r="D59" s="1161">
        <v>0.25</v>
      </c>
      <c r="E59" s="261">
        <f>'数据-汇总表'!E14</f>
        <v>0</v>
      </c>
      <c r="F59" s="691" t="e">
        <f t="shared" si="15"/>
        <v>#DIV/0!</v>
      </c>
      <c r="G59" s="2701" t="s">
        <v>2755</v>
      </c>
      <c r="H59" s="1101">
        <f>项目基本情况!B37</f>
        <v>0</v>
      </c>
      <c r="I59" s="939">
        <f>SUMIF(修正!A45:A56,H59,修正!H45:H56)</f>
        <v>0</v>
      </c>
      <c r="J59" s="940"/>
      <c r="K59" s="1142"/>
      <c r="L59" s="938"/>
      <c r="M59" s="938"/>
      <c r="N59" s="938"/>
      <c r="O59" s="938"/>
    </row>
    <row r="60" spans="1:17" s="692" customFormat="1" ht="15" thickBot="1">
      <c r="A60" s="693" t="s">
        <v>2766</v>
      </c>
      <c r="B60" s="262" t="e">
        <f t="shared" si="17"/>
        <v>#DIV/0!</v>
      </c>
      <c r="C60" s="200">
        <f t="shared" si="16"/>
        <v>0</v>
      </c>
      <c r="D60" s="1161">
        <v>0.25</v>
      </c>
      <c r="E60" s="261">
        <f>'数据-汇总表'!E15</f>
        <v>0</v>
      </c>
      <c r="F60" s="691" t="e">
        <f t="shared" si="15"/>
        <v>#DIV/0!</v>
      </c>
      <c r="G60" s="2702" t="s">
        <v>2760</v>
      </c>
      <c r="H60" s="1111">
        <f>项目基本情况!C37</f>
        <v>0</v>
      </c>
      <c r="I60" s="939">
        <f>SUMIF(修正!A45:A56,H60,修正!H45:H56)</f>
        <v>0</v>
      </c>
      <c r="J60" s="940"/>
      <c r="K60" s="1141"/>
      <c r="L60" s="938"/>
      <c r="M60" s="938"/>
      <c r="N60" s="938"/>
      <c r="O60" s="938"/>
    </row>
    <row r="61" spans="1:17" s="692" customFormat="1" ht="15" thickBot="1">
      <c r="A61" s="695" t="s">
        <v>2767</v>
      </c>
      <c r="B61" s="696" t="s">
        <v>28</v>
      </c>
      <c r="C61" s="696" t="s">
        <v>29</v>
      </c>
      <c r="D61" s="696" t="s">
        <v>1025</v>
      </c>
      <c r="E61" s="696">
        <f>IF(B41="楼面地价",SUM(E51:E60),'数据-汇总表'!D3)</f>
        <v>20565.18</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1.75" thickBot="1">
      <c r="A64" s="763" t="s">
        <v>2661</v>
      </c>
      <c r="B64" s="759"/>
      <c r="C64" s="764"/>
      <c r="D64" s="764"/>
      <c r="E64" s="764"/>
      <c r="F64" s="765"/>
      <c r="G64" s="765"/>
      <c r="H64" s="764"/>
      <c r="I64" s="764"/>
      <c r="J64" s="764"/>
      <c r="K64" s="766"/>
      <c r="L64" s="767"/>
      <c r="M64" s="764"/>
      <c r="N64" s="764"/>
      <c r="O64" s="1156"/>
      <c r="P64" s="503"/>
      <c r="Q64" s="504"/>
    </row>
    <row r="65" spans="1:17" s="508" customFormat="1" ht="15">
      <c r="A65" s="2703" t="s">
        <v>2768</v>
      </c>
      <c r="B65" s="1356"/>
      <c r="C65" s="1569" t="str">
        <f>YEAR(C63)&amp;"-"&amp;ROUNDUP(MONTH(C63)/3,0)</f>
        <v>2020-2</v>
      </c>
      <c r="D65" s="1569" t="str">
        <f t="shared" ref="D65:O65" si="19">YEAR(D63)&amp;"-"&amp;ROUNDUP(MONTH(D63)/3,0)</f>
        <v>2020-1</v>
      </c>
      <c r="E65" s="1569" t="str">
        <f t="shared" si="19"/>
        <v>2019-4</v>
      </c>
      <c r="F65" s="1569" t="str">
        <f t="shared" si="19"/>
        <v>2019-3</v>
      </c>
      <c r="G65" s="1569" t="str">
        <f t="shared" si="19"/>
        <v>2019-2</v>
      </c>
      <c r="H65" s="1569" t="str">
        <f t="shared" si="19"/>
        <v>2019-1</v>
      </c>
      <c r="I65" s="1569" t="str">
        <f t="shared" si="19"/>
        <v>2018-4</v>
      </c>
      <c r="J65" s="1569" t="str">
        <f t="shared" si="19"/>
        <v>2018-3</v>
      </c>
      <c r="K65" s="1569" t="str">
        <f t="shared" si="19"/>
        <v>2018-2</v>
      </c>
      <c r="L65" s="1569" t="str">
        <f t="shared" si="19"/>
        <v>2018-1</v>
      </c>
      <c r="M65" s="1569" t="str">
        <f t="shared" si="19"/>
        <v>2017-4</v>
      </c>
      <c r="N65" s="1569" t="str">
        <f t="shared" si="19"/>
        <v>2017-3</v>
      </c>
      <c r="O65" s="1569" t="str">
        <f t="shared" si="19"/>
        <v>2017-2</v>
      </c>
      <c r="P65" s="507"/>
    </row>
    <row r="66" spans="1:17" s="117" customFormat="1" ht="30.75" customHeight="1">
      <c r="A66" s="2708" t="s">
        <v>2788</v>
      </c>
      <c r="B66" s="332" t="str">
        <f>"北京市平均增长率"&amp;TEXT(基准地价修正!P24,"0.00%")</f>
        <v>北京市平均增长率0.00%</v>
      </c>
      <c r="C66" s="603">
        <v>100</v>
      </c>
      <c r="D66" s="595"/>
      <c r="E66" s="595"/>
      <c r="F66" s="595"/>
      <c r="G66" s="595"/>
      <c r="H66" s="595"/>
      <c r="I66" s="595"/>
      <c r="J66" s="595"/>
      <c r="K66" s="595"/>
      <c r="L66" s="595"/>
      <c r="M66" s="1564"/>
      <c r="N66" s="1564"/>
      <c r="O66" s="1566"/>
      <c r="P66" s="504"/>
    </row>
    <row r="67" spans="1:17" s="117" customFormat="1" ht="15.75" thickBot="1">
      <c r="A67" s="515" t="s">
        <v>2572</v>
      </c>
      <c r="B67" s="516"/>
      <c r="C67" s="517"/>
      <c r="D67" s="518"/>
      <c r="E67" s="518"/>
      <c r="F67" s="518"/>
      <c r="G67" s="518"/>
      <c r="H67" s="518"/>
      <c r="I67" s="518"/>
      <c r="J67" s="518"/>
      <c r="K67" s="518"/>
      <c r="L67" s="518"/>
      <c r="M67" s="519"/>
      <c r="N67" s="519"/>
      <c r="O67" s="520"/>
      <c r="P67" s="504"/>
      <c r="Q67" s="504"/>
    </row>
    <row r="68" spans="1:17" s="117" customFormat="1" ht="15">
      <c r="A68" s="521" t="s">
        <v>2537</v>
      </c>
      <c r="B68" s="510"/>
      <c r="C68" s="522" t="s">
        <v>2639</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2575</v>
      </c>
      <c r="B70" s="528" t="s">
        <v>2541</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2544</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2545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2546</v>
      </c>
      <c r="B83" s="528" t="s">
        <v>2692</v>
      </c>
      <c r="C83" s="573" t="s">
        <v>2584</v>
      </c>
      <c r="D83" s="573" t="s">
        <v>2585</v>
      </c>
      <c r="E83" s="573" t="s">
        <v>2586</v>
      </c>
      <c r="F83" s="573" t="s">
        <v>2587</v>
      </c>
      <c r="G83" s="573" t="s">
        <v>2588</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2589</v>
      </c>
      <c r="C85" s="578" t="s">
        <v>2584</v>
      </c>
      <c r="D85" s="578" t="s">
        <v>2585</v>
      </c>
      <c r="E85" s="578" t="s">
        <v>2586</v>
      </c>
      <c r="F85" s="578" t="s">
        <v>2587</v>
      </c>
      <c r="G85" s="578" t="s">
        <v>2588</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2771</v>
      </c>
      <c r="C87" s="573" t="s">
        <v>2584</v>
      </c>
      <c r="D87" s="573" t="s">
        <v>2585</v>
      </c>
      <c r="E87" s="573" t="s">
        <v>2586</v>
      </c>
      <c r="F87" s="573" t="s">
        <v>2587</v>
      </c>
      <c r="G87" s="573" t="s">
        <v>2588</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2772</v>
      </c>
      <c r="C89" s="573" t="s">
        <v>2584</v>
      </c>
      <c r="D89" s="573" t="s">
        <v>2585</v>
      </c>
      <c r="E89" s="573" t="s">
        <v>2586</v>
      </c>
      <c r="F89" s="573" t="s">
        <v>2587</v>
      </c>
      <c r="G89" s="573" t="s">
        <v>2588</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2641</v>
      </c>
      <c r="C91" s="573" t="s">
        <v>2584</v>
      </c>
      <c r="D91" s="573" t="s">
        <v>2585</v>
      </c>
      <c r="E91" s="573" t="s">
        <v>2586</v>
      </c>
      <c r="F91" s="573" t="s">
        <v>2587</v>
      </c>
      <c r="G91" s="573" t="s">
        <v>2588</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2789</v>
      </c>
      <c r="C93" s="660" t="s">
        <v>2662</v>
      </c>
      <c r="D93" s="660" t="s">
        <v>2663</v>
      </c>
      <c r="E93" s="660" t="s">
        <v>2664</v>
      </c>
      <c r="F93" s="660" t="s">
        <v>2665</v>
      </c>
      <c r="G93" s="660" t="s">
        <v>2666</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2678</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2736</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2550</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2778</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2780</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2781</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1615</v>
      </c>
      <c r="B1" s="1955"/>
      <c r="C1" s="1955"/>
      <c r="D1" s="1955"/>
      <c r="E1" s="1955"/>
    </row>
    <row r="2" spans="1:5" ht="78" customHeight="1">
      <c r="A2" s="30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4"/>
      <c r="C2" s="3064"/>
      <c r="D2" s="3064"/>
      <c r="E2" s="3064"/>
    </row>
    <row r="3" spans="1:5" ht="18">
      <c r="A3" s="3065" t="str">
        <f>IF(项目基本情况!B9="房地产市场价值","估价结果一览表（市场价值不需“结果表-1”）","估价结果一览表")</f>
        <v>估价结果一览表</v>
      </c>
      <c r="B3" s="3065"/>
      <c r="C3" s="3065"/>
      <c r="D3" s="3065"/>
      <c r="E3" s="3065"/>
    </row>
    <row r="4" spans="1:5" ht="19.5" thickBot="1">
      <c r="A4" s="1957"/>
      <c r="B4" s="3063" t="s">
        <v>1624</v>
      </c>
      <c r="C4" s="3063"/>
      <c r="D4" s="3063"/>
      <c r="E4" s="1957"/>
    </row>
    <row r="5" spans="1:5" ht="16.5" thickTop="1">
      <c r="A5" s="1955"/>
      <c r="B5" s="3061" t="s">
        <v>1616</v>
      </c>
      <c r="C5" s="1958" t="s">
        <v>1617</v>
      </c>
      <c r="D5" s="1037">
        <f ca="1">结果表!H101</f>
        <v>155524</v>
      </c>
      <c r="E5" s="1955"/>
    </row>
    <row r="6" spans="1:5" ht="15.75">
      <c r="A6" s="1955"/>
      <c r="B6" s="3061"/>
      <c r="C6" s="1958" t="s">
        <v>1618</v>
      </c>
      <c r="D6" s="1037" t="str">
        <f ca="1">NUMBERSTRING(INT(D5*10000),2)&amp;"元整"</f>
        <v>壹拾伍亿伍仟伍佰贰拾肆万元整</v>
      </c>
      <c r="E6" s="1955"/>
    </row>
    <row r="7" spans="1:5" ht="15.75">
      <c r="A7" s="1955"/>
      <c r="B7" s="3066"/>
      <c r="C7" s="1959" t="s">
        <v>1619</v>
      </c>
      <c r="D7" s="1038">
        <f ca="1">结果表!H102</f>
        <v>12943</v>
      </c>
      <c r="E7" s="1955"/>
    </row>
    <row r="8" spans="1:5" ht="15.75">
      <c r="A8" s="1955"/>
      <c r="B8" s="3067" t="str">
        <f>结果表!E103</f>
        <v>2.估价师知悉的法定优先受偿款</v>
      </c>
      <c r="C8" s="1960" t="s">
        <v>1620</v>
      </c>
      <c r="D8" s="1038">
        <f>结果表!H103</f>
        <v>20754</v>
      </c>
      <c r="E8" s="1955"/>
    </row>
    <row r="9" spans="1:5" ht="15.75">
      <c r="A9" s="1955"/>
      <c r="B9" s="3069"/>
      <c r="C9" s="1958" t="s">
        <v>1618</v>
      </c>
      <c r="D9" s="1037" t="str">
        <f>NUMBERSTRING(INT(D8*10000),2)&amp;"元整"</f>
        <v>贰亿零柒佰伍拾肆万元整</v>
      </c>
      <c r="E9" s="1955"/>
    </row>
    <row r="10" spans="1:5" ht="15">
      <c r="A10" s="1955"/>
      <c r="B10" s="1961" t="s">
        <v>1623</v>
      </c>
      <c r="C10" s="1962" t="s">
        <v>1621</v>
      </c>
      <c r="D10" s="1039">
        <f>结果表!H104</f>
        <v>0</v>
      </c>
      <c r="E10" s="1955"/>
    </row>
    <row r="11" spans="1:5" ht="15">
      <c r="A11" s="1955"/>
      <c r="B11" s="1961" t="s">
        <v>1625</v>
      </c>
      <c r="C11" s="1962" t="s">
        <v>1626</v>
      </c>
      <c r="D11" s="1039">
        <f>结果表!H105</f>
        <v>8515</v>
      </c>
      <c r="E11" s="1955"/>
    </row>
    <row r="12" spans="1:5" ht="15">
      <c r="A12" s="1955"/>
      <c r="B12" s="1961" t="s">
        <v>1627</v>
      </c>
      <c r="C12" s="1962" t="s">
        <v>1626</v>
      </c>
      <c r="D12" s="1039">
        <f>结果表!H106</f>
        <v>12239</v>
      </c>
      <c r="E12" s="1955"/>
    </row>
    <row r="13" spans="1:5" ht="15.75">
      <c r="A13" s="1955"/>
      <c r="B13" s="3060" t="str">
        <f>结果表!E107</f>
        <v>3.房地产抵押价值</v>
      </c>
      <c r="C13" s="1963" t="s">
        <v>1617</v>
      </c>
      <c r="D13" s="1040">
        <f ca="1">结果表!H107</f>
        <v>134770</v>
      </c>
      <c r="E13" s="1955"/>
    </row>
    <row r="14" spans="1:5" ht="15.75">
      <c r="A14" s="1955"/>
      <c r="B14" s="3061"/>
      <c r="C14" s="1958" t="s">
        <v>1618</v>
      </c>
      <c r="D14" s="1037" t="str">
        <f ca="1">NUMBERSTRING(INT(D13*10000),2)&amp;"元整"</f>
        <v>壹拾叁亿肆仟柒佰柒拾万元整</v>
      </c>
      <c r="E14" s="1955"/>
    </row>
    <row r="15" spans="1:5" ht="15">
      <c r="A15" s="1955"/>
      <c r="B15" s="3066"/>
      <c r="C15" s="1959" t="s">
        <v>1628</v>
      </c>
      <c r="D15" s="1049">
        <f ca="1">结果表!H108</f>
        <v>11215</v>
      </c>
      <c r="E15" s="1955"/>
    </row>
    <row r="16" spans="1:5" ht="15">
      <c r="A16" s="1955"/>
      <c r="B16" s="3067" t="str">
        <f>结果表!E109</f>
        <v>——</v>
      </c>
      <c r="C16" s="1963" t="s">
        <v>1629</v>
      </c>
      <c r="D16" s="1964" t="str">
        <f>结果表!H109</f>
        <v>——</v>
      </c>
      <c r="E16" s="1955"/>
    </row>
    <row r="17" spans="1:5" ht="15.75">
      <c r="A17" s="1955"/>
      <c r="B17" s="3068"/>
      <c r="C17" s="1958" t="s">
        <v>1630</v>
      </c>
      <c r="D17" s="1037" t="e">
        <f>NUMBERSTRING(INT(D16*10000),2)&amp;"元整"</f>
        <v>#VALUE!</v>
      </c>
      <c r="E17" s="1955"/>
    </row>
    <row r="18" spans="1:5" ht="15">
      <c r="A18" s="1955"/>
      <c r="B18" s="3069"/>
      <c r="C18" s="1959" t="s">
        <v>1619</v>
      </c>
      <c r="D18" s="1049" t="str">
        <f>结果表!H110</f>
        <v>——</v>
      </c>
      <c r="E18" s="1955"/>
    </row>
    <row r="19" spans="1:5" ht="15.75">
      <c r="A19" s="1955"/>
      <c r="B19" s="3060" t="str">
        <f>结果表!E111</f>
        <v>——</v>
      </c>
      <c r="C19" s="1963" t="s">
        <v>1617</v>
      </c>
      <c r="D19" s="1038" t="str">
        <f>结果表!H111</f>
        <v>——</v>
      </c>
      <c r="E19" s="1955"/>
    </row>
    <row r="20" spans="1:5" ht="15.75">
      <c r="A20" s="1955"/>
      <c r="B20" s="3061"/>
      <c r="C20" s="1958" t="s">
        <v>1630</v>
      </c>
      <c r="D20" s="1037" t="e">
        <f>NUMBERSTRING(INT(D19*10000),2)&amp;"元整"</f>
        <v>#VALUE!</v>
      </c>
      <c r="E20" s="1955"/>
    </row>
    <row r="21" spans="1:5" ht="15.75" thickBot="1">
      <c r="A21" s="1955"/>
      <c r="B21" s="3062"/>
      <c r="C21" s="1965" t="s">
        <v>1628</v>
      </c>
      <c r="D21" s="1050" t="str">
        <f>结果表!H112</f>
        <v>——</v>
      </c>
      <c r="E21" s="1955"/>
    </row>
    <row r="22" spans="1:5" ht="15" thickTop="1">
      <c r="A22" s="1955"/>
      <c r="B22" s="1966" t="s">
        <v>1631</v>
      </c>
      <c r="C22" s="1955"/>
      <c r="D22" s="1955"/>
      <c r="E22" s="1955"/>
    </row>
    <row r="23" spans="1:5">
      <c r="A23" s="1955"/>
      <c r="B23" s="1955"/>
      <c r="C23" s="1955"/>
      <c r="D23" s="1955"/>
      <c r="E23" s="1955"/>
    </row>
    <row r="24" spans="1:5" ht="18.75">
      <c r="A24" s="1967"/>
      <c r="B24" s="1968" t="s">
        <v>1622</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69" customWidth="1"/>
    <col min="33" max="36" width="9.375" style="2780" customWidth="1"/>
    <col min="37" max="38" width="9.375" style="2712" customWidth="1"/>
    <col min="39" max="16384" width="12" style="2712"/>
  </cols>
  <sheetData>
    <row r="1" spans="1:36" ht="28.5">
      <c r="A1" s="240" t="s">
        <v>2790</v>
      </c>
      <c r="B1" s="241"/>
      <c r="C1" s="245" t="s">
        <v>2791</v>
      </c>
      <c r="D1" s="388">
        <f>SUM(D29:D30,D33:D39)</f>
        <v>0</v>
      </c>
      <c r="E1" s="2709"/>
      <c r="F1" s="2709"/>
      <c r="G1" s="2709"/>
      <c r="H1" s="2709"/>
      <c r="I1" s="2709"/>
      <c r="J1" s="2709"/>
      <c r="K1" s="1367"/>
      <c r="L1" s="2710" t="s">
        <v>2792</v>
      </c>
      <c r="M1" s="1077">
        <f>SUMPRODUCT((区片价!B5:B9=I2)*(区片价!C3:F3=E2)*(区片价!C5:F9))</f>
        <v>0</v>
      </c>
      <c r="N1" s="1080">
        <f>SUMPRODUCT((因素修正幅度!B5:B9=I2)*(因素修正幅度!C3:F3=E2)*(因素修正幅度!C5:F9))</f>
        <v>0</v>
      </c>
      <c r="O1" s="2711"/>
      <c r="P1" s="2711"/>
      <c r="Q1" s="1367"/>
      <c r="R1" s="1599" t="s">
        <v>2793</v>
      </c>
      <c r="S1" s="1599" t="s">
        <v>2794</v>
      </c>
      <c r="T1" s="1599" t="s">
        <v>2795</v>
      </c>
      <c r="U1" s="1599" t="s">
        <v>2796</v>
      </c>
      <c r="V1" s="1599" t="s">
        <v>2797</v>
      </c>
      <c r="W1" s="1603"/>
      <c r="X1" s="1603"/>
      <c r="Y1" s="1603"/>
      <c r="Z1" s="1603"/>
      <c r="AA1" s="1603"/>
      <c r="AB1" s="1603"/>
      <c r="AC1" s="1604"/>
      <c r="AD1" s="1605"/>
      <c r="AE1" s="1605"/>
      <c r="AF1" s="1605"/>
      <c r="AG1" s="1605"/>
      <c r="AH1" s="1605"/>
      <c r="AI1" s="1605"/>
      <c r="AJ1" s="1606"/>
    </row>
    <row r="2" spans="1:36" ht="15.75">
      <c r="A2" s="245" t="s">
        <v>2798</v>
      </c>
      <c r="B2" s="248" t="e">
        <f>C26</f>
        <v>#DIV/0!</v>
      </c>
      <c r="C2" s="2713" t="s">
        <v>2799</v>
      </c>
      <c r="D2" s="2714" t="s">
        <v>2800</v>
      </c>
      <c r="E2" s="2715"/>
      <c r="F2" s="2714" t="s">
        <v>2801</v>
      </c>
      <c r="G2" s="2716">
        <f>IF(E2="商业",项目基本情况!B37,IF(E2="办公",项目基本情况!C37,IF(E2="住宅",项目基本情况!D37,项目基本情况!E37)))</f>
        <v>0</v>
      </c>
      <c r="H2" s="2714" t="s">
        <v>2802</v>
      </c>
      <c r="I2" s="2716">
        <f>IF(E2="商业",项目基本情况!B38,IF(E2="办公",项目基本情况!C38,IF(E2="住宅",项目基本情况!D38,项目基本情况!E38)))</f>
        <v>0</v>
      </c>
      <c r="J2" s="2717"/>
      <c r="K2" s="1367"/>
      <c r="L2" s="2718" t="s">
        <v>2803</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2804</v>
      </c>
      <c r="B3" s="248" t="e">
        <f>ROUND(B2*10000/D1,0)</f>
        <v>#DIV/0!</v>
      </c>
      <c r="C3" s="2713" t="s">
        <v>2805</v>
      </c>
      <c r="D3" s="2714" t="s">
        <v>2806</v>
      </c>
      <c r="E3" s="2719"/>
      <c r="F3" s="2720" t="s">
        <v>2807</v>
      </c>
      <c r="G3" s="913">
        <f>IF(F3="宗地容积率",'数据-汇总表'!I4,IF(F3="估价对象容积率",'数据-汇总表'!I6,'数据-汇总表'!I7))</f>
        <v>5.84</v>
      </c>
      <c r="H3" s="198" t="s">
        <v>2808</v>
      </c>
      <c r="I3" s="941"/>
      <c r="J3" s="2717" t="s">
        <v>2809</v>
      </c>
      <c r="K3" s="1367"/>
      <c r="L3" s="2718" t="s">
        <v>2810</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99"/>
      <c r="B4" s="3400"/>
      <c r="C4" s="3400"/>
      <c r="D4" s="3401"/>
      <c r="E4" s="3401"/>
      <c r="F4" s="3401"/>
      <c r="G4" s="3401"/>
      <c r="H4" s="3401"/>
      <c r="I4" s="3401"/>
      <c r="J4" s="3402"/>
      <c r="K4" s="1367"/>
      <c r="L4" s="2718" t="s">
        <v>2811</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0" customFormat="1" ht="15.75" thickBot="1">
      <c r="A5" s="2721" t="s">
        <v>807</v>
      </c>
      <c r="B5" s="2722" t="s">
        <v>2812</v>
      </c>
      <c r="C5" s="914" t="e">
        <f>ROUND(IF(E2="商业",C6*C7+C16,(IF(E2="住宅",C6*C12+C16,C6+C16))),0)</f>
        <v>#DIV/0!</v>
      </c>
      <c r="D5" s="1784" t="e">
        <f>ROUND(C6+C16,0)</f>
        <v>#DIV/0!</v>
      </c>
      <c r="E5" s="1784"/>
      <c r="F5" s="2723"/>
      <c r="G5" s="2724"/>
      <c r="H5" s="2724"/>
      <c r="I5" s="2724"/>
      <c r="J5" s="2725"/>
      <c r="K5" s="2726"/>
      <c r="L5" s="2718" t="s">
        <v>2813</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7"/>
      <c r="AD5" s="2728"/>
      <c r="AE5" s="2728"/>
      <c r="AF5" s="2728"/>
      <c r="AG5" s="2728"/>
      <c r="AH5" s="2728"/>
      <c r="AI5" s="2728"/>
      <c r="AJ5" s="2729"/>
    </row>
    <row r="6" spans="1:36" ht="15.75" thickBot="1">
      <c r="A6" s="2731" t="s">
        <v>2814</v>
      </c>
      <c r="B6" s="2732" t="s">
        <v>2815</v>
      </c>
      <c r="C6" s="915">
        <f>SUMIF(L1:L12,G2,M1:M12)</f>
        <v>0</v>
      </c>
      <c r="D6" s="2733" t="s">
        <v>2816</v>
      </c>
      <c r="E6" s="2734"/>
      <c r="F6" s="2734"/>
      <c r="G6" s="2735"/>
      <c r="H6" s="2735"/>
      <c r="I6" s="2735"/>
      <c r="J6" s="2736"/>
      <c r="K6" s="1839"/>
      <c r="L6" s="2718" t="s">
        <v>2817</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7"/>
      <c r="AD6" s="2728"/>
      <c r="AE6" s="2728"/>
      <c r="AF6" s="2728"/>
      <c r="AG6" s="2728"/>
      <c r="AH6" s="2728"/>
      <c r="AI6" s="2728"/>
      <c r="AJ6" s="2729"/>
    </row>
    <row r="7" spans="1:36" ht="24">
      <c r="A7" s="3383" t="str">
        <f>IF(E2="商业",IF(C8="不临58条商业街","",2),"")</f>
        <v/>
      </c>
      <c r="B7" s="2737" t="s">
        <v>2818</v>
      </c>
      <c r="C7" s="916" t="e">
        <f>IF(C8="不临58条商业街",1,ROUND(1+(1.6*E8+1.2*E9+0.8*E10+0.4*E11)*C9,4))</f>
        <v>#DIV/0!</v>
      </c>
      <c r="D7" s="2738" t="s">
        <v>2819</v>
      </c>
      <c r="E7" s="942"/>
      <c r="F7" s="2739"/>
      <c r="G7" s="2740"/>
      <c r="H7" s="2740"/>
      <c r="I7" s="2740"/>
      <c r="J7" s="2741"/>
      <c r="K7" s="1839"/>
      <c r="L7" s="2718" t="s">
        <v>2820</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2821</v>
      </c>
      <c r="X7" s="1601">
        <f>G2</f>
        <v>0</v>
      </c>
      <c r="Y7" s="1601" t="s">
        <v>2822</v>
      </c>
      <c r="Z7" s="1602">
        <f>G3</f>
        <v>5.84</v>
      </c>
      <c r="AA7" s="1603"/>
      <c r="AB7" s="1603"/>
      <c r="AC7" s="1604"/>
      <c r="AD7" s="1605"/>
      <c r="AE7" s="1605"/>
      <c r="AF7" s="1605"/>
      <c r="AG7" s="1605"/>
      <c r="AH7" s="1605"/>
      <c r="AI7" s="1605"/>
      <c r="AJ7" s="1606"/>
    </row>
    <row r="8" spans="1:36" ht="15">
      <c r="A8" s="3403"/>
      <c r="B8" s="198" t="s">
        <v>2823</v>
      </c>
      <c r="C8" s="2742"/>
      <c r="D8" s="917" t="s">
        <v>139</v>
      </c>
      <c r="E8" s="918" t="e">
        <f>ROUND(C11/E7,4)</f>
        <v>#DIV/0!</v>
      </c>
      <c r="F8" s="2743" t="s">
        <v>2824</v>
      </c>
      <c r="G8" s="2744"/>
      <c r="H8" s="2744"/>
      <c r="I8" s="2744"/>
      <c r="J8" s="2745"/>
      <c r="K8" s="1367"/>
      <c r="L8" s="2718" t="s">
        <v>2825</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396" t="s">
        <v>2826</v>
      </c>
      <c r="X8" s="3397"/>
      <c r="Y8" s="1607" t="s">
        <v>2827</v>
      </c>
      <c r="Z8" s="1607" t="s">
        <v>2828</v>
      </c>
      <c r="AA8" s="1607" t="s">
        <v>2829</v>
      </c>
      <c r="AB8" s="1607" t="s">
        <v>2830</v>
      </c>
      <c r="AC8" s="1607" t="s">
        <v>2831</v>
      </c>
      <c r="AD8" s="1607" t="s">
        <v>2832</v>
      </c>
      <c r="AE8" s="1607" t="s">
        <v>2833</v>
      </c>
      <c r="AF8" s="1607" t="s">
        <v>2834</v>
      </c>
      <c r="AG8" s="1607" t="s">
        <v>2835</v>
      </c>
      <c r="AH8" s="1607" t="s">
        <v>2836</v>
      </c>
      <c r="AI8" s="1607" t="s">
        <v>2837</v>
      </c>
      <c r="AJ8" s="1607" t="s">
        <v>2838</v>
      </c>
    </row>
    <row r="9" spans="1:36" ht="15">
      <c r="A9" s="3403"/>
      <c r="B9" s="198" t="s">
        <v>2839</v>
      </c>
      <c r="C9" s="919">
        <f>SUMIF(修正!C59:C119,C8,修正!E59:E119)</f>
        <v>0</v>
      </c>
      <c r="D9" s="200" t="s">
        <v>140</v>
      </c>
      <c r="E9" s="200" t="e">
        <f>ROUND(C11/E7,4)</f>
        <v>#DIV/0!</v>
      </c>
      <c r="F9" s="2743" t="s">
        <v>2840</v>
      </c>
      <c r="G9" s="2744"/>
      <c r="H9" s="2744"/>
      <c r="I9" s="2744"/>
      <c r="J9" s="2745"/>
      <c r="K9" s="1367"/>
      <c r="L9" s="2718" t="s">
        <v>2841</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398" t="s">
        <v>2842</v>
      </c>
      <c r="X9" s="1608" t="s">
        <v>2843</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403"/>
      <c r="B10" s="198" t="s">
        <v>2844</v>
      </c>
      <c r="C10" s="200">
        <f>SUMIF(修正!C59:C119,C8,修正!F59:F119)</f>
        <v>0</v>
      </c>
      <c r="D10" s="200" t="s">
        <v>141</v>
      </c>
      <c r="E10" s="200" t="e">
        <f>ROUND(C11/E7,4)</f>
        <v>#DIV/0!</v>
      </c>
      <c r="F10" s="2743" t="s">
        <v>2845</v>
      </c>
      <c r="G10" s="2744"/>
      <c r="H10" s="2744"/>
      <c r="I10" s="2744"/>
      <c r="J10" s="2745"/>
      <c r="K10" s="1367"/>
      <c r="L10" s="2718" t="s">
        <v>2846</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398"/>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403"/>
      <c r="B11" s="2746" t="s">
        <v>2847</v>
      </c>
      <c r="C11" s="920">
        <f>C10/4</f>
        <v>0</v>
      </c>
      <c r="D11" s="920" t="s">
        <v>142</v>
      </c>
      <c r="E11" s="920" t="e">
        <f>ROUND(C11/E7,4)</f>
        <v>#DIV/0!</v>
      </c>
      <c r="F11" s="2747" t="s">
        <v>2848</v>
      </c>
      <c r="G11" s="2748"/>
      <c r="H11" s="2748"/>
      <c r="I11" s="2748"/>
      <c r="J11" s="2749"/>
      <c r="K11" s="1367"/>
      <c r="L11" s="2718" t="s">
        <v>2849</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398" t="s">
        <v>2850</v>
      </c>
      <c r="X11" s="1611" t="s">
        <v>2851</v>
      </c>
      <c r="Y11" s="1612">
        <f>$G$3</f>
        <v>5.84</v>
      </c>
      <c r="Z11" s="1612">
        <f t="shared" ref="Z11:AJ11" si="3">$G$3</f>
        <v>5.84</v>
      </c>
      <c r="AA11" s="1612">
        <f t="shared" si="3"/>
        <v>5.84</v>
      </c>
      <c r="AB11" s="1612">
        <f t="shared" si="3"/>
        <v>5.84</v>
      </c>
      <c r="AC11" s="1612">
        <f t="shared" si="3"/>
        <v>5.84</v>
      </c>
      <c r="AD11" s="1612">
        <f t="shared" si="3"/>
        <v>5.84</v>
      </c>
      <c r="AE11" s="1612">
        <f t="shared" si="3"/>
        <v>5.84</v>
      </c>
      <c r="AF11" s="1612">
        <f t="shared" si="3"/>
        <v>5.84</v>
      </c>
      <c r="AG11" s="1612">
        <f t="shared" si="3"/>
        <v>5.84</v>
      </c>
      <c r="AH11" s="1612">
        <f t="shared" si="3"/>
        <v>5.84</v>
      </c>
      <c r="AI11" s="1612">
        <f t="shared" si="3"/>
        <v>5.84</v>
      </c>
      <c r="AJ11" s="1612">
        <f t="shared" si="3"/>
        <v>5.84</v>
      </c>
    </row>
    <row r="12" spans="1:36" ht="25.5" thickBot="1">
      <c r="A12" s="3383" t="s">
        <v>2852</v>
      </c>
      <c r="B12" s="2750" t="s">
        <v>2853</v>
      </c>
      <c r="C12" s="916">
        <f>ROUND(C15*D15*E15*F15*G15*H15*I15*J15,4)</f>
        <v>1</v>
      </c>
      <c r="D12" s="2751" t="s">
        <v>2854</v>
      </c>
      <c r="E12" s="2752"/>
      <c r="F12" s="2752"/>
      <c r="G12" s="2753"/>
      <c r="H12" s="2753"/>
      <c r="I12" s="2753"/>
      <c r="J12" s="2754"/>
      <c r="K12" s="1367"/>
      <c r="L12" s="2755" t="s">
        <v>2855</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398"/>
      <c r="X12" s="1613" t="s">
        <v>2856</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404"/>
      <c r="B13" s="2756" t="s">
        <v>2857</v>
      </c>
      <c r="C13" s="2757" t="s">
        <v>2858</v>
      </c>
      <c r="D13" s="1805" t="s">
        <v>2859</v>
      </c>
      <c r="E13" s="1805" t="s">
        <v>2860</v>
      </c>
      <c r="F13" s="30" t="s">
        <v>2861</v>
      </c>
      <c r="G13" s="2758" t="s">
        <v>2862</v>
      </c>
      <c r="H13" s="2758" t="s">
        <v>2862</v>
      </c>
      <c r="I13" s="2758" t="s">
        <v>2862</v>
      </c>
      <c r="J13" s="2759" t="s">
        <v>2862</v>
      </c>
      <c r="K13" s="1367"/>
      <c r="L13" s="1367"/>
      <c r="M13" s="1367"/>
      <c r="N13" s="1367"/>
      <c r="O13" s="1367"/>
      <c r="P13" s="1367"/>
      <c r="Q13" s="1367"/>
      <c r="R13" s="1599">
        <v>12</v>
      </c>
      <c r="S13" s="1600"/>
      <c r="T13" s="1599" t="e">
        <f t="shared" si="0"/>
        <v>#DIV/0!</v>
      </c>
      <c r="U13" s="1600"/>
      <c r="V13" s="1599" t="e">
        <f t="shared" si="1"/>
        <v>#DIV/0!</v>
      </c>
      <c r="W13" s="3398"/>
      <c r="X13" s="1613"/>
      <c r="Y13" s="1610">
        <f>(-0.163*(Y12^2)-0.59*Y12+7617)*(10^(-4))/Y11</f>
        <v>0.13042808219178084</v>
      </c>
      <c r="Z13" s="1610">
        <f t="shared" ref="Z13:AJ13" si="5">(-0.163*(Z12^2)-0.59*Z12+7617)*(10^(-4))/Z11</f>
        <v>0.13042808219178084</v>
      </c>
      <c r="AA13" s="1610">
        <f t="shared" si="5"/>
        <v>0.13042808219178084</v>
      </c>
      <c r="AB13" s="1610">
        <f t="shared" si="5"/>
        <v>0.13042808219178084</v>
      </c>
      <c r="AC13" s="1610">
        <f t="shared" si="5"/>
        <v>0.13042808219178084</v>
      </c>
      <c r="AD13" s="1610">
        <f t="shared" si="5"/>
        <v>0.13042808219178084</v>
      </c>
      <c r="AE13" s="1610">
        <f t="shared" si="5"/>
        <v>0.13042808219178084</v>
      </c>
      <c r="AF13" s="1610">
        <f t="shared" si="5"/>
        <v>0.13042808219178084</v>
      </c>
      <c r="AG13" s="1610">
        <f t="shared" si="5"/>
        <v>0.13042808219178084</v>
      </c>
      <c r="AH13" s="1610">
        <f t="shared" si="5"/>
        <v>0.13042808219178084</v>
      </c>
      <c r="AI13" s="1610">
        <f t="shared" si="5"/>
        <v>0.13042808219178084</v>
      </c>
      <c r="AJ13" s="1610">
        <f t="shared" si="5"/>
        <v>0.13042808219178084</v>
      </c>
    </row>
    <row r="14" spans="1:36" ht="15">
      <c r="A14" s="3404"/>
      <c r="B14" s="2760"/>
      <c r="C14" s="2761"/>
      <c r="D14" s="2762"/>
      <c r="E14" s="2762"/>
      <c r="F14" s="2763"/>
      <c r="G14" s="2764" t="s">
        <v>2863</v>
      </c>
      <c r="H14" s="2765"/>
      <c r="I14" s="2766"/>
      <c r="J14" s="2767"/>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405"/>
      <c r="B15" s="2768" t="s">
        <v>2864</v>
      </c>
      <c r="C15" s="229">
        <f>IF(C14="有",1.1,1)</f>
        <v>1</v>
      </c>
      <c r="D15" s="229">
        <f>IF(D14="有",1.1,1)</f>
        <v>1</v>
      </c>
      <c r="E15" s="229">
        <f>IF(E14="有",1.1,1)</f>
        <v>1</v>
      </c>
      <c r="F15" s="229">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383" t="s">
        <v>2869</v>
      </c>
      <c r="B16" s="2737" t="s">
        <v>2870</v>
      </c>
      <c r="C16" s="2924" t="e">
        <f>ROUND(IF(F17="与级别开发程度一致",0,(G17-E17)/C17),0)</f>
        <v>#DIV/0!</v>
      </c>
      <c r="D16" s="3394" t="s">
        <v>2874</v>
      </c>
      <c r="E16" s="3395"/>
      <c r="F16" s="3394" t="s">
        <v>2871</v>
      </c>
      <c r="G16" s="3395"/>
      <c r="H16" s="2771"/>
      <c r="I16" s="2771"/>
      <c r="J16" s="2928"/>
      <c r="K16" s="2771"/>
      <c r="L16" s="2771"/>
      <c r="M16" s="2771"/>
      <c r="N16" s="2771"/>
      <c r="O16" s="2772"/>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84"/>
      <c r="B17" s="2935" t="s">
        <v>2873</v>
      </c>
      <c r="C17" s="2936">
        <f>SUMPRODUCT((修正!A2:A5=E2)*(修正!B1:M1=G2)*(修正!B2:M5))</f>
        <v>0</v>
      </c>
      <c r="D17" s="229" t="str">
        <f>IF(OR(G2="八级",G2="九级",G2="十级",G2="十一级",G2="十二级"),"五通一平","七通一平")</f>
        <v>七通一平</v>
      </c>
      <c r="E17" s="2925">
        <f>SUMPRODUCT((修正!B1:M1=G2)*(修正!B15:M15))</f>
        <v>0</v>
      </c>
      <c r="F17" s="2926"/>
      <c r="G17" s="2927">
        <f>SUM(H17:O17)</f>
        <v>0</v>
      </c>
      <c r="H17" s="2936">
        <f>SUMPRODUCT((七通一平=H16)*(修正!B1:M1=G2)*(修正!B6:M14))</f>
        <v>0</v>
      </c>
      <c r="I17" s="2936">
        <f>SUMPRODUCT((七通一平=I16)*(修正!B1:M1=G2)*(修正!B6:M14))</f>
        <v>0</v>
      </c>
      <c r="J17" s="2937">
        <f>SUMPRODUCT((七通一平=J16)*(修正!B1:M1=G2)*(修正!B6:M14))</f>
        <v>0</v>
      </c>
      <c r="K17" s="2936">
        <f>SUMPRODUCT((七通一平=K16)*(修正!B1:M1=G2)*(修正!B6:M14))</f>
        <v>0</v>
      </c>
      <c r="L17" s="2936">
        <f>SUMPRODUCT((七通一平=L16)*(修正!B1:M1=G2)*(修正!B6:M14))</f>
        <v>0</v>
      </c>
      <c r="M17" s="2936">
        <f>SUMPRODUCT((七通一平=M16)*(修正!B1:M1=G2)*(修正!B6:M14))</f>
        <v>0</v>
      </c>
      <c r="N17" s="2936">
        <f>SUMPRODUCT((七通一平=N16)*(修正!B1:M1=G2)*(修正!B6:M14))</f>
        <v>0</v>
      </c>
      <c r="O17" s="2938">
        <f>SUMPRODUCT((七通一平=O16)*(修正!B1:M1=G2)*(修正!B6:M14))</f>
        <v>0</v>
      </c>
      <c r="Q17" s="1367"/>
      <c r="R17" s="1367"/>
      <c r="S17" s="1367"/>
      <c r="T17" s="1367"/>
      <c r="U17" s="1367"/>
      <c r="V17" s="1367"/>
      <c r="W17" s="1367"/>
      <c r="X17" s="1367"/>
      <c r="Y17" s="1367"/>
      <c r="Z17" s="1368"/>
      <c r="AE17" s="2775"/>
      <c r="AF17" s="2775"/>
      <c r="AG17" s="2712"/>
      <c r="AH17" s="2712"/>
      <c r="AI17" s="2712"/>
      <c r="AJ17" s="2712"/>
    </row>
    <row r="18" spans="1:37" s="2730" customFormat="1" ht="15.75" thickBot="1">
      <c r="A18" s="2929" t="s">
        <v>808</v>
      </c>
      <c r="B18" s="2930" t="s">
        <v>2876</v>
      </c>
      <c r="C18" s="2931">
        <f>SUMIF(修正!C18:C39,E3,修正!E18:E39)</f>
        <v>0</v>
      </c>
      <c r="D18" s="2932"/>
      <c r="E18" s="2933"/>
      <c r="F18" s="2933"/>
      <c r="G18" s="2933"/>
      <c r="H18" s="2933"/>
      <c r="I18" s="2933"/>
      <c r="J18" s="2934"/>
      <c r="K18" s="1374"/>
      <c r="O18" s="1372"/>
      <c r="P18" s="1372"/>
      <c r="Q18" s="1373"/>
      <c r="R18" s="1373"/>
      <c r="S18" s="1373"/>
      <c r="T18" s="1368"/>
      <c r="U18" s="1368"/>
      <c r="V18" s="1368"/>
      <c r="W18" s="1367"/>
      <c r="X18" s="1367"/>
      <c r="Y18" s="1367"/>
      <c r="Z18" s="1374"/>
      <c r="AA18" s="1375"/>
      <c r="AB18" s="1375"/>
      <c r="AC18" s="1375"/>
      <c r="AD18" s="1375"/>
      <c r="AE18" s="1369"/>
      <c r="AF18" s="1369"/>
      <c r="AG18" s="2780"/>
      <c r="AH18" s="2780"/>
      <c r="AI18" s="2780"/>
    </row>
    <row r="19" spans="1:37" s="2730" customFormat="1" ht="27.75" thickBot="1">
      <c r="A19" s="2776" t="s">
        <v>809</v>
      </c>
      <c r="B19" s="2777" t="s">
        <v>2877</v>
      </c>
      <c r="C19" s="921" t="e">
        <f>ROUND(IF(H19="按公示增长率计算",SUMPRODUCT((地价!A3:A29=YEAR(G19)&amp;"-"&amp;ROUNDUP(MONTH(G19)/3,0))*(地价!X2:AB2=E2)*(地价!X3:AB29)),IF(H19="地价指数",M20/M19,(1+I19)^O19)),4)</f>
        <v>#VALUE!</v>
      </c>
      <c r="D19" s="2781" t="s">
        <v>2878</v>
      </c>
      <c r="E19" s="922">
        <v>41640</v>
      </c>
      <c r="F19" s="2781" t="s">
        <v>2879</v>
      </c>
      <c r="G19" s="923">
        <f>'数据-取费表'!B2</f>
        <v>43951</v>
      </c>
      <c r="H19" s="2782"/>
      <c r="I19" s="924" t="str">
        <f>IF(H19="季度增幅（自定义）",SUMIF(N21:N24,E2,O21:O24),"")</f>
        <v/>
      </c>
      <c r="J19" s="2779"/>
      <c r="K19" s="1374"/>
      <c r="L19" s="2783" t="s">
        <v>2880</v>
      </c>
      <c r="M19" s="1731">
        <f>ROUND(SUMIF(地价!B2:F2,E2,地价!B29:F29),0)</f>
        <v>0</v>
      </c>
      <c r="N19" s="2784" t="s">
        <v>2881</v>
      </c>
      <c r="O19" s="925">
        <f>ROUNDDOWN(DATEDIF(E19,G19,"M")/3,0)</f>
        <v>25</v>
      </c>
      <c r="P19" s="1371"/>
      <c r="Q19" s="1373"/>
      <c r="R19" s="1373"/>
      <c r="S19" s="1373"/>
      <c r="T19" s="1368"/>
      <c r="U19" s="1368"/>
      <c r="V19" s="1368"/>
      <c r="W19" s="1367"/>
      <c r="X19" s="1367"/>
      <c r="Y19" s="1367"/>
      <c r="Z19" s="1374"/>
      <c r="AA19" s="1375"/>
      <c r="AB19" s="1375"/>
      <c r="AC19" s="1375"/>
      <c r="AD19" s="1375"/>
      <c r="AE19" s="1375"/>
      <c r="AF19" s="2785"/>
      <c r="AG19" s="2786"/>
      <c r="AH19" s="2780"/>
      <c r="AI19" s="2787"/>
      <c r="AJ19" s="2787"/>
      <c r="AK19" s="2787"/>
    </row>
    <row r="20" spans="1:37" s="2730" customFormat="1" ht="27.75" thickBot="1">
      <c r="A20" s="2788" t="s">
        <v>810</v>
      </c>
      <c r="B20" s="2789" t="s">
        <v>2882</v>
      </c>
      <c r="C20" s="926" t="e">
        <f>ROUND(POWER(1+G20,J20-I20)*(POWER(1+G20,I20)-1)/(POWER(1+G20,J20)-1),4)</f>
        <v>#DIV/0!</v>
      </c>
      <c r="D20" s="2790" t="s">
        <v>2883</v>
      </c>
      <c r="E20" s="1765">
        <f ca="1">存贷款利率!D4/100</f>
        <v>4.3499999999999997E-2</v>
      </c>
      <c r="F20" s="2790" t="s">
        <v>2875</v>
      </c>
      <c r="G20" s="931">
        <f>SUMIF(M26:P26,E2,M28:P28)</f>
        <v>0</v>
      </c>
      <c r="H20" s="2790" t="s">
        <v>2884</v>
      </c>
      <c r="I20" s="932" t="e">
        <f>SUMIF('数据-取费表'!C6:C15,E2,'数据-取费表'!F6:F15)/COUNTIF('数据-取费表'!C6:C15,E2)</f>
        <v>#DIV/0!</v>
      </c>
      <c r="J20" s="933">
        <f>IF(E2="住宅",70,IF(E2="商业",40,50))</f>
        <v>50</v>
      </c>
      <c r="K20" s="1374"/>
      <c r="L20" s="2791" t="s">
        <v>2885</v>
      </c>
      <c r="M20" s="1732">
        <f>ROUND(SUMPRODUCT((地价!A4:A29=YEAR(G19)&amp;"-"&amp;ROUNDUP(MONTH(G19)/3,0))*(地价!B2:F2=E2)*(地价!B4:F29)),0)</f>
        <v>0</v>
      </c>
      <c r="N20" s="2792" t="s">
        <v>2886</v>
      </c>
      <c r="O20" s="2793" t="s">
        <v>2887</v>
      </c>
      <c r="P20" s="2794" t="s">
        <v>2888</v>
      </c>
      <c r="R20" s="1373"/>
      <c r="S20" s="1373"/>
      <c r="T20" s="1368"/>
      <c r="U20" s="1368"/>
      <c r="V20" s="1368"/>
      <c r="W20" s="1367"/>
      <c r="X20" s="1367"/>
      <c r="Y20" s="1367"/>
      <c r="Z20" s="1374"/>
      <c r="AA20" s="1375"/>
      <c r="AB20" s="1375"/>
      <c r="AC20" s="1375"/>
      <c r="AD20" s="1375"/>
      <c r="AE20" s="1375"/>
      <c r="AF20" s="1375"/>
    </row>
    <row r="21" spans="1:37" s="2730" customFormat="1" ht="15">
      <c r="A21" s="2795" t="s">
        <v>811</v>
      </c>
      <c r="B21" s="2796" t="s">
        <v>2889</v>
      </c>
      <c r="C21" s="934">
        <f>IF(B21="容积率修正",IF(G3&lt;=10,D22,J22),C23)</f>
        <v>0</v>
      </c>
      <c r="D21" s="2797"/>
      <c r="E21" s="2797"/>
      <c r="F21" s="2797"/>
      <c r="G21" s="2797"/>
      <c r="H21" s="2797"/>
      <c r="I21" s="2797"/>
      <c r="J21" s="2798"/>
      <c r="K21" s="1374"/>
      <c r="N21" s="2799" t="s">
        <v>2890</v>
      </c>
      <c r="O21" s="1558"/>
      <c r="P21" s="1559">
        <f>SUMPRODUCT((地价!A3:A29=YEAR(G19)&amp;"-"&amp;ROUNDUP(MONTH(G19)/3,0))*(地价!AD2:AH2=N21)*(地价!AD3:AH29))</f>
        <v>0</v>
      </c>
      <c r="R21" s="1373"/>
      <c r="S21" s="1373"/>
      <c r="T21" s="1368"/>
      <c r="U21" s="1368"/>
      <c r="V21" s="1368"/>
      <c r="W21" s="1367"/>
      <c r="X21" s="1367"/>
      <c r="Y21" s="1367"/>
      <c r="Z21" s="1374"/>
      <c r="AA21" s="1375"/>
      <c r="AB21" s="1375"/>
      <c r="AC21" s="1375"/>
      <c r="AD21" s="1375"/>
      <c r="AE21" s="1375"/>
      <c r="AF21" s="1375"/>
    </row>
    <row r="22" spans="1:37" s="2730" customFormat="1" ht="14.25">
      <c r="A22" s="2656" t="s">
        <v>2891</v>
      </c>
      <c r="B22" s="2800" t="s">
        <v>2892</v>
      </c>
      <c r="C22" s="1807" t="s">
        <v>2893</v>
      </c>
      <c r="D22" s="1807">
        <f>IF(E22=G22,F22,IF(G3&lt;=10,ROUND(F22+(H22-F22)*(G3-E22)/(G22-E22),4),"——"))</f>
        <v>0</v>
      </c>
      <c r="E22" s="913">
        <f>ROUNDDOWN(G3,1)</f>
        <v>5.8</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5.8999999999999995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5" t="str">
        <f>IF(G3&gt;10,D113,"——")</f>
        <v>——</v>
      </c>
      <c r="K22" s="1374"/>
      <c r="N22" s="2799" t="s">
        <v>2894</v>
      </c>
      <c r="O22" s="1558"/>
      <c r="P22" s="1559">
        <f>SUMPRODUCT((地价!A3:A29=YEAR(G19)&amp;"-"&amp;ROUNDUP(MONTH(G19)/3,0))*(地价!AD2:AH2=N22)*(地价!AD3:AH29))</f>
        <v>0</v>
      </c>
      <c r="R22" s="1373"/>
      <c r="S22" s="1373"/>
      <c r="T22" s="1368"/>
      <c r="U22" s="1368"/>
      <c r="V22" s="1368"/>
      <c r="W22" s="1367"/>
      <c r="X22" s="1367"/>
      <c r="Y22" s="1367"/>
      <c r="Z22" s="1374"/>
      <c r="AA22" s="1375"/>
      <c r="AB22" s="1375"/>
      <c r="AC22" s="1375"/>
      <c r="AD22" s="1375"/>
      <c r="AE22" s="1375"/>
      <c r="AF22" s="1375"/>
    </row>
    <row r="23" spans="1:37" ht="27.75" thickBot="1">
      <c r="A23" s="2656" t="s">
        <v>2895</v>
      </c>
      <c r="B23" s="2801" t="s">
        <v>2896</v>
      </c>
      <c r="C23" s="1010">
        <f>ROUND(IF(G3&gt;1,IF(I3&lt;7,SUMPRODUCT((B93:B98=I3)*(C92:N92=G2)*(C93:N98)),SUMIF(C92:N92,G2,C100:N100)),IF(I3&lt;7,SUMPRODUCT((B102:B107=I3)*(C92:N92=G2)*(C102:N107)),SUMIF(C92:N92,G2,C109:N109))),4)</f>
        <v>0</v>
      </c>
      <c r="D23" s="2765"/>
      <c r="E23" s="2765"/>
      <c r="F23" s="2802"/>
      <c r="G23" s="2803"/>
      <c r="H23" s="2804"/>
      <c r="I23" s="2805"/>
      <c r="J23" s="2806"/>
      <c r="K23" s="1367"/>
      <c r="N23" s="2799" t="s">
        <v>2897</v>
      </c>
      <c r="O23" s="1558"/>
      <c r="P23" s="1559">
        <f>SUMPRODUCT((地价!A3:A29=YEAR(G19)&amp;"-"&amp;ROUNDUP(MONTH(G19)/3,0))*(地价!AD2:AH2=N23)*(地价!AD3:AH29))</f>
        <v>0</v>
      </c>
      <c r="R23" s="1373"/>
      <c r="S23" s="1373"/>
      <c r="T23" s="1368"/>
      <c r="U23" s="1368"/>
      <c r="V23" s="1368"/>
      <c r="W23" s="1367"/>
      <c r="X23" s="1367"/>
      <c r="Y23" s="1367"/>
      <c r="Z23" s="1374"/>
      <c r="AA23" s="1375"/>
      <c r="AB23" s="1375"/>
      <c r="AC23" s="1375"/>
      <c r="AD23" s="1375"/>
      <c r="AK23" s="2780"/>
    </row>
    <row r="24" spans="1:37" s="2730" customFormat="1" ht="15.75" thickBot="1">
      <c r="A24" s="2788" t="s">
        <v>812</v>
      </c>
      <c r="B24" s="2777" t="s">
        <v>2898</v>
      </c>
      <c r="C24" s="921">
        <f>SUMIF(A45:A88,E2,B45:B88)</f>
        <v>0</v>
      </c>
      <c r="D24" s="2778"/>
      <c r="E24" s="2807"/>
      <c r="F24" s="2807"/>
      <c r="G24" s="2807"/>
      <c r="H24" s="2807"/>
      <c r="I24" s="2807"/>
      <c r="J24" s="2808"/>
      <c r="K24" s="1374"/>
      <c r="N24" s="2809" t="s">
        <v>2899</v>
      </c>
      <c r="O24" s="1560"/>
      <c r="P24" s="1561">
        <f>SUMPRODUCT((地价!A3:A29=YEAR(G19)&amp;"-"&amp;ROUNDUP(MONTH(G19)/3,0))*(地价!AD2:AH2=N24)*(地价!AD3:AH29))</f>
        <v>0</v>
      </c>
      <c r="R24" s="1373"/>
      <c r="S24" s="1373"/>
      <c r="T24" s="1368"/>
      <c r="U24" s="1368"/>
      <c r="V24" s="1368"/>
      <c r="W24" s="1367"/>
      <c r="X24" s="1367"/>
      <c r="Y24" s="1367"/>
      <c r="Z24" s="1374"/>
      <c r="AA24" s="1375"/>
      <c r="AB24" s="1375"/>
      <c r="AC24" s="1375"/>
      <c r="AD24" s="1375"/>
      <c r="AE24" s="1375"/>
      <c r="AF24" s="1375"/>
    </row>
    <row r="25" spans="1:37" ht="15.75" thickBot="1">
      <c r="A25" s="2788" t="s">
        <v>813</v>
      </c>
      <c r="B25" s="2810" t="s">
        <v>2900</v>
      </c>
      <c r="C25" s="927"/>
      <c r="D25" s="2740"/>
      <c r="E25" s="2740"/>
      <c r="F25" s="2811"/>
      <c r="G25" s="2740"/>
      <c r="H25" s="2740"/>
      <c r="I25" s="2740"/>
      <c r="J25" s="2741"/>
      <c r="K25" s="1367"/>
      <c r="N25" s="2812" t="s">
        <v>2901</v>
      </c>
      <c r="O25" s="1562"/>
      <c r="P25" s="1561">
        <f>SUMPRODUCT((地价!A3:A29=YEAR(G19)&amp;"-"&amp;ROUNDUP(MONTH(G19)/3,0))*(地价!AD2:AH2=N25)*(地价!AD3:AH29))</f>
        <v>0</v>
      </c>
      <c r="R25" s="1373"/>
      <c r="S25" s="1373"/>
      <c r="T25" s="1368"/>
      <c r="U25" s="1368"/>
      <c r="V25" s="1368"/>
      <c r="W25" s="1367"/>
      <c r="X25" s="1367"/>
      <c r="Y25" s="1367"/>
      <c r="Z25" s="1374"/>
      <c r="AA25" s="1375"/>
      <c r="AB25" s="1375"/>
      <c r="AC25" s="1375"/>
      <c r="AD25" s="1375"/>
    </row>
    <row r="26" spans="1:37" ht="15">
      <c r="A26" s="2813"/>
      <c r="B26" s="2800" t="s">
        <v>2902</v>
      </c>
      <c r="C26" s="206" t="e">
        <f>E29+SUM(E33:E39)</f>
        <v>#DIV/0!</v>
      </c>
      <c r="D26" s="2814"/>
      <c r="E26" s="2765"/>
      <c r="F26" s="2815"/>
      <c r="G26" s="2765"/>
      <c r="H26" s="2765"/>
      <c r="I26" s="2765"/>
      <c r="J26" s="2816"/>
      <c r="K26" s="1367"/>
      <c r="L26" s="2769" t="s">
        <v>2800</v>
      </c>
      <c r="M26" s="917" t="s">
        <v>2865</v>
      </c>
      <c r="N26" s="917" t="s">
        <v>2866</v>
      </c>
      <c r="O26" s="917" t="s">
        <v>2867</v>
      </c>
      <c r="P26" s="2770" t="s">
        <v>2868</v>
      </c>
      <c r="R26" s="1373"/>
      <c r="S26" s="1373"/>
      <c r="T26" s="1368"/>
      <c r="U26" s="1368"/>
      <c r="V26" s="1368"/>
      <c r="W26" s="1367"/>
      <c r="X26" s="1367"/>
      <c r="Y26" s="1367"/>
      <c r="Z26" s="1374"/>
      <c r="AA26" s="1375"/>
      <c r="AB26" s="1375"/>
      <c r="AC26" s="1375"/>
      <c r="AD26" s="1375"/>
    </row>
    <row r="27" spans="1:37" ht="15.75" thickBot="1">
      <c r="A27" s="2813"/>
      <c r="B27" s="2817" t="s">
        <v>2903</v>
      </c>
      <c r="C27" s="928" t="e">
        <f>E30+SUM(I33:I39)</f>
        <v>#DIV/0!</v>
      </c>
      <c r="D27" s="2818"/>
      <c r="E27" s="2819"/>
      <c r="F27" s="2820"/>
      <c r="G27" s="2819"/>
      <c r="H27" s="2819"/>
      <c r="I27" s="2819"/>
      <c r="J27" s="2821"/>
      <c r="K27" s="1367"/>
      <c r="L27" s="2773" t="s">
        <v>2872</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2"/>
      <c r="B28" s="2823" t="s">
        <v>2904</v>
      </c>
      <c r="C28" s="2824" t="s">
        <v>2905</v>
      </c>
      <c r="D28" s="2824" t="s">
        <v>2906</v>
      </c>
      <c r="E28" s="2825" t="s">
        <v>2907</v>
      </c>
      <c r="F28" s="2826"/>
      <c r="G28" s="2753"/>
      <c r="H28" s="2753"/>
      <c r="I28" s="2753"/>
      <c r="J28" s="2754"/>
      <c r="K28" s="1367"/>
      <c r="L28" s="2774" t="s">
        <v>2875</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7"/>
      <c r="B29" s="2828" t="s">
        <v>2908</v>
      </c>
      <c r="C29" s="206" t="e">
        <f>ROUND(C5*C18*C19*C20*C21*C24,0)</f>
        <v>#DIV/0!</v>
      </c>
      <c r="D29" s="2829"/>
      <c r="E29" s="939" t="e">
        <f>ROUND(C29*D29/10000,0)</f>
        <v>#DIV/0!</v>
      </c>
      <c r="F29" s="2830" t="s">
        <v>2909</v>
      </c>
      <c r="G29" s="2831"/>
      <c r="H29" s="2831"/>
      <c r="I29" s="2831"/>
      <c r="J29" s="2832"/>
      <c r="K29" s="1367"/>
      <c r="L29" s="1367"/>
      <c r="M29" s="1367"/>
      <c r="N29" s="1367"/>
      <c r="O29" s="1372"/>
      <c r="P29" s="1372"/>
      <c r="Q29" s="1373"/>
      <c r="R29" s="1373"/>
      <c r="S29" s="1373"/>
      <c r="T29" s="1368"/>
      <c r="U29" s="1368"/>
      <c r="V29" s="1368"/>
      <c r="W29" s="1367"/>
      <c r="X29" s="1367"/>
      <c r="Y29" s="1367"/>
      <c r="Z29" s="1374"/>
      <c r="AA29" s="1375"/>
      <c r="AB29" s="1375"/>
      <c r="AC29" s="1375"/>
      <c r="AD29" s="1375"/>
      <c r="AE29" s="2775"/>
      <c r="AF29" s="2775"/>
      <c r="AG29" s="2712"/>
      <c r="AH29" s="2712"/>
      <c r="AI29" s="2712"/>
      <c r="AJ29" s="2712"/>
    </row>
    <row r="30" spans="1:37" ht="25.5" thickBot="1">
      <c r="A30" s="2833"/>
      <c r="B30" s="2834" t="s">
        <v>2910</v>
      </c>
      <c r="C30" s="229" t="e">
        <f>ROUND(IF(E2="工业",C29*M39,C29*M38),0)</f>
        <v>#DIV/0!</v>
      </c>
      <c r="D30" s="2835"/>
      <c r="E30" s="939" t="e">
        <f>ROUND(C30*D30/10000,0)</f>
        <v>#DIV/0!</v>
      </c>
      <c r="F30" s="2836" t="s">
        <v>2911</v>
      </c>
      <c r="G30" s="2837"/>
      <c r="H30" s="2837"/>
      <c r="I30" s="2837"/>
      <c r="J30" s="2838"/>
      <c r="K30" s="1367"/>
      <c r="L30" s="1367"/>
      <c r="M30" s="1367"/>
      <c r="N30" s="1367"/>
      <c r="O30" s="1372"/>
      <c r="P30" s="1372"/>
      <c r="Q30" s="1373"/>
      <c r="R30" s="1373"/>
      <c r="S30" s="1373"/>
      <c r="T30" s="1368"/>
      <c r="U30" s="1368"/>
      <c r="V30" s="1368"/>
      <c r="W30" s="1367"/>
      <c r="X30" s="1367"/>
      <c r="Y30" s="1367"/>
      <c r="Z30" s="1374"/>
      <c r="AA30" s="1375"/>
      <c r="AB30" s="1375"/>
      <c r="AC30" s="1375"/>
      <c r="AD30" s="1375"/>
      <c r="AE30" s="2775"/>
      <c r="AF30" s="2775"/>
      <c r="AG30" s="2712"/>
      <c r="AH30" s="2712"/>
      <c r="AI30" s="2712"/>
      <c r="AJ30" s="2712"/>
    </row>
    <row r="31" spans="1:37" ht="14.25">
      <c r="A31" s="2839"/>
      <c r="B31" s="2840" t="s">
        <v>2912</v>
      </c>
      <c r="C31" s="2841" t="s">
        <v>2913</v>
      </c>
      <c r="D31" s="2753"/>
      <c r="E31" s="2841"/>
      <c r="F31" s="2841"/>
      <c r="G31" s="2751" t="s">
        <v>2914</v>
      </c>
      <c r="H31" s="2753"/>
      <c r="I31" s="2842"/>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5"/>
      <c r="AF31" s="2775"/>
      <c r="AG31" s="2712"/>
      <c r="AH31" s="2712"/>
      <c r="AI31" s="2712"/>
      <c r="AJ31" s="2712"/>
    </row>
    <row r="32" spans="1:37" ht="24">
      <c r="A32" s="2827"/>
      <c r="B32" s="2843"/>
      <c r="C32" s="501" t="s">
        <v>2905</v>
      </c>
      <c r="D32" s="498" t="s">
        <v>2906</v>
      </c>
      <c r="E32" s="498" t="s">
        <v>2907</v>
      </c>
      <c r="F32" s="388" t="s">
        <v>2915</v>
      </c>
      <c r="G32" s="2844" t="s">
        <v>2905</v>
      </c>
      <c r="H32" s="2844" t="s">
        <v>2906</v>
      </c>
      <c r="I32" s="2844" t="s">
        <v>2907</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5"/>
      <c r="AF32" s="2775"/>
      <c r="AG32" s="2712"/>
      <c r="AH32" s="2712"/>
      <c r="AI32" s="2712"/>
      <c r="AJ32" s="2712"/>
    </row>
    <row r="33" spans="1:37" ht="36" customHeight="1">
      <c r="A33" s="3391" t="s">
        <v>2916</v>
      </c>
      <c r="B33" s="2845" t="s">
        <v>2917</v>
      </c>
      <c r="C33" s="206" t="e">
        <f>ROUND(D5*C19*C20*C24*F33,0)</f>
        <v>#DIV/0!</v>
      </c>
      <c r="D33" s="2829"/>
      <c r="E33" s="200" t="e">
        <f>ROUND(C33*D33/10000,0)</f>
        <v>#DIV/0!</v>
      </c>
      <c r="F33" s="200">
        <f>SUMIF(修正!A45:A56,G2,修正!B45:B56)</f>
        <v>0</v>
      </c>
      <c r="G33" s="200" t="e">
        <f t="shared" ref="G33" si="6">ROUND(IF(E2="工业",C33*$M$39,C33*$M$38),0)</f>
        <v>#DIV/0!</v>
      </c>
      <c r="H33" s="200">
        <f>D33</f>
        <v>0</v>
      </c>
      <c r="I33" s="200" t="e">
        <f>ROUND(G33*H33/10000,0)</f>
        <v>#DIV/0!</v>
      </c>
      <c r="J33" s="284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92"/>
      <c r="B34" s="2757" t="s">
        <v>2918</v>
      </c>
      <c r="C34" s="206" t="e">
        <f>ROUND(D5*C19*C20*C24*F34,0)</f>
        <v>#DIV/0!</v>
      </c>
      <c r="D34" s="282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92"/>
      <c r="B35" s="2757" t="s">
        <v>2919</v>
      </c>
      <c r="C35" s="206" t="e">
        <f>ROUND(D5*C19*C20*C24*F35,0)</f>
        <v>#DIV/0!</v>
      </c>
      <c r="D35" s="2829"/>
      <c r="E35" s="200" t="e">
        <f t="shared" si="7"/>
        <v>#DIV/0!</v>
      </c>
      <c r="F35" s="200">
        <f>SUMIF(修正!A45:A56,G2,修正!D45:D56)</f>
        <v>0</v>
      </c>
      <c r="G35" s="200" t="e">
        <f>ROUND(IF(E2="工业",C35*$M$39,C35*$M$38),0)</f>
        <v>#DIV/0!</v>
      </c>
      <c r="H35" s="200">
        <f t="shared" si="8"/>
        <v>0</v>
      </c>
      <c r="I35" s="200" t="e">
        <f t="shared" si="9"/>
        <v>#DIV/0!</v>
      </c>
      <c r="J35" s="2846"/>
      <c r="K35" s="1367"/>
      <c r="L35" s="1367"/>
      <c r="M35" s="1367"/>
      <c r="N35" s="1367"/>
      <c r="O35" s="1367"/>
      <c r="P35" s="1367"/>
      <c r="Q35" s="1367"/>
      <c r="R35" s="1367"/>
      <c r="S35" s="1367"/>
      <c r="T35" s="1367"/>
      <c r="U35" s="1367"/>
      <c r="V35" s="1367"/>
      <c r="W35" s="1367"/>
      <c r="X35" s="1367"/>
      <c r="Y35" s="1367"/>
      <c r="Z35" s="1368"/>
    </row>
    <row r="36" spans="1:37" ht="13.5" thickBot="1">
      <c r="A36" s="3393"/>
      <c r="B36" s="2757" t="s">
        <v>2920</v>
      </c>
      <c r="C36" s="206" t="e">
        <f>ROUND(D5*C19*C20*C24*F36,0)</f>
        <v>#DIV/0!</v>
      </c>
      <c r="D36" s="2829"/>
      <c r="E36" s="200" t="e">
        <f t="shared" si="7"/>
        <v>#DIV/0!</v>
      </c>
      <c r="F36" s="200">
        <f>SUMIF(修正!A45:A56,G2,修正!E45:E56)</f>
        <v>0</v>
      </c>
      <c r="G36" s="200" t="e">
        <f>ROUND(IF(E2="工业",C36*$M$39,C36*$M$38),0)</f>
        <v>#DIV/0!</v>
      </c>
      <c r="H36" s="200">
        <f t="shared" si="8"/>
        <v>0</v>
      </c>
      <c r="I36" s="200" t="e">
        <f t="shared" si="9"/>
        <v>#DIV/0!</v>
      </c>
      <c r="J36" s="2846"/>
      <c r="K36" s="1367"/>
      <c r="L36" s="2711"/>
      <c r="M36" s="2711"/>
      <c r="N36" s="1367"/>
      <c r="O36" s="1367"/>
      <c r="P36" s="1367"/>
      <c r="Q36" s="1367"/>
      <c r="R36" s="1367"/>
      <c r="S36" s="1367"/>
      <c r="T36" s="1367"/>
      <c r="U36" s="1367"/>
      <c r="V36" s="1367"/>
      <c r="W36" s="1367"/>
      <c r="X36" s="1367"/>
      <c r="Y36" s="1367"/>
      <c r="Z36" s="1368"/>
    </row>
    <row r="37" spans="1:37">
      <c r="A37" s="2847"/>
      <c r="B37" s="2757" t="s">
        <v>2921</v>
      </c>
      <c r="C37" s="200" t="e">
        <f>ROUND(D5*C19*C20*C24*F37,0)</f>
        <v>#DIV/0!</v>
      </c>
      <c r="D37" s="2829"/>
      <c r="E37" s="200" t="e">
        <f t="shared" si="7"/>
        <v>#DIV/0!</v>
      </c>
      <c r="F37" s="206">
        <f>SUMIF(修正!A45:A56,G2,修正!F45:F56)</f>
        <v>0</v>
      </c>
      <c r="G37" s="200" t="e">
        <f>ROUND(IF(E2="工业",C37*$M$39,C37*$M$38),0)</f>
        <v>#DIV/0!</v>
      </c>
      <c r="H37" s="200">
        <f t="shared" si="8"/>
        <v>0</v>
      </c>
      <c r="I37" s="200" t="e">
        <f t="shared" si="9"/>
        <v>#DIV/0!</v>
      </c>
      <c r="J37" s="2846"/>
      <c r="K37" s="1367"/>
      <c r="L37" s="2848" t="s">
        <v>2922</v>
      </c>
      <c r="M37" s="2849"/>
      <c r="N37" s="1367"/>
      <c r="O37" s="1367"/>
      <c r="P37" s="1367"/>
      <c r="Q37" s="1367"/>
      <c r="R37" s="1367"/>
      <c r="S37" s="1367"/>
      <c r="T37" s="1367"/>
      <c r="U37" s="1367"/>
      <c r="V37" s="1367"/>
      <c r="W37" s="1367"/>
      <c r="X37" s="1367"/>
      <c r="Y37" s="1367"/>
      <c r="Z37" s="1368"/>
    </row>
    <row r="38" spans="1:37">
      <c r="A38" s="2847"/>
      <c r="B38" s="2757" t="s">
        <v>2923</v>
      </c>
      <c r="C38" s="200" t="e">
        <f>ROUND(D5*C19*C41*C24*F38,0)</f>
        <v>#DIV/0!</v>
      </c>
      <c r="D38" s="2829"/>
      <c r="E38" s="200" t="e">
        <f t="shared" si="7"/>
        <v>#DIV/0!</v>
      </c>
      <c r="F38" s="206">
        <f>SUMIF(修正!A45:A56,G2,修正!G45:G56)</f>
        <v>0</v>
      </c>
      <c r="G38" s="200" t="e">
        <f>ROUND(IF(E2="工业",C38*$M$39,C38*$M$38),0)</f>
        <v>#DIV/0!</v>
      </c>
      <c r="H38" s="200">
        <f t="shared" si="8"/>
        <v>0</v>
      </c>
      <c r="I38" s="200" t="e">
        <f t="shared" si="9"/>
        <v>#DIV/0!</v>
      </c>
      <c r="J38" s="2846"/>
      <c r="K38" s="1367"/>
      <c r="L38" s="1884" t="s">
        <v>2924</v>
      </c>
      <c r="M38" s="2850">
        <v>0.25</v>
      </c>
      <c r="N38" s="1367"/>
      <c r="O38" s="1367"/>
      <c r="P38" s="1367"/>
      <c r="Q38" s="1367"/>
      <c r="R38" s="1367"/>
      <c r="S38" s="1367"/>
      <c r="T38" s="1367"/>
      <c r="U38" s="1367"/>
      <c r="V38" s="1367"/>
      <c r="W38" s="1367"/>
      <c r="X38" s="1367"/>
      <c r="Y38" s="1367"/>
      <c r="Z38" s="1368"/>
    </row>
    <row r="39" spans="1:37" ht="13.5" thickBot="1">
      <c r="A39" s="2833"/>
      <c r="B39" s="2851" t="s">
        <v>2925</v>
      </c>
      <c r="C39" s="229" t="e">
        <f>ROUND(D5*C19*C41*C24*F39,0)</f>
        <v>#DIV/0!</v>
      </c>
      <c r="D39" s="2835"/>
      <c r="E39" s="229" t="e">
        <f t="shared" si="7"/>
        <v>#DIV/0!</v>
      </c>
      <c r="F39" s="929">
        <f>SUMIF(修正!A45:A56,G2,修正!H45:H56)</f>
        <v>0</v>
      </c>
      <c r="G39" s="229" t="e">
        <f>ROUND(IF(E2="工业",C39*$M$39,C39*$M$38),0)</f>
        <v>#DIV/0!</v>
      </c>
      <c r="H39" s="229">
        <f t="shared" si="8"/>
        <v>0</v>
      </c>
      <c r="I39" s="229" t="e">
        <f t="shared" si="9"/>
        <v>#DIV/0!</v>
      </c>
      <c r="J39" s="2852"/>
      <c r="K39" s="1367"/>
      <c r="L39" s="2853" t="s">
        <v>2868</v>
      </c>
      <c r="M39" s="285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2" t="s">
        <v>3033</v>
      </c>
      <c r="C41" s="388" t="e">
        <f>ROUND(POWER(1+E41,H41-G41)*(POWER(1+E41,G41)-1)/(POWER(1+E41,H41)-1),4)</f>
        <v>#DIV/0!</v>
      </c>
      <c r="D41" s="200" t="s">
        <v>2875</v>
      </c>
      <c r="E41" s="2921">
        <f>G20</f>
        <v>0</v>
      </c>
      <c r="F41" s="200" t="s">
        <v>2884</v>
      </c>
      <c r="G41" s="218"/>
      <c r="H41" s="200">
        <v>50</v>
      </c>
      <c r="Z41" s="1368"/>
      <c r="AA41" s="1368"/>
      <c r="AB41" s="1368"/>
      <c r="AC41" s="1368"/>
      <c r="AD41" s="1368"/>
      <c r="AE41" s="1368"/>
      <c r="AF41" s="1368"/>
      <c r="AG41" s="1368"/>
      <c r="AH41" s="1368"/>
      <c r="AI41" s="1368"/>
      <c r="AJ41" s="1368"/>
    </row>
    <row r="42" spans="1:37" s="1367" customFormat="1">
      <c r="A42" s="1368"/>
      <c r="B42" s="2855"/>
      <c r="Z42" s="1368"/>
      <c r="AA42" s="1368"/>
      <c r="AB42" s="1368"/>
      <c r="AC42" s="1368"/>
      <c r="AD42" s="1368"/>
      <c r="AE42" s="1368"/>
      <c r="AF42" s="1368"/>
      <c r="AG42" s="1368"/>
      <c r="AH42" s="1368"/>
      <c r="AI42" s="1368"/>
      <c r="AJ42" s="1368"/>
    </row>
    <row r="43" spans="1:37" s="1367" customFormat="1">
      <c r="A43" s="1368"/>
      <c r="B43" s="2855"/>
      <c r="Z43" s="1368"/>
      <c r="AA43" s="1368"/>
      <c r="AB43" s="1368"/>
      <c r="AC43" s="1368"/>
      <c r="AD43" s="1368"/>
      <c r="AE43" s="1368"/>
      <c r="AF43" s="1368"/>
      <c r="AG43" s="1368"/>
      <c r="AH43" s="1368"/>
      <c r="AI43" s="1368"/>
      <c r="AJ43" s="1368"/>
    </row>
    <row r="44" spans="1:37" s="1367" customFormat="1">
      <c r="A44" s="1368"/>
      <c r="B44" s="2855"/>
      <c r="Z44" s="1368"/>
      <c r="AA44" s="1368"/>
      <c r="AB44" s="1368"/>
      <c r="AC44" s="1368"/>
      <c r="AD44" s="1368"/>
      <c r="AE44" s="1368"/>
      <c r="AF44" s="1368"/>
      <c r="AG44" s="1368"/>
      <c r="AH44" s="1368"/>
      <c r="AI44" s="1368"/>
      <c r="AJ44" s="1368"/>
    </row>
    <row r="45" spans="1:37" s="1367" customFormat="1" ht="15.75" thickBot="1">
      <c r="A45" s="2856" t="s">
        <v>2926</v>
      </c>
      <c r="B45" s="2857"/>
      <c r="C45" s="7"/>
      <c r="D45" s="7"/>
      <c r="E45" s="7"/>
      <c r="F45" s="6"/>
      <c r="G45" s="6"/>
      <c r="H45" s="6"/>
      <c r="I45" s="7"/>
      <c r="J45" s="7"/>
      <c r="K45" s="7"/>
      <c r="L45" s="7"/>
      <c r="M45" s="7"/>
      <c r="N45" s="2775"/>
      <c r="Z45" s="1368"/>
      <c r="AA45" s="1368"/>
      <c r="AB45" s="1368"/>
      <c r="AC45" s="1368"/>
      <c r="AD45" s="1368"/>
      <c r="AE45" s="1368"/>
      <c r="AF45" s="1368"/>
      <c r="AG45" s="1368"/>
      <c r="AH45" s="1368"/>
      <c r="AI45" s="1368"/>
      <c r="AJ45" s="1368"/>
    </row>
    <row r="46" spans="1:37" s="1367" customFormat="1" ht="15">
      <c r="A46" s="2858" t="s">
        <v>2927</v>
      </c>
      <c r="B46" s="2859">
        <f>1+E48</f>
        <v>1</v>
      </c>
      <c r="C46" s="2860"/>
      <c r="D46" s="811"/>
      <c r="E46" s="812"/>
      <c r="F46" s="2861"/>
      <c r="G46" s="6"/>
      <c r="H46" s="7"/>
      <c r="I46" s="7"/>
      <c r="J46" s="7"/>
      <c r="K46" s="7"/>
      <c r="L46" s="7"/>
      <c r="M46" s="7"/>
      <c r="N46" s="2775"/>
      <c r="Z46" s="1368"/>
      <c r="AA46" s="1368"/>
      <c r="AB46" s="1368"/>
      <c r="AC46" s="1368"/>
      <c r="AD46" s="1368"/>
      <c r="AE46" s="1368"/>
      <c r="AF46" s="1368"/>
      <c r="AG46" s="1368"/>
      <c r="AH46" s="1368"/>
      <c r="AI46" s="1368"/>
      <c r="AJ46" s="1368"/>
    </row>
    <row r="47" spans="1:37" s="1367" customFormat="1" ht="24.75">
      <c r="A47" s="2862" t="s">
        <v>2928</v>
      </c>
      <c r="B47" s="1806" t="s">
        <v>2929</v>
      </c>
      <c r="C47" s="1806" t="s">
        <v>2930</v>
      </c>
      <c r="D47" s="1806" t="s">
        <v>2931</v>
      </c>
      <c r="E47" s="816" t="s">
        <v>2932</v>
      </c>
      <c r="F47" s="2863" t="s">
        <v>2933</v>
      </c>
      <c r="G47" s="1806" t="s">
        <v>754</v>
      </c>
      <c r="H47" s="2864" t="s">
        <v>2934</v>
      </c>
      <c r="I47" s="1806" t="s">
        <v>2935</v>
      </c>
      <c r="J47" s="603" t="s">
        <v>2584</v>
      </c>
      <c r="K47" s="603" t="s">
        <v>2585</v>
      </c>
      <c r="L47" s="603" t="s">
        <v>2586</v>
      </c>
      <c r="M47" s="603" t="s">
        <v>2587</v>
      </c>
      <c r="N47" s="603" t="s">
        <v>2588</v>
      </c>
      <c r="AA47" s="1368"/>
      <c r="AB47" s="1368"/>
      <c r="AC47" s="1368"/>
      <c r="AD47" s="1368"/>
      <c r="AE47" s="1368"/>
      <c r="AF47" s="1368"/>
      <c r="AG47" s="1368"/>
      <c r="AH47" s="1368"/>
      <c r="AI47" s="1368"/>
      <c r="AJ47" s="1368"/>
      <c r="AK47" s="1368"/>
    </row>
    <row r="48" spans="1:37" s="1367" customFormat="1" ht="24.75">
      <c r="A48" s="2862" t="s">
        <v>2936</v>
      </c>
      <c r="B48" s="2865">
        <f>估价对象房地状况!C4</f>
        <v>0</v>
      </c>
      <c r="C48" s="2762"/>
      <c r="D48" s="1283">
        <f t="shared" ref="D48:D56" si="10">SUMIF($J$47:$N$47,C48,J48:N48)</f>
        <v>0</v>
      </c>
      <c r="E48" s="818">
        <f>ROUND(SUM(D48:D56),4)</f>
        <v>0</v>
      </c>
      <c r="F48" s="2494"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4.25">
      <c r="A49" s="2862" t="s">
        <v>2937</v>
      </c>
      <c r="B49" s="2866">
        <f>估价对象房地状况!C18</f>
        <v>0</v>
      </c>
      <c r="C49" s="2762"/>
      <c r="D49" s="1283">
        <f t="shared" si="10"/>
        <v>0</v>
      </c>
      <c r="E49" s="819"/>
      <c r="F49" s="2494"/>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2" t="s">
        <v>2938</v>
      </c>
      <c r="B50" s="2866">
        <f>估价对象房地状况!C19</f>
        <v>0</v>
      </c>
      <c r="C50" s="2762"/>
      <c r="D50" s="1283">
        <f t="shared" si="10"/>
        <v>0</v>
      </c>
      <c r="E50" s="819"/>
      <c r="F50" s="2494"/>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2" t="s">
        <v>2939</v>
      </c>
      <c r="B51" s="2867" t="s">
        <v>2940</v>
      </c>
      <c r="C51" s="2762"/>
      <c r="D51" s="1283">
        <f t="shared" si="10"/>
        <v>0</v>
      </c>
      <c r="E51" s="819"/>
      <c r="F51" s="2494"/>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2" t="s">
        <v>2941</v>
      </c>
      <c r="B52" s="2866">
        <f>估价对象房地状况!C24</f>
        <v>0</v>
      </c>
      <c r="C52" s="2762"/>
      <c r="D52" s="1283">
        <f t="shared" si="10"/>
        <v>0</v>
      </c>
      <c r="E52" s="819"/>
      <c r="F52" s="2494"/>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2" t="s">
        <v>2942</v>
      </c>
      <c r="B53" s="2868" t="s">
        <v>2943</v>
      </c>
      <c r="C53" s="2762"/>
      <c r="D53" s="1283">
        <f t="shared" si="10"/>
        <v>0</v>
      </c>
      <c r="E53" s="819"/>
      <c r="F53" s="2494"/>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69" t="s">
        <v>2944</v>
      </c>
      <c r="B54" s="1722">
        <f>估价对象房地状况!C21</f>
        <v>0</v>
      </c>
      <c r="C54" s="2762"/>
      <c r="D54" s="1283">
        <f t="shared" si="10"/>
        <v>0</v>
      </c>
      <c r="E54" s="819"/>
      <c r="F54" s="2494"/>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69" t="s">
        <v>2945</v>
      </c>
      <c r="B55" s="2866">
        <f>估价对象房地状况!C22</f>
        <v>0</v>
      </c>
      <c r="C55" s="2762"/>
      <c r="D55" s="1283">
        <f t="shared" si="10"/>
        <v>0</v>
      </c>
      <c r="E55" s="819"/>
      <c r="F55" s="2494"/>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24.75" thickBot="1">
      <c r="A56" s="2870" t="s">
        <v>2946</v>
      </c>
      <c r="B56" s="2871">
        <f>估价对象房地状况!C20</f>
        <v>0</v>
      </c>
      <c r="C56" s="2762"/>
      <c r="D56" s="1283">
        <f t="shared" si="10"/>
        <v>0</v>
      </c>
      <c r="E56" s="822"/>
      <c r="F56" s="2494"/>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8" t="s">
        <v>2947</v>
      </c>
      <c r="B57" s="2859">
        <f>1+E59</f>
        <v>1</v>
      </c>
      <c r="C57" s="811"/>
      <c r="D57" s="811"/>
      <c r="E57" s="812"/>
      <c r="F57" s="286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2" t="s">
        <v>2928</v>
      </c>
      <c r="B58" s="1806"/>
      <c r="C58" s="1806" t="s">
        <v>2930</v>
      </c>
      <c r="D58" s="1806" t="s">
        <v>2931</v>
      </c>
      <c r="E58" s="816" t="s">
        <v>2932</v>
      </c>
      <c r="F58" s="2863" t="s">
        <v>2948</v>
      </c>
      <c r="G58" s="1806" t="s">
        <v>754</v>
      </c>
      <c r="H58" s="2864" t="s">
        <v>2934</v>
      </c>
      <c r="I58" s="1806" t="s">
        <v>2935</v>
      </c>
      <c r="J58" s="603" t="s">
        <v>2584</v>
      </c>
      <c r="K58" s="603" t="s">
        <v>2585</v>
      </c>
      <c r="L58" s="603" t="s">
        <v>2586</v>
      </c>
      <c r="M58" s="603" t="s">
        <v>2587</v>
      </c>
      <c r="N58" s="603" t="s">
        <v>2588</v>
      </c>
      <c r="AA58" s="1368"/>
      <c r="AB58" s="1368"/>
      <c r="AC58" s="1368"/>
      <c r="AD58" s="1368"/>
      <c r="AE58" s="1368"/>
      <c r="AF58" s="1368"/>
      <c r="AG58" s="1368"/>
      <c r="AH58" s="1368"/>
      <c r="AI58" s="1368"/>
      <c r="AJ58" s="1368"/>
      <c r="AK58" s="1368"/>
    </row>
    <row r="59" spans="1:37" s="1367" customFormat="1" ht="24">
      <c r="A59" s="2862" t="s">
        <v>2949</v>
      </c>
      <c r="B59" s="2865">
        <f>估价对象房地状况!C17</f>
        <v>0</v>
      </c>
      <c r="C59" s="2762"/>
      <c r="D59" s="1283">
        <f t="shared" ref="D59:D67" si="15">SUMIF($J$58:$N$58,C59,J59:N59)</f>
        <v>0</v>
      </c>
      <c r="E59" s="818">
        <f>ROUND(SUM(D59:D67),4)</f>
        <v>0</v>
      </c>
      <c r="F59" s="2494"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4.25">
      <c r="A60" s="2862" t="s">
        <v>2937</v>
      </c>
      <c r="B60" s="2866">
        <f>估价对象房地状况!C18</f>
        <v>0</v>
      </c>
      <c r="C60" s="2762"/>
      <c r="D60" s="1283">
        <f t="shared" si="15"/>
        <v>0</v>
      </c>
      <c r="E60" s="819"/>
      <c r="F60" s="2494"/>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2" t="s">
        <v>2938</v>
      </c>
      <c r="B61" s="2866">
        <f>估价对象房地状况!C19</f>
        <v>0</v>
      </c>
      <c r="C61" s="2762"/>
      <c r="D61" s="1283">
        <f t="shared" si="15"/>
        <v>0</v>
      </c>
      <c r="E61" s="819"/>
      <c r="F61" s="2494"/>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2" t="s">
        <v>2939</v>
      </c>
      <c r="B62" s="2867" t="s">
        <v>2940</v>
      </c>
      <c r="C62" s="2762"/>
      <c r="D62" s="1283">
        <f t="shared" si="15"/>
        <v>0</v>
      </c>
      <c r="E62" s="819"/>
      <c r="F62" s="2494"/>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2" t="s">
        <v>2941</v>
      </c>
      <c r="B63" s="2866">
        <f>估价对象房地状况!C24</f>
        <v>0</v>
      </c>
      <c r="C63" s="2762"/>
      <c r="D63" s="1283">
        <f t="shared" si="15"/>
        <v>0</v>
      </c>
      <c r="E63" s="819"/>
      <c r="F63" s="2494"/>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2" t="s">
        <v>2942</v>
      </c>
      <c r="B64" s="2868" t="s">
        <v>2943</v>
      </c>
      <c r="C64" s="2762"/>
      <c r="D64" s="1283">
        <f t="shared" si="15"/>
        <v>0</v>
      </c>
      <c r="E64" s="819"/>
      <c r="F64" s="2494"/>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62" t="s">
        <v>2944</v>
      </c>
      <c r="B65" s="1722">
        <f>估价对象房地状况!C21</f>
        <v>0</v>
      </c>
      <c r="C65" s="2762"/>
      <c r="D65" s="1283">
        <f t="shared" si="15"/>
        <v>0</v>
      </c>
      <c r="E65" s="819"/>
      <c r="F65" s="2494"/>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62" t="s">
        <v>2945</v>
      </c>
      <c r="B66" s="1722">
        <f>估价对象房地状况!C22</f>
        <v>0</v>
      </c>
      <c r="C66" s="2762"/>
      <c r="D66" s="1283">
        <f t="shared" si="15"/>
        <v>0</v>
      </c>
      <c r="E66" s="819"/>
      <c r="F66" s="2494"/>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24.75" thickBot="1">
      <c r="A67" s="2870" t="s">
        <v>2946</v>
      </c>
      <c r="B67" s="2872">
        <f>估价对象房地状况!C20</f>
        <v>0</v>
      </c>
      <c r="C67" s="2762"/>
      <c r="D67" s="1283">
        <f t="shared" si="15"/>
        <v>0</v>
      </c>
      <c r="E67" s="822"/>
      <c r="F67" s="2494"/>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8" t="s">
        <v>2950</v>
      </c>
      <c r="B68" s="2859">
        <f>1+E70</f>
        <v>1</v>
      </c>
      <c r="C68" s="811"/>
      <c r="D68" s="811"/>
      <c r="E68" s="812"/>
      <c r="F68" s="286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2" t="s">
        <v>2928</v>
      </c>
      <c r="B69" s="1806"/>
      <c r="C69" s="1806" t="s">
        <v>2930</v>
      </c>
      <c r="D69" s="1806" t="s">
        <v>2931</v>
      </c>
      <c r="E69" s="816" t="s">
        <v>2932</v>
      </c>
      <c r="F69" s="2863" t="s">
        <v>2948</v>
      </c>
      <c r="G69" s="1806" t="s">
        <v>754</v>
      </c>
      <c r="H69" s="2864" t="s">
        <v>2934</v>
      </c>
      <c r="I69" s="1806" t="s">
        <v>2935</v>
      </c>
      <c r="J69" s="603" t="s">
        <v>2584</v>
      </c>
      <c r="K69" s="603" t="s">
        <v>2585</v>
      </c>
      <c r="L69" s="603" t="s">
        <v>2586</v>
      </c>
      <c r="M69" s="603" t="s">
        <v>2587</v>
      </c>
      <c r="N69" s="603" t="s">
        <v>2588</v>
      </c>
      <c r="AA69" s="1368"/>
      <c r="AB69" s="1368"/>
      <c r="AC69" s="1368"/>
      <c r="AD69" s="1368"/>
      <c r="AE69" s="1368"/>
      <c r="AF69" s="1368"/>
      <c r="AG69" s="1368"/>
      <c r="AH69" s="1368"/>
      <c r="AI69" s="1368"/>
      <c r="AJ69" s="1368"/>
      <c r="AK69" s="1368"/>
    </row>
    <row r="70" spans="1:37" s="1367" customFormat="1" ht="24">
      <c r="A70" s="2862" t="s">
        <v>2951</v>
      </c>
      <c r="B70" s="2865">
        <f>估价对象房地状况!C15</f>
        <v>0</v>
      </c>
      <c r="C70" s="2762"/>
      <c r="D70" s="1283">
        <f t="shared" ref="D70:D78" si="20">SUMIF($J$69:$N$69,C70,J70:N70)</f>
        <v>0</v>
      </c>
      <c r="E70" s="818">
        <f>ROUND(SUM(D70:D78),4)</f>
        <v>0</v>
      </c>
      <c r="F70" s="2494"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4.25">
      <c r="A71" s="2862" t="s">
        <v>2937</v>
      </c>
      <c r="B71" s="2866">
        <f>估价对象房地状况!C18</f>
        <v>0</v>
      </c>
      <c r="C71" s="2762"/>
      <c r="D71" s="1283">
        <f t="shared" si="20"/>
        <v>0</v>
      </c>
      <c r="E71" s="823"/>
      <c r="F71" s="2494"/>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2" t="s">
        <v>2938</v>
      </c>
      <c r="B72" s="2866">
        <f>估价对象房地状况!C19</f>
        <v>0</v>
      </c>
      <c r="C72" s="2762"/>
      <c r="D72" s="1283">
        <f t="shared" si="20"/>
        <v>0</v>
      </c>
      <c r="E72" s="823"/>
      <c r="F72" s="2494"/>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2" t="s">
        <v>2952</v>
      </c>
      <c r="B73" s="2866">
        <f>估价对象房地状况!C24</f>
        <v>0</v>
      </c>
      <c r="C73" s="2762"/>
      <c r="D73" s="1283">
        <f t="shared" si="20"/>
        <v>0</v>
      </c>
      <c r="E73" s="823"/>
      <c r="F73" s="2494"/>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62" t="s">
        <v>2944</v>
      </c>
      <c r="B74" s="1722">
        <f>估价对象房地状况!C21</f>
        <v>0</v>
      </c>
      <c r="C74" s="2762"/>
      <c r="D74" s="1283">
        <f t="shared" si="20"/>
        <v>0</v>
      </c>
      <c r="E74" s="823"/>
      <c r="F74" s="2494"/>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62" t="s">
        <v>2945</v>
      </c>
      <c r="B75" s="1722">
        <f>估价对象房地状况!C22</f>
        <v>0</v>
      </c>
      <c r="C75" s="2762"/>
      <c r="D75" s="1283">
        <f t="shared" si="20"/>
        <v>0</v>
      </c>
      <c r="E75" s="823"/>
      <c r="F75" s="2494"/>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1" customFormat="1" ht="24">
      <c r="A76" s="2862" t="s">
        <v>2942</v>
      </c>
      <c r="B76" s="2868" t="s">
        <v>2943</v>
      </c>
      <c r="C76" s="2762"/>
      <c r="D76" s="1283">
        <f t="shared" si="20"/>
        <v>0</v>
      </c>
      <c r="E76" s="823"/>
      <c r="F76" s="2494"/>
      <c r="G76" s="1281"/>
      <c r="H76" s="1285" t="str">
        <f t="shared" si="21"/>
        <v>——</v>
      </c>
      <c r="I76" s="817">
        <v>0.05</v>
      </c>
      <c r="J76" s="1282">
        <f t="shared" si="22"/>
        <v>0</v>
      </c>
      <c r="K76" s="1282">
        <f t="shared" si="23"/>
        <v>0</v>
      </c>
      <c r="L76" s="1282">
        <v>0</v>
      </c>
      <c r="M76" s="1282">
        <f t="shared" si="24"/>
        <v>0</v>
      </c>
      <c r="N76" s="1282">
        <f t="shared" si="24"/>
        <v>0</v>
      </c>
      <c r="AA76" s="2873"/>
      <c r="AB76" s="1368"/>
      <c r="AC76" s="1368"/>
      <c r="AD76" s="1368"/>
      <c r="AE76" s="1368"/>
      <c r="AF76" s="1368"/>
      <c r="AG76" s="1368"/>
      <c r="AH76" s="2873"/>
      <c r="AI76" s="2873"/>
      <c r="AJ76" s="2873"/>
      <c r="AK76" s="2873"/>
    </row>
    <row r="77" spans="1:37" ht="24">
      <c r="A77" s="2862" t="s">
        <v>2946</v>
      </c>
      <c r="B77" s="2865">
        <f>估价对象房地状况!C20</f>
        <v>0</v>
      </c>
      <c r="C77" s="2762"/>
      <c r="D77" s="1283">
        <f t="shared" si="20"/>
        <v>0</v>
      </c>
      <c r="E77" s="823"/>
      <c r="F77" s="2494"/>
      <c r="G77" s="1281"/>
      <c r="H77" s="1285" t="str">
        <f t="shared" si="21"/>
        <v>——</v>
      </c>
      <c r="I77" s="817">
        <v>0.15</v>
      </c>
      <c r="J77" s="1282">
        <f t="shared" si="22"/>
        <v>0</v>
      </c>
      <c r="K77" s="1282">
        <f t="shared" si="23"/>
        <v>0</v>
      </c>
      <c r="L77" s="1282">
        <v>0</v>
      </c>
      <c r="M77" s="1282">
        <f t="shared" si="24"/>
        <v>0</v>
      </c>
      <c r="N77" s="1282">
        <f t="shared" si="24"/>
        <v>0</v>
      </c>
      <c r="Z77" s="2712"/>
      <c r="AA77" s="2780"/>
      <c r="AG77" s="1369"/>
      <c r="AK77" s="2780"/>
    </row>
    <row r="78" spans="1:37" ht="24.75" thickBot="1">
      <c r="A78" s="2870" t="s">
        <v>2953</v>
      </c>
      <c r="B78" s="2874"/>
      <c r="C78" s="2762"/>
      <c r="D78" s="1283">
        <f t="shared" si="20"/>
        <v>0</v>
      </c>
      <c r="E78" s="824"/>
      <c r="F78" s="2494"/>
      <c r="G78" s="1281"/>
      <c r="H78" s="1285" t="str">
        <f t="shared" si="21"/>
        <v>——</v>
      </c>
      <c r="I78" s="821">
        <v>0.04</v>
      </c>
      <c r="J78" s="1282">
        <f t="shared" si="22"/>
        <v>0</v>
      </c>
      <c r="K78" s="1282">
        <f t="shared" si="23"/>
        <v>0</v>
      </c>
      <c r="L78" s="1282">
        <v>0</v>
      </c>
      <c r="M78" s="1282">
        <f t="shared" si="24"/>
        <v>0</v>
      </c>
      <c r="N78" s="1282">
        <f t="shared" si="24"/>
        <v>0</v>
      </c>
      <c r="Z78" s="2712"/>
      <c r="AA78" s="2780"/>
      <c r="AG78" s="1369"/>
      <c r="AK78" s="2780"/>
    </row>
    <row r="79" spans="1:37" ht="15">
      <c r="A79" s="2858" t="s">
        <v>2954</v>
      </c>
      <c r="B79" s="2859">
        <f>1+E81</f>
        <v>1</v>
      </c>
      <c r="C79" s="811"/>
      <c r="D79" s="811"/>
      <c r="E79" s="812"/>
      <c r="F79" s="2861"/>
      <c r="G79" s="6"/>
      <c r="H79" s="6"/>
      <c r="I79" s="6"/>
      <c r="J79" s="7"/>
      <c r="K79" s="7"/>
      <c r="L79" s="7"/>
      <c r="M79" s="7"/>
      <c r="N79" s="7"/>
      <c r="Z79" s="2712"/>
      <c r="AA79" s="2780"/>
      <c r="AG79" s="1369"/>
      <c r="AK79" s="2780"/>
    </row>
    <row r="80" spans="1:37" ht="24.75">
      <c r="A80" s="2862" t="s">
        <v>2928</v>
      </c>
      <c r="B80" s="1806"/>
      <c r="C80" s="1806" t="s">
        <v>2930</v>
      </c>
      <c r="D80" s="1806" t="s">
        <v>2931</v>
      </c>
      <c r="E80" s="816" t="s">
        <v>2932</v>
      </c>
      <c r="F80" s="2863" t="s">
        <v>2948</v>
      </c>
      <c r="G80" s="1806" t="s">
        <v>754</v>
      </c>
      <c r="H80" s="2864" t="s">
        <v>2934</v>
      </c>
      <c r="I80" s="1806" t="s">
        <v>2935</v>
      </c>
      <c r="J80" s="603" t="s">
        <v>2584</v>
      </c>
      <c r="K80" s="603" t="s">
        <v>2585</v>
      </c>
      <c r="L80" s="603" t="s">
        <v>2586</v>
      </c>
      <c r="M80" s="603" t="s">
        <v>2587</v>
      </c>
      <c r="N80" s="603" t="s">
        <v>2588</v>
      </c>
      <c r="Z80" s="2712"/>
      <c r="AA80" s="2780"/>
      <c r="AG80" s="1369"/>
      <c r="AK80" s="2780"/>
    </row>
    <row r="81" spans="1:37" ht="24">
      <c r="A81" s="2862" t="s">
        <v>2955</v>
      </c>
      <c r="B81" s="2866">
        <f>估价对象房地状况!G15</f>
        <v>0</v>
      </c>
      <c r="C81" s="2762"/>
      <c r="D81" s="1283">
        <f t="shared" ref="D81:D88" si="25">SUMIF($J$80:$N$80,C81,J81:N81)</f>
        <v>0</v>
      </c>
      <c r="E81" s="818">
        <f>ROUND(SUM(D81:D88),4)</f>
        <v>0</v>
      </c>
      <c r="F81" s="2494"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2"/>
      <c r="AA81" s="2780"/>
      <c r="AG81" s="1369"/>
      <c r="AK81" s="2780"/>
    </row>
    <row r="82" spans="1:37" ht="14.25">
      <c r="A82" s="2862" t="s">
        <v>2937</v>
      </c>
      <c r="B82" s="2866">
        <f>估价对象房地状况!G16</f>
        <v>0</v>
      </c>
      <c r="C82" s="2762"/>
      <c r="D82" s="1283">
        <f t="shared" si="25"/>
        <v>0</v>
      </c>
      <c r="E82" s="823"/>
      <c r="F82" s="2494"/>
      <c r="G82" s="1281"/>
      <c r="H82" s="1285" t="str">
        <f t="shared" si="26"/>
        <v>——</v>
      </c>
      <c r="I82" s="817">
        <v>0.33</v>
      </c>
      <c r="J82" s="1282">
        <f t="shared" si="27"/>
        <v>0</v>
      </c>
      <c r="K82" s="1282">
        <f t="shared" si="28"/>
        <v>0</v>
      </c>
      <c r="L82" s="1282">
        <v>0</v>
      </c>
      <c r="M82" s="1282">
        <f t="shared" si="29"/>
        <v>0</v>
      </c>
      <c r="N82" s="1282">
        <f t="shared" si="29"/>
        <v>0</v>
      </c>
      <c r="Z82" s="2712"/>
      <c r="AA82" s="2780"/>
      <c r="AG82" s="1369"/>
      <c r="AK82" s="2780"/>
    </row>
    <row r="83" spans="1:37" ht="24">
      <c r="A83" s="2862" t="s">
        <v>2938</v>
      </c>
      <c r="B83" s="2866">
        <f>估价对象房地状况!G17</f>
        <v>0</v>
      </c>
      <c r="C83" s="2762"/>
      <c r="D83" s="1283">
        <f t="shared" si="25"/>
        <v>0</v>
      </c>
      <c r="E83" s="823"/>
      <c r="F83" s="2494"/>
      <c r="G83" s="1281"/>
      <c r="H83" s="1285" t="str">
        <f t="shared" si="26"/>
        <v>——</v>
      </c>
      <c r="I83" s="817">
        <v>0.05</v>
      </c>
      <c r="J83" s="1282">
        <f t="shared" si="27"/>
        <v>0</v>
      </c>
      <c r="K83" s="1282">
        <f t="shared" si="28"/>
        <v>0</v>
      </c>
      <c r="L83" s="1282">
        <v>0</v>
      </c>
      <c r="M83" s="1282">
        <f t="shared" si="29"/>
        <v>0</v>
      </c>
      <c r="N83" s="1282">
        <f t="shared" si="29"/>
        <v>0</v>
      </c>
      <c r="Z83" s="2712"/>
      <c r="AA83" s="2780"/>
      <c r="AG83" s="1369"/>
      <c r="AK83" s="2780"/>
    </row>
    <row r="84" spans="1:37" ht="14.25">
      <c r="A84" s="2862" t="s">
        <v>2952</v>
      </c>
      <c r="B84" s="2866">
        <f>估价对象房地状况!G22</f>
        <v>0</v>
      </c>
      <c r="C84" s="2762"/>
      <c r="D84" s="1283">
        <f t="shared" si="25"/>
        <v>0</v>
      </c>
      <c r="E84" s="823"/>
      <c r="F84" s="2494"/>
      <c r="G84" s="1281"/>
      <c r="H84" s="1285" t="str">
        <f t="shared" si="26"/>
        <v>——</v>
      </c>
      <c r="I84" s="817">
        <v>0.04</v>
      </c>
      <c r="J84" s="1282">
        <f t="shared" si="27"/>
        <v>0</v>
      </c>
      <c r="K84" s="1282">
        <f t="shared" si="28"/>
        <v>0</v>
      </c>
      <c r="L84" s="1282">
        <v>0</v>
      </c>
      <c r="M84" s="1282">
        <f t="shared" si="29"/>
        <v>0</v>
      </c>
      <c r="N84" s="1282">
        <f t="shared" si="29"/>
        <v>0</v>
      </c>
      <c r="Z84" s="2712"/>
      <c r="AA84" s="2780"/>
      <c r="AG84" s="1369"/>
      <c r="AK84" s="2780"/>
    </row>
    <row r="85" spans="1:37" ht="24">
      <c r="A85" s="2862" t="s">
        <v>2944</v>
      </c>
      <c r="B85" s="1722">
        <f>估价对象房地状况!G19</f>
        <v>0</v>
      </c>
      <c r="C85" s="2762"/>
      <c r="D85" s="1283">
        <f t="shared" si="25"/>
        <v>0</v>
      </c>
      <c r="E85" s="823"/>
      <c r="F85" s="2494"/>
      <c r="G85" s="1281"/>
      <c r="H85" s="1285" t="str">
        <f t="shared" si="26"/>
        <v>——</v>
      </c>
      <c r="I85" s="817">
        <v>0.06</v>
      </c>
      <c r="J85" s="1282">
        <f t="shared" si="27"/>
        <v>0</v>
      </c>
      <c r="K85" s="1282">
        <f t="shared" si="28"/>
        <v>0</v>
      </c>
      <c r="L85" s="1282">
        <v>0</v>
      </c>
      <c r="M85" s="1282">
        <f t="shared" si="29"/>
        <v>0</v>
      </c>
      <c r="N85" s="1282">
        <f t="shared" si="29"/>
        <v>0</v>
      </c>
      <c r="Z85" s="2712"/>
      <c r="AA85" s="2780"/>
      <c r="AG85" s="1369"/>
      <c r="AK85" s="2780"/>
    </row>
    <row r="86" spans="1:37" ht="24">
      <c r="A86" s="2862" t="s">
        <v>2945</v>
      </c>
      <c r="B86" s="1722">
        <f>估价对象房地状况!G20</f>
        <v>0</v>
      </c>
      <c r="C86" s="2762"/>
      <c r="D86" s="1283">
        <f t="shared" si="25"/>
        <v>0</v>
      </c>
      <c r="E86" s="823"/>
      <c r="F86" s="2494"/>
      <c r="G86" s="1281"/>
      <c r="H86" s="1285" t="str">
        <f t="shared" si="26"/>
        <v>——</v>
      </c>
      <c r="I86" s="817">
        <v>0.15</v>
      </c>
      <c r="J86" s="1282">
        <f t="shared" si="27"/>
        <v>0</v>
      </c>
      <c r="K86" s="1282">
        <f t="shared" si="28"/>
        <v>0</v>
      </c>
      <c r="L86" s="1282">
        <v>0</v>
      </c>
      <c r="M86" s="1282">
        <f t="shared" si="29"/>
        <v>0</v>
      </c>
      <c r="N86" s="1282">
        <f t="shared" si="29"/>
        <v>0</v>
      </c>
      <c r="Z86" s="2712"/>
      <c r="AA86" s="2780"/>
      <c r="AG86" s="1369"/>
      <c r="AK86" s="2780"/>
    </row>
    <row r="87" spans="1:37" ht="24">
      <c r="A87" s="2862" t="s">
        <v>2942</v>
      </c>
      <c r="B87" s="2868" t="s">
        <v>2956</v>
      </c>
      <c r="C87" s="2762"/>
      <c r="D87" s="1283">
        <f t="shared" si="25"/>
        <v>0</v>
      </c>
      <c r="E87" s="823"/>
      <c r="F87" s="2494"/>
      <c r="G87" s="1281"/>
      <c r="H87" s="1285" t="str">
        <f t="shared" si="26"/>
        <v>——</v>
      </c>
      <c r="I87" s="817">
        <v>0.05</v>
      </c>
      <c r="J87" s="1282">
        <f t="shared" si="27"/>
        <v>0</v>
      </c>
      <c r="K87" s="1282">
        <f t="shared" si="28"/>
        <v>0</v>
      </c>
      <c r="L87" s="1282">
        <v>0</v>
      </c>
      <c r="M87" s="1282">
        <f t="shared" si="29"/>
        <v>0</v>
      </c>
      <c r="N87" s="1282">
        <f t="shared" si="29"/>
        <v>0</v>
      </c>
      <c r="Z87" s="2712"/>
      <c r="AA87" s="2780"/>
      <c r="AG87" s="1369"/>
      <c r="AK87" s="2780"/>
    </row>
    <row r="88" spans="1:37" ht="15" thickBot="1">
      <c r="A88" s="2870" t="s">
        <v>2957</v>
      </c>
      <c r="B88" s="2875">
        <f>估价对象房地状况!G18</f>
        <v>0</v>
      </c>
      <c r="C88" s="2762"/>
      <c r="D88" s="1283">
        <f t="shared" si="25"/>
        <v>0</v>
      </c>
      <c r="E88" s="824"/>
      <c r="F88" s="2494"/>
      <c r="G88" s="1281"/>
      <c r="H88" s="1285" t="str">
        <f t="shared" si="26"/>
        <v>——</v>
      </c>
      <c r="I88" s="821">
        <v>0.06</v>
      </c>
      <c r="J88" s="1282">
        <f t="shared" si="27"/>
        <v>0</v>
      </c>
      <c r="K88" s="1282">
        <f t="shared" si="28"/>
        <v>0</v>
      </c>
      <c r="L88" s="1282">
        <v>0</v>
      </c>
      <c r="M88" s="1282">
        <f t="shared" si="29"/>
        <v>0</v>
      </c>
      <c r="N88" s="1282">
        <f t="shared" si="29"/>
        <v>0</v>
      </c>
      <c r="Z88" s="2712"/>
      <c r="AA88" s="2780"/>
      <c r="AG88" s="1369"/>
      <c r="AK88" s="2780"/>
    </row>
    <row r="90" spans="1:37">
      <c r="A90" s="3385" t="s">
        <v>2958</v>
      </c>
      <c r="B90" s="3385"/>
      <c r="C90" s="3385"/>
      <c r="D90" s="3385"/>
      <c r="E90" s="3385"/>
      <c r="F90" s="3385"/>
      <c r="G90" s="3385"/>
      <c r="H90" s="3385"/>
      <c r="I90" s="3385"/>
      <c r="J90" s="3385"/>
      <c r="K90" s="2876"/>
      <c r="L90" s="2876"/>
      <c r="M90" s="2876"/>
      <c r="N90" s="2876"/>
    </row>
    <row r="91" spans="1:37">
      <c r="A91" s="3387" t="s">
        <v>2959</v>
      </c>
      <c r="B91" s="3387" t="s">
        <v>2960</v>
      </c>
      <c r="C91" s="2830" t="s">
        <v>2961</v>
      </c>
      <c r="D91" s="2831"/>
      <c r="E91" s="2831"/>
      <c r="F91" s="2831"/>
      <c r="G91" s="2831"/>
      <c r="H91" s="2831"/>
      <c r="I91" s="2831"/>
      <c r="J91" s="2877"/>
      <c r="K91" s="2878"/>
      <c r="L91" s="2878"/>
      <c r="M91" s="2878"/>
      <c r="N91" s="2878"/>
    </row>
    <row r="92" spans="1:37">
      <c r="A92" s="3387"/>
      <c r="B92" s="3387"/>
      <c r="C92" s="939" t="s">
        <v>2827</v>
      </c>
      <c r="D92" s="939" t="s">
        <v>2828</v>
      </c>
      <c r="E92" s="939" t="s">
        <v>2829</v>
      </c>
      <c r="F92" s="939" t="s">
        <v>2830</v>
      </c>
      <c r="G92" s="939" t="s">
        <v>2831</v>
      </c>
      <c r="H92" s="939" t="s">
        <v>2832</v>
      </c>
      <c r="I92" s="939" t="s">
        <v>2833</v>
      </c>
      <c r="J92" s="939" t="s">
        <v>2834</v>
      </c>
      <c r="K92" s="939" t="s">
        <v>2835</v>
      </c>
      <c r="L92" s="939" t="s">
        <v>2836</v>
      </c>
      <c r="M92" s="939" t="s">
        <v>2837</v>
      </c>
      <c r="N92" s="939" t="s">
        <v>2838</v>
      </c>
    </row>
    <row r="93" spans="1:37">
      <c r="A93" s="3388" t="s">
        <v>2962</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389"/>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389"/>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389"/>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389"/>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389"/>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389"/>
      <c r="B99" s="2879" t="s">
        <v>2843</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390"/>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388" t="s">
        <v>2963</v>
      </c>
      <c r="B101" s="2883" t="s">
        <v>2964</v>
      </c>
      <c r="C101" s="2884">
        <f>$G$3</f>
        <v>5.84</v>
      </c>
      <c r="D101" s="2884">
        <f t="shared" ref="D101:N101" si="31">$G$3</f>
        <v>5.84</v>
      </c>
      <c r="E101" s="2884">
        <f t="shared" si="31"/>
        <v>5.84</v>
      </c>
      <c r="F101" s="2884">
        <f t="shared" si="31"/>
        <v>5.84</v>
      </c>
      <c r="G101" s="2884">
        <f t="shared" si="31"/>
        <v>5.84</v>
      </c>
      <c r="H101" s="2884">
        <f t="shared" si="31"/>
        <v>5.84</v>
      </c>
      <c r="I101" s="2884">
        <f t="shared" si="31"/>
        <v>5.84</v>
      </c>
      <c r="J101" s="2884">
        <f t="shared" si="31"/>
        <v>5.84</v>
      </c>
      <c r="K101" s="2884">
        <f t="shared" si="31"/>
        <v>5.84</v>
      </c>
      <c r="L101" s="2884">
        <f t="shared" si="31"/>
        <v>5.84</v>
      </c>
      <c r="M101" s="2884">
        <f t="shared" si="31"/>
        <v>5.84</v>
      </c>
      <c r="N101" s="2884">
        <f t="shared" si="31"/>
        <v>5.84</v>
      </c>
    </row>
    <row r="102" spans="1:14">
      <c r="A102" s="3389"/>
      <c r="B102" s="2879">
        <v>1</v>
      </c>
      <c r="C102" s="2880">
        <f>1.9362/C101</f>
        <v>0.33154109589041098</v>
      </c>
      <c r="D102" s="2880">
        <f>1.9362/D101</f>
        <v>0.33154109589041098</v>
      </c>
      <c r="E102" s="2880">
        <f>1.8629/E101</f>
        <v>0.31898972602739728</v>
      </c>
      <c r="F102" s="2880">
        <f>1.8629/F101</f>
        <v>0.31898972602739728</v>
      </c>
      <c r="G102" s="2880">
        <f>1.8629/G101</f>
        <v>0.31898972602739728</v>
      </c>
      <c r="H102" s="2880">
        <f>1.8629/H101</f>
        <v>0.31898972602739728</v>
      </c>
      <c r="I102" s="2880">
        <f>1.8629/I101</f>
        <v>0.31898972602739728</v>
      </c>
      <c r="J102" s="2880">
        <f>1.942/J101</f>
        <v>0.33253424657534247</v>
      </c>
      <c r="K102" s="2880">
        <f>1.942/K101</f>
        <v>0.33253424657534247</v>
      </c>
      <c r="L102" s="2880">
        <f>1.942/L101</f>
        <v>0.33253424657534247</v>
      </c>
      <c r="M102" s="2880">
        <f>1.942/M101</f>
        <v>0.33253424657534247</v>
      </c>
      <c r="N102" s="2880">
        <f>1.942/N101</f>
        <v>0.33253424657534247</v>
      </c>
    </row>
    <row r="103" spans="1:14">
      <c r="A103" s="3389"/>
      <c r="B103" s="2879">
        <v>2</v>
      </c>
      <c r="C103" s="2880">
        <f>1.4198/C101</f>
        <v>0.24311643835616439</v>
      </c>
      <c r="D103" s="2880">
        <f>1.4198/D101</f>
        <v>0.24311643835616439</v>
      </c>
      <c r="E103" s="2880">
        <f>1.3372/E101</f>
        <v>0.22897260273972603</v>
      </c>
      <c r="F103" s="2880">
        <f>1.3372/F101</f>
        <v>0.22897260273972603</v>
      </c>
      <c r="G103" s="2880">
        <f>1.3372/G101</f>
        <v>0.22897260273972603</v>
      </c>
      <c r="H103" s="2880">
        <f>1.3372/H101</f>
        <v>0.22897260273972603</v>
      </c>
      <c r="I103" s="2880">
        <f>1.3372/I101</f>
        <v>0.22897260273972603</v>
      </c>
      <c r="J103" s="2880">
        <f>1.2799/J101</f>
        <v>0.21916095890410961</v>
      </c>
      <c r="K103" s="2880">
        <f>1.2799/K101</f>
        <v>0.21916095890410961</v>
      </c>
      <c r="L103" s="2880">
        <f>1.2799/L101</f>
        <v>0.21916095890410961</v>
      </c>
      <c r="M103" s="2880">
        <f>1.2799/M101</f>
        <v>0.21916095890410961</v>
      </c>
      <c r="N103" s="2880">
        <f>1.2799/N101</f>
        <v>0.21916095890410961</v>
      </c>
    </row>
    <row r="104" spans="1:14">
      <c r="A104" s="3389"/>
      <c r="B104" s="2879">
        <v>3</v>
      </c>
      <c r="C104" s="2880">
        <f>1.1594/C101</f>
        <v>0.19852739726027396</v>
      </c>
      <c r="D104" s="2880">
        <f>1.1594/D101</f>
        <v>0.19852739726027396</v>
      </c>
      <c r="E104" s="2880">
        <f>1.0788/E101</f>
        <v>0.18472602739726027</v>
      </c>
      <c r="F104" s="2880">
        <f>1.0788/F101</f>
        <v>0.18472602739726027</v>
      </c>
      <c r="G104" s="2880">
        <f>1.0788/G101</f>
        <v>0.18472602739726027</v>
      </c>
      <c r="H104" s="2880">
        <f>1.0788/H101</f>
        <v>0.18472602739726027</v>
      </c>
      <c r="I104" s="2880">
        <f>1.0788/I101</f>
        <v>0.18472602739726027</v>
      </c>
      <c r="J104" s="2880">
        <f>1.0072/J101</f>
        <v>0.17246575342465756</v>
      </c>
      <c r="K104" s="2880">
        <f>1.0072/K101</f>
        <v>0.17246575342465756</v>
      </c>
      <c r="L104" s="2880">
        <f>1.0072/L101</f>
        <v>0.17246575342465756</v>
      </c>
      <c r="M104" s="2880">
        <f>1.0072/M101</f>
        <v>0.17246575342465756</v>
      </c>
      <c r="N104" s="2880">
        <f>1.0072/N101</f>
        <v>0.17246575342465756</v>
      </c>
    </row>
    <row r="105" spans="1:14">
      <c r="A105" s="3389"/>
      <c r="B105" s="2879">
        <v>4</v>
      </c>
      <c r="C105" s="2880">
        <f>0.9622/C101</f>
        <v>0.16476027397260276</v>
      </c>
      <c r="D105" s="2880">
        <f>0.9622/D101</f>
        <v>0.16476027397260276</v>
      </c>
      <c r="E105" s="2880">
        <f>0.8656/E101</f>
        <v>0.14821917808219179</v>
      </c>
      <c r="F105" s="2880">
        <f>0.8656/F101</f>
        <v>0.14821917808219179</v>
      </c>
      <c r="G105" s="2880">
        <f>0.8656/G101</f>
        <v>0.14821917808219179</v>
      </c>
      <c r="H105" s="2880">
        <f>0.8656/H101</f>
        <v>0.14821917808219179</v>
      </c>
      <c r="I105" s="2880">
        <f>0.8656/I101</f>
        <v>0.14821917808219179</v>
      </c>
      <c r="J105" s="2880">
        <f>0.7525/J101</f>
        <v>0.1288527397260274</v>
      </c>
      <c r="K105" s="2880">
        <f>0.7525/K101</f>
        <v>0.1288527397260274</v>
      </c>
      <c r="L105" s="2880">
        <f>0.7525/L101</f>
        <v>0.1288527397260274</v>
      </c>
      <c r="M105" s="2880">
        <f>0.7525/M101</f>
        <v>0.1288527397260274</v>
      </c>
      <c r="N105" s="2880">
        <f>0.7525/N101</f>
        <v>0.1288527397260274</v>
      </c>
    </row>
    <row r="106" spans="1:14">
      <c r="A106" s="3389"/>
      <c r="B106" s="2879">
        <v>5</v>
      </c>
      <c r="C106" s="2880">
        <f>0.8417/C101</f>
        <v>0.14412671232876711</v>
      </c>
      <c r="D106" s="2880">
        <f>0.8417/D101</f>
        <v>0.14412671232876711</v>
      </c>
      <c r="E106" s="2880">
        <f>0.7371/E101</f>
        <v>0.12621575342465755</v>
      </c>
      <c r="F106" s="2880">
        <f>0.7371/F101</f>
        <v>0.12621575342465755</v>
      </c>
      <c r="G106" s="2880">
        <f>0.7371/G101</f>
        <v>0.12621575342465755</v>
      </c>
      <c r="H106" s="2880">
        <f>0.7371/H101</f>
        <v>0.12621575342465755</v>
      </c>
      <c r="I106" s="2880">
        <f>0.7371/I101</f>
        <v>0.12621575342465755</v>
      </c>
      <c r="J106" s="2880">
        <f>0.5659/J101</f>
        <v>9.6900684931506845E-2</v>
      </c>
      <c r="K106" s="2880">
        <f>0.5659/K101</f>
        <v>9.6900684931506845E-2</v>
      </c>
      <c r="L106" s="2880">
        <f>0.5659/L101</f>
        <v>9.6900684931506845E-2</v>
      </c>
      <c r="M106" s="2880">
        <f>0.5659/M101</f>
        <v>9.6900684931506845E-2</v>
      </c>
      <c r="N106" s="2880">
        <f>0.5659/N101</f>
        <v>9.6900684931506845E-2</v>
      </c>
    </row>
    <row r="107" spans="1:14">
      <c r="A107" s="3389"/>
      <c r="B107" s="2879">
        <v>6</v>
      </c>
      <c r="C107" s="2880">
        <f>0.7608/C101</f>
        <v>0.13027397260273973</v>
      </c>
      <c r="D107" s="2880">
        <f>0.7608/D101</f>
        <v>0.13027397260273973</v>
      </c>
      <c r="E107" s="2880">
        <f>0.6482/E101</f>
        <v>0.11099315068493151</v>
      </c>
      <c r="F107" s="2880">
        <f>0.6482/F101</f>
        <v>0.11099315068493151</v>
      </c>
      <c r="G107" s="2880">
        <f>0.6482/G101</f>
        <v>0.11099315068493151</v>
      </c>
      <c r="H107" s="2880">
        <f>0.6482/H101</f>
        <v>0.11099315068493151</v>
      </c>
      <c r="I107" s="2880">
        <f>0.6482/I101</f>
        <v>0.11099315068493151</v>
      </c>
      <c r="J107" s="2880">
        <f>0.4525/J101</f>
        <v>7.7482876712328771E-2</v>
      </c>
      <c r="K107" s="2880">
        <f>0.4525/K101</f>
        <v>7.7482876712328771E-2</v>
      </c>
      <c r="L107" s="2880">
        <f>0.4525/L101</f>
        <v>7.7482876712328771E-2</v>
      </c>
      <c r="M107" s="2880">
        <f>0.4525/M101</f>
        <v>7.7482876712328771E-2</v>
      </c>
      <c r="N107" s="2880">
        <f>0.4525/N101</f>
        <v>7.7482876712328771E-2</v>
      </c>
    </row>
    <row r="108" spans="1:14">
      <c r="A108" s="3389"/>
      <c r="B108" s="3187" t="s">
        <v>2965</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390"/>
      <c r="B109" s="3188"/>
      <c r="C109" s="2882">
        <f>(-0.163*(C108^2)-0.59*C108+7617)*(10^(-4))/C101</f>
        <v>0.13042808219178084</v>
      </c>
      <c r="D109" s="2882">
        <f>(-0.163*(D108^2)-0.59*D108+7617)*(10^(-4))/D101</f>
        <v>0.13042808219178084</v>
      </c>
      <c r="E109" s="2882">
        <f>(-0.161*(E108^2)-7.509*E108+6533)*(10^(-4))/E101</f>
        <v>0.11186643835616439</v>
      </c>
      <c r="F109" s="2882">
        <f>(-0.161*(F108^2)-7.509*F108+6533)*(10^(-4))/F101</f>
        <v>0.11186643835616439</v>
      </c>
      <c r="G109" s="2882">
        <f>(-0.161*(G108^2)-7.509*G108+6533)*(10^(-4))/G101</f>
        <v>0.11186643835616439</v>
      </c>
      <c r="H109" s="2882">
        <f>(-0.161*(H108^2)-7.509*H108+6533)*(10^(-4))/H101</f>
        <v>0.11186643835616439</v>
      </c>
      <c r="I109" s="2882">
        <f>(-0.161*(I108^2)-7.509*I108+6533)*(10^(-4))/I101</f>
        <v>0.11186643835616439</v>
      </c>
      <c r="J109" s="2882">
        <f>(-0.214*(J108^2)-21.991*J108+4665)*(10^(-4))/J101</f>
        <v>7.9880136986301378E-2</v>
      </c>
      <c r="K109" s="2882">
        <f>(-0.214*(K108^2)-21.991*K108+4665)*(10^(-4))/K101</f>
        <v>7.9880136986301378E-2</v>
      </c>
      <c r="L109" s="2882">
        <f>(-0.214*(L108^2)-21.991*L108+4665)*(10^(-4))/L101</f>
        <v>7.9880136986301378E-2</v>
      </c>
      <c r="M109" s="2882">
        <f>(-0.214*(M108^2)-21.991*M108+4665)*(10^(-4))/M101</f>
        <v>7.9880136986301378E-2</v>
      </c>
      <c r="N109" s="2882">
        <f>(-0.214*(N108^2)-21.991*N108+4665)*(10^(-4))/N101</f>
        <v>7.9880136986301378E-2</v>
      </c>
    </row>
    <row r="110" spans="1:14">
      <c r="A110" s="3386" t="s">
        <v>2966</v>
      </c>
      <c r="B110" s="3386"/>
      <c r="C110" s="3386"/>
      <c r="D110" s="3386"/>
      <c r="E110" s="3386"/>
      <c r="F110" s="3386"/>
      <c r="G110" s="3386"/>
      <c r="H110" s="3386"/>
      <c r="I110" s="3386"/>
      <c r="J110" s="3386"/>
      <c r="K110" s="2885"/>
      <c r="L110" s="2885"/>
      <c r="M110" s="2885"/>
      <c r="N110" s="2885"/>
    </row>
    <row r="112" spans="1:14" ht="13.5" thickBot="1"/>
    <row r="113" spans="1:13" ht="25.5" thickBot="1">
      <c r="A113" s="900" t="s">
        <v>2967</v>
      </c>
      <c r="B113" s="1284">
        <f>G3</f>
        <v>5.84</v>
      </c>
      <c r="C113" s="901" t="s">
        <v>2968</v>
      </c>
      <c r="D113" s="902">
        <f>SUMPRODUCT((A115:A118=F113)*(B114:M114=H113)*B115:M118)</f>
        <v>0</v>
      </c>
      <c r="E113" s="2716" t="s">
        <v>2800</v>
      </c>
      <c r="F113" s="2887">
        <f>E2</f>
        <v>0</v>
      </c>
      <c r="G113" s="2716" t="s">
        <v>2801</v>
      </c>
      <c r="H113" s="2887">
        <f>G2</f>
        <v>0</v>
      </c>
      <c r="I113" s="2716"/>
      <c r="J113" s="2888"/>
      <c r="K113" s="2888"/>
      <c r="L113" s="2888"/>
      <c r="M113" s="2888"/>
    </row>
    <row r="114" spans="1:13">
      <c r="A114" s="905"/>
      <c r="B114" s="2889" t="s">
        <v>2969</v>
      </c>
      <c r="C114" s="2889" t="s">
        <v>2970</v>
      </c>
      <c r="D114" s="2889" t="s">
        <v>2971</v>
      </c>
      <c r="E114" s="2890" t="s">
        <v>2972</v>
      </c>
      <c r="F114" s="2890" t="s">
        <v>2973</v>
      </c>
      <c r="G114" s="2890" t="s">
        <v>2974</v>
      </c>
      <c r="H114" s="2891" t="s">
        <v>2975</v>
      </c>
      <c r="I114" s="2891" t="s">
        <v>2976</v>
      </c>
      <c r="J114" s="2892" t="s">
        <v>2977</v>
      </c>
      <c r="K114" s="2892" t="s">
        <v>2978</v>
      </c>
      <c r="L114" s="2892" t="s">
        <v>2979</v>
      </c>
      <c r="M114" s="2893" t="s">
        <v>2980</v>
      </c>
    </row>
    <row r="115" spans="1:13">
      <c r="A115" s="906" t="s">
        <v>2865</v>
      </c>
      <c r="B115" s="907">
        <f>ROUND(0.9335-0.0094*B113,4)</f>
        <v>0.87860000000000005</v>
      </c>
      <c r="C115" s="907">
        <f>B115</f>
        <v>0.87860000000000005</v>
      </c>
      <c r="D115" s="907">
        <f>ROUND(0.8331-0.0109*B113,4)</f>
        <v>0.76939999999999997</v>
      </c>
      <c r="E115" s="907">
        <f>D115</f>
        <v>0.76939999999999997</v>
      </c>
      <c r="F115" s="907">
        <f>E115</f>
        <v>0.76939999999999997</v>
      </c>
      <c r="G115" s="907">
        <f>F115</f>
        <v>0.76939999999999997</v>
      </c>
      <c r="H115" s="907">
        <f>G115</f>
        <v>0.76939999999999997</v>
      </c>
      <c r="I115" s="907">
        <f>ROUND(0.689-0.0155*B113,4)</f>
        <v>0.59850000000000003</v>
      </c>
      <c r="J115" s="907">
        <f t="shared" ref="J115:M118" si="33">I115</f>
        <v>0.59850000000000003</v>
      </c>
      <c r="K115" s="907">
        <f t="shared" si="33"/>
        <v>0.59850000000000003</v>
      </c>
      <c r="L115" s="907">
        <f t="shared" si="33"/>
        <v>0.59850000000000003</v>
      </c>
      <c r="M115" s="908">
        <f t="shared" si="33"/>
        <v>0.59850000000000003</v>
      </c>
    </row>
    <row r="116" spans="1:13">
      <c r="A116" s="906" t="s">
        <v>2866</v>
      </c>
      <c r="B116" s="907">
        <f>ROUND(0.949-0.012*B113,4)</f>
        <v>0.87890000000000001</v>
      </c>
      <c r="C116" s="907">
        <f>B116</f>
        <v>0.87890000000000001</v>
      </c>
      <c r="D116" s="907">
        <f>ROUND(0.8567-0.013*B113,4)</f>
        <v>0.78080000000000005</v>
      </c>
      <c r="E116" s="907">
        <f t="shared" ref="E116:H117" si="34">D116</f>
        <v>0.78080000000000005</v>
      </c>
      <c r="F116" s="907">
        <f t="shared" si="34"/>
        <v>0.78080000000000005</v>
      </c>
      <c r="G116" s="907">
        <f t="shared" si="34"/>
        <v>0.78080000000000005</v>
      </c>
      <c r="H116" s="907">
        <f t="shared" si="34"/>
        <v>0.78080000000000005</v>
      </c>
      <c r="I116" s="907">
        <f>ROUND(0.7694-0.014*B113,4)</f>
        <v>0.68759999999999999</v>
      </c>
      <c r="J116" s="907">
        <f t="shared" si="33"/>
        <v>0.68759999999999999</v>
      </c>
      <c r="K116" s="907">
        <f t="shared" si="33"/>
        <v>0.68759999999999999</v>
      </c>
      <c r="L116" s="907">
        <f t="shared" si="33"/>
        <v>0.68759999999999999</v>
      </c>
      <c r="M116" s="908">
        <f t="shared" si="33"/>
        <v>0.68759999999999999</v>
      </c>
    </row>
    <row r="117" spans="1:13">
      <c r="A117" s="906" t="s">
        <v>2867</v>
      </c>
      <c r="B117" s="907">
        <f>ROUND(0.8808-0.006*B113,4)</f>
        <v>0.8458</v>
      </c>
      <c r="C117" s="907">
        <f>B117</f>
        <v>0.8458</v>
      </c>
      <c r="D117" s="907">
        <f>ROUND(0.8748-0.008*B113,4)</f>
        <v>0.82809999999999995</v>
      </c>
      <c r="E117" s="907">
        <f t="shared" si="34"/>
        <v>0.82809999999999995</v>
      </c>
      <c r="F117" s="907">
        <f t="shared" si="34"/>
        <v>0.82809999999999995</v>
      </c>
      <c r="G117" s="907">
        <f t="shared" si="34"/>
        <v>0.82809999999999995</v>
      </c>
      <c r="H117" s="907">
        <f t="shared" si="34"/>
        <v>0.82809999999999995</v>
      </c>
      <c r="I117" s="907">
        <f>ROUND(0.7412-0.0095*B113,4)</f>
        <v>0.68569999999999998</v>
      </c>
      <c r="J117" s="907">
        <f t="shared" si="33"/>
        <v>0.68569999999999998</v>
      </c>
      <c r="K117" s="907">
        <f t="shared" si="33"/>
        <v>0.68569999999999998</v>
      </c>
      <c r="L117" s="907">
        <f t="shared" si="33"/>
        <v>0.68569999999999998</v>
      </c>
      <c r="M117" s="908">
        <f t="shared" si="33"/>
        <v>0.68569999999999998</v>
      </c>
    </row>
    <row r="118" spans="1:13" ht="13.5" thickBot="1">
      <c r="A118" s="714" t="s">
        <v>2868</v>
      </c>
      <c r="B118" s="909">
        <f>ROUND(0.7275-0.01*B113,4)</f>
        <v>0.66910000000000003</v>
      </c>
      <c r="C118" s="909">
        <f>B118</f>
        <v>0.66910000000000003</v>
      </c>
      <c r="D118" s="909">
        <f>ROUND(0.7043-0.012*B113,4)</f>
        <v>0.63419999999999999</v>
      </c>
      <c r="E118" s="909">
        <f>D118</f>
        <v>0.63419999999999999</v>
      </c>
      <c r="F118" s="909">
        <f>E118</f>
        <v>0.63419999999999999</v>
      </c>
      <c r="G118" s="909">
        <f>ROUND(0.6299-0.0122*B113,4)</f>
        <v>0.55869999999999997</v>
      </c>
      <c r="H118" s="909">
        <f>G118</f>
        <v>0.55869999999999997</v>
      </c>
      <c r="I118" s="909">
        <f>ROUND(0.5667-0.0136*B113,4)</f>
        <v>0.48730000000000001</v>
      </c>
      <c r="J118" s="909">
        <f t="shared" si="33"/>
        <v>0.48730000000000001</v>
      </c>
      <c r="K118" s="909">
        <f t="shared" si="33"/>
        <v>0.48730000000000001</v>
      </c>
      <c r="L118" s="909">
        <f t="shared" si="33"/>
        <v>0.48730000000000001</v>
      </c>
      <c r="M118" s="910">
        <f t="shared" si="33"/>
        <v>0.48730000000000001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3035</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406" t="s">
        <v>183</v>
      </c>
      <c r="B18" s="879" t="s">
        <v>560</v>
      </c>
      <c r="C18" s="880" t="s">
        <v>561</v>
      </c>
      <c r="D18" s="881"/>
      <c r="E18" s="879">
        <v>1</v>
      </c>
      <c r="F18" s="882" t="s">
        <v>562</v>
      </c>
      <c r="G18" s="883"/>
      <c r="H18" s="875"/>
      <c r="I18" s="875"/>
    </row>
    <row r="19" spans="1:9" s="884" customFormat="1" ht="19.5" customHeight="1">
      <c r="A19" s="3406"/>
      <c r="B19" s="3406" t="s">
        <v>563</v>
      </c>
      <c r="C19" s="880" t="s">
        <v>564</v>
      </c>
      <c r="D19" s="881"/>
      <c r="E19" s="879">
        <v>0.9</v>
      </c>
      <c r="F19" s="882" t="s">
        <v>565</v>
      </c>
      <c r="G19" s="883"/>
      <c r="H19" s="875"/>
      <c r="I19" s="875"/>
    </row>
    <row r="20" spans="1:9" s="884" customFormat="1" ht="19.5" customHeight="1">
      <c r="A20" s="3406"/>
      <c r="B20" s="3406"/>
      <c r="C20" s="880" t="s">
        <v>566</v>
      </c>
      <c r="D20" s="881"/>
      <c r="E20" s="879">
        <v>1.1000000000000001</v>
      </c>
      <c r="F20" s="882" t="s">
        <v>567</v>
      </c>
      <c r="G20" s="883"/>
      <c r="H20" s="875"/>
      <c r="I20" s="875"/>
    </row>
    <row r="21" spans="1:9" s="884" customFormat="1" ht="19.5" customHeight="1">
      <c r="A21" s="3406"/>
      <c r="B21" s="3406"/>
      <c r="C21" s="880" t="s">
        <v>568</v>
      </c>
      <c r="D21" s="881"/>
      <c r="E21" s="879">
        <v>0.8</v>
      </c>
      <c r="F21" s="882" t="s">
        <v>569</v>
      </c>
      <c r="G21" s="883"/>
      <c r="H21" s="875"/>
      <c r="I21" s="875"/>
    </row>
    <row r="22" spans="1:9" s="884" customFormat="1" ht="19.5" customHeight="1">
      <c r="A22" s="3406"/>
      <c r="B22" s="3406"/>
      <c r="C22" s="880" t="s">
        <v>570</v>
      </c>
      <c r="D22" s="881"/>
      <c r="E22" s="879">
        <v>0.5</v>
      </c>
      <c r="F22" s="882"/>
      <c r="G22" s="883"/>
      <c r="H22" s="875"/>
      <c r="I22" s="875"/>
    </row>
    <row r="23" spans="1:9" s="884" customFormat="1" ht="19.5" customHeight="1">
      <c r="A23" s="3406" t="s">
        <v>184</v>
      </c>
      <c r="B23" s="879" t="s">
        <v>560</v>
      </c>
      <c r="C23" s="880" t="s">
        <v>571</v>
      </c>
      <c r="D23" s="881"/>
      <c r="E23" s="879">
        <v>1</v>
      </c>
      <c r="F23" s="882" t="s">
        <v>572</v>
      </c>
      <c r="G23" s="883"/>
      <c r="H23" s="875"/>
      <c r="I23" s="875"/>
    </row>
    <row r="24" spans="1:9" s="884" customFormat="1" ht="19.5" customHeight="1">
      <c r="A24" s="3406"/>
      <c r="B24" s="3406" t="s">
        <v>563</v>
      </c>
      <c r="C24" s="880" t="s">
        <v>573</v>
      </c>
      <c r="D24" s="881"/>
      <c r="E24" s="879">
        <v>0.5</v>
      </c>
      <c r="F24" s="882"/>
      <c r="G24" s="883"/>
      <c r="H24" s="875"/>
      <c r="I24" s="875"/>
    </row>
    <row r="25" spans="1:9" s="884" customFormat="1" ht="19.5" customHeight="1">
      <c r="A25" s="3406"/>
      <c r="B25" s="3406"/>
      <c r="C25" s="880" t="s">
        <v>574</v>
      </c>
      <c r="D25" s="881"/>
      <c r="E25" s="879">
        <v>1.1000000000000001</v>
      </c>
      <c r="F25" s="882"/>
      <c r="G25" s="883"/>
      <c r="H25" s="875"/>
      <c r="I25" s="875"/>
    </row>
    <row r="26" spans="1:9" s="884" customFormat="1" ht="19.5" customHeight="1">
      <c r="A26" s="3406"/>
      <c r="B26" s="3406"/>
      <c r="C26" s="880" t="s">
        <v>575</v>
      </c>
      <c r="D26" s="881"/>
      <c r="E26" s="879">
        <v>1.1000000000000001</v>
      </c>
      <c r="F26" s="882"/>
      <c r="G26" s="883"/>
      <c r="H26" s="875"/>
      <c r="I26" s="875"/>
    </row>
    <row r="27" spans="1:9" s="884" customFormat="1" ht="19.5" customHeight="1">
      <c r="A27" s="3406"/>
      <c r="B27" s="3406"/>
      <c r="C27" s="880" t="s">
        <v>576</v>
      </c>
      <c r="D27" s="881"/>
      <c r="E27" s="879">
        <v>0.9</v>
      </c>
      <c r="F27" s="882" t="s">
        <v>577</v>
      </c>
      <c r="G27" s="883"/>
      <c r="H27" s="875"/>
      <c r="I27" s="875"/>
    </row>
    <row r="28" spans="1:9" s="884" customFormat="1" ht="19.5" customHeight="1">
      <c r="A28" s="3406"/>
      <c r="B28" s="3406"/>
      <c r="C28" s="880" t="s">
        <v>578</v>
      </c>
      <c r="D28" s="881"/>
      <c r="E28" s="879">
        <v>0.9</v>
      </c>
      <c r="F28" s="882" t="s">
        <v>579</v>
      </c>
      <c r="G28" s="883"/>
      <c r="H28" s="875"/>
      <c r="I28" s="875"/>
    </row>
    <row r="29" spans="1:9" s="884" customFormat="1" ht="19.5" customHeight="1">
      <c r="A29" s="3406"/>
      <c r="B29" s="3406"/>
      <c r="C29" s="880" t="s">
        <v>580</v>
      </c>
      <c r="D29" s="881"/>
      <c r="E29" s="879">
        <v>0.9</v>
      </c>
      <c r="F29" s="882" t="s">
        <v>581</v>
      </c>
      <c r="G29" s="883"/>
      <c r="H29" s="875"/>
      <c r="I29" s="875"/>
    </row>
    <row r="30" spans="1:9" s="884" customFormat="1" ht="19.5" customHeight="1">
      <c r="A30" s="3406"/>
      <c r="B30" s="3406"/>
      <c r="C30" s="880" t="s">
        <v>582</v>
      </c>
      <c r="D30" s="881"/>
      <c r="E30" s="879">
        <v>0.9</v>
      </c>
      <c r="F30" s="882" t="s">
        <v>583</v>
      </c>
      <c r="G30" s="883"/>
      <c r="H30" s="875"/>
      <c r="I30" s="875"/>
    </row>
    <row r="31" spans="1:9" s="884" customFormat="1" ht="19.5" customHeight="1">
      <c r="A31" s="3406"/>
      <c r="B31" s="3406"/>
      <c r="C31" s="880" t="s">
        <v>584</v>
      </c>
      <c r="D31" s="881"/>
      <c r="E31" s="879">
        <v>0.8</v>
      </c>
      <c r="F31" s="882" t="s">
        <v>585</v>
      </c>
      <c r="G31" s="883"/>
      <c r="H31" s="875"/>
      <c r="I31" s="875"/>
    </row>
    <row r="32" spans="1:9" s="884" customFormat="1" ht="19.5" customHeight="1">
      <c r="A32" s="3406"/>
      <c r="B32" s="3406"/>
      <c r="C32" s="880" t="s">
        <v>586</v>
      </c>
      <c r="D32" s="881"/>
      <c r="E32" s="879">
        <v>0.8</v>
      </c>
      <c r="F32" s="882" t="s">
        <v>587</v>
      </c>
      <c r="G32" s="883"/>
      <c r="H32" s="875"/>
      <c r="I32" s="875"/>
    </row>
    <row r="33" spans="1:9" s="884" customFormat="1" ht="19.5" customHeight="1">
      <c r="A33" s="3406" t="s">
        <v>185</v>
      </c>
      <c r="B33" s="879" t="s">
        <v>560</v>
      </c>
      <c r="C33" s="880" t="s">
        <v>588</v>
      </c>
      <c r="D33" s="881"/>
      <c r="E33" s="879">
        <v>1</v>
      </c>
      <c r="F33" s="882" t="s">
        <v>589</v>
      </c>
      <c r="G33" s="883"/>
      <c r="H33" s="875"/>
      <c r="I33" s="875"/>
    </row>
    <row r="34" spans="1:9" s="884" customFormat="1" ht="19.5" customHeight="1">
      <c r="A34" s="3406"/>
      <c r="B34" s="879" t="s">
        <v>563</v>
      </c>
      <c r="C34" s="880" t="s">
        <v>590</v>
      </c>
      <c r="D34" s="881"/>
      <c r="E34" s="879">
        <v>1.5</v>
      </c>
      <c r="F34" s="882" t="s">
        <v>591</v>
      </c>
      <c r="G34" s="883"/>
      <c r="H34" s="875"/>
      <c r="I34" s="875"/>
    </row>
    <row r="35" spans="1:9" s="884" customFormat="1" ht="19.5" customHeight="1">
      <c r="A35" s="3406" t="s">
        <v>186</v>
      </c>
      <c r="B35" s="879" t="s">
        <v>560</v>
      </c>
      <c r="C35" s="880" t="s">
        <v>592</v>
      </c>
      <c r="D35" s="881"/>
      <c r="E35" s="879">
        <v>1</v>
      </c>
      <c r="F35" s="882" t="s">
        <v>593</v>
      </c>
      <c r="G35" s="883"/>
      <c r="H35" s="875"/>
      <c r="I35" s="875"/>
    </row>
    <row r="36" spans="1:9" s="884" customFormat="1" ht="19.5" customHeight="1">
      <c r="A36" s="3406"/>
      <c r="B36" s="3406" t="s">
        <v>563</v>
      </c>
      <c r="C36" s="880" t="s">
        <v>594</v>
      </c>
      <c r="D36" s="881"/>
      <c r="E36" s="879">
        <v>1</v>
      </c>
      <c r="F36" s="882" t="s">
        <v>595</v>
      </c>
      <c r="G36" s="883"/>
      <c r="H36" s="875"/>
      <c r="I36" s="875"/>
    </row>
    <row r="37" spans="1:9" s="884" customFormat="1" ht="19.5" customHeight="1">
      <c r="A37" s="3406"/>
      <c r="B37" s="3406"/>
      <c r="C37" s="880" t="s">
        <v>596</v>
      </c>
      <c r="D37" s="881"/>
      <c r="E37" s="879">
        <v>1.5</v>
      </c>
      <c r="F37" s="882" t="s">
        <v>597</v>
      </c>
      <c r="G37" s="883"/>
      <c r="H37" s="875"/>
      <c r="I37" s="875"/>
    </row>
    <row r="38" spans="1:9" s="884" customFormat="1" ht="19.5" customHeight="1">
      <c r="A38" s="3406"/>
      <c r="B38" s="3406"/>
      <c r="C38" s="880" t="s">
        <v>598</v>
      </c>
      <c r="D38" s="881"/>
      <c r="E38" s="879">
        <v>1</v>
      </c>
      <c r="F38" s="882" t="s">
        <v>599</v>
      </c>
      <c r="G38" s="883"/>
      <c r="H38" s="875"/>
      <c r="I38" s="875"/>
    </row>
    <row r="39" spans="1:9" s="884" customFormat="1" ht="19.5" customHeight="1">
      <c r="A39" s="3406"/>
      <c r="B39" s="340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406" t="s">
        <v>614</v>
      </c>
      <c r="C61" s="815" t="s">
        <v>615</v>
      </c>
      <c r="D61" s="815" t="s">
        <v>616</v>
      </c>
      <c r="E61" s="892">
        <v>0.5</v>
      </c>
      <c r="F61" s="879">
        <v>80</v>
      </c>
    </row>
    <row r="62" spans="1:8" s="875" customFormat="1" ht="24">
      <c r="A62" s="879">
        <v>2</v>
      </c>
      <c r="B62" s="3406"/>
      <c r="C62" s="815" t="s">
        <v>617</v>
      </c>
      <c r="D62" s="815" t="s">
        <v>618</v>
      </c>
      <c r="E62" s="892">
        <v>0.5</v>
      </c>
      <c r="F62" s="879">
        <v>80</v>
      </c>
    </row>
    <row r="63" spans="1:8" s="875" customFormat="1" ht="36">
      <c r="A63" s="879">
        <v>3</v>
      </c>
      <c r="B63" s="3406"/>
      <c r="C63" s="815" t="s">
        <v>619</v>
      </c>
      <c r="D63" s="815" t="s">
        <v>620</v>
      </c>
      <c r="E63" s="892">
        <v>0.5</v>
      </c>
      <c r="F63" s="879">
        <v>80</v>
      </c>
    </row>
    <row r="64" spans="1:8" s="875" customFormat="1" ht="36">
      <c r="A64" s="879">
        <v>4</v>
      </c>
      <c r="B64" s="3406"/>
      <c r="C64" s="815" t="s">
        <v>621</v>
      </c>
      <c r="D64" s="815" t="s">
        <v>622</v>
      </c>
      <c r="E64" s="892">
        <v>0.4</v>
      </c>
      <c r="F64" s="879">
        <v>60</v>
      </c>
    </row>
    <row r="65" spans="1:6" s="875" customFormat="1" ht="36">
      <c r="A65" s="879">
        <v>5</v>
      </c>
      <c r="B65" s="3406"/>
      <c r="C65" s="815" t="s">
        <v>623</v>
      </c>
      <c r="D65" s="815" t="s">
        <v>624</v>
      </c>
      <c r="E65" s="892">
        <v>0.2</v>
      </c>
      <c r="F65" s="879">
        <v>30</v>
      </c>
    </row>
    <row r="66" spans="1:6" s="875" customFormat="1" ht="36">
      <c r="A66" s="879">
        <v>6</v>
      </c>
      <c r="B66" s="3406"/>
      <c r="C66" s="815" t="s">
        <v>625</v>
      </c>
      <c r="D66" s="815" t="s">
        <v>626</v>
      </c>
      <c r="E66" s="892">
        <v>0.3</v>
      </c>
      <c r="F66" s="879">
        <v>50</v>
      </c>
    </row>
    <row r="67" spans="1:6" s="875" customFormat="1" ht="36">
      <c r="A67" s="879">
        <v>7</v>
      </c>
      <c r="B67" s="3406"/>
      <c r="C67" s="815" t="s">
        <v>627</v>
      </c>
      <c r="D67" s="815" t="s">
        <v>628</v>
      </c>
      <c r="E67" s="892">
        <v>0.2</v>
      </c>
      <c r="F67" s="879">
        <v>30</v>
      </c>
    </row>
    <row r="68" spans="1:6" s="875" customFormat="1" ht="36">
      <c r="A68" s="879">
        <v>8</v>
      </c>
      <c r="B68" s="3406"/>
      <c r="C68" s="815" t="s">
        <v>629</v>
      </c>
      <c r="D68" s="815" t="s">
        <v>630</v>
      </c>
      <c r="E68" s="892">
        <v>0.2</v>
      </c>
      <c r="F68" s="879">
        <v>30</v>
      </c>
    </row>
    <row r="69" spans="1:6" s="875" customFormat="1" ht="36">
      <c r="A69" s="879">
        <v>9</v>
      </c>
      <c r="B69" s="3406"/>
      <c r="C69" s="815" t="s">
        <v>631</v>
      </c>
      <c r="D69" s="815" t="s">
        <v>632</v>
      </c>
      <c r="E69" s="892">
        <v>0.2</v>
      </c>
      <c r="F69" s="879">
        <v>30</v>
      </c>
    </row>
    <row r="70" spans="1:6" s="875" customFormat="1" ht="48">
      <c r="A70" s="879">
        <v>10</v>
      </c>
      <c r="B70" s="3406"/>
      <c r="C70" s="815" t="s">
        <v>633</v>
      </c>
      <c r="D70" s="815" t="s">
        <v>634</v>
      </c>
      <c r="E70" s="892">
        <v>0.2</v>
      </c>
      <c r="F70" s="879">
        <v>30</v>
      </c>
    </row>
    <row r="71" spans="1:6" s="875" customFormat="1" ht="48">
      <c r="A71" s="879">
        <v>11</v>
      </c>
      <c r="B71" s="3406"/>
      <c r="C71" s="815" t="s">
        <v>635</v>
      </c>
      <c r="D71" s="815" t="s">
        <v>636</v>
      </c>
      <c r="E71" s="892">
        <v>0.2</v>
      </c>
      <c r="F71" s="879">
        <v>30</v>
      </c>
    </row>
    <row r="72" spans="1:6" s="875" customFormat="1" ht="36">
      <c r="A72" s="879">
        <v>12</v>
      </c>
      <c r="B72" s="3406"/>
      <c r="C72" s="815" t="s">
        <v>637</v>
      </c>
      <c r="D72" s="815" t="s">
        <v>638</v>
      </c>
      <c r="E72" s="892">
        <v>0.5</v>
      </c>
      <c r="F72" s="879">
        <v>80</v>
      </c>
    </row>
    <row r="73" spans="1:6" s="875" customFormat="1" ht="24">
      <c r="A73" s="879">
        <v>13</v>
      </c>
      <c r="B73" s="3406"/>
      <c r="C73" s="815" t="s">
        <v>639</v>
      </c>
      <c r="D73" s="815" t="s">
        <v>640</v>
      </c>
      <c r="E73" s="892">
        <v>0.4</v>
      </c>
      <c r="F73" s="879">
        <v>60</v>
      </c>
    </row>
    <row r="74" spans="1:6" s="875" customFormat="1" ht="24">
      <c r="A74" s="879">
        <v>14</v>
      </c>
      <c r="B74" s="3406"/>
      <c r="C74" s="815" t="s">
        <v>641</v>
      </c>
      <c r="D74" s="815" t="s">
        <v>642</v>
      </c>
      <c r="E74" s="892">
        <v>0.2</v>
      </c>
      <c r="F74" s="879">
        <v>30</v>
      </c>
    </row>
    <row r="75" spans="1:6" s="875" customFormat="1" ht="24">
      <c r="A75" s="879">
        <v>15</v>
      </c>
      <c r="B75" s="3406"/>
      <c r="C75" s="815" t="s">
        <v>643</v>
      </c>
      <c r="D75" s="815" t="s">
        <v>644</v>
      </c>
      <c r="E75" s="892">
        <v>0.2</v>
      </c>
      <c r="F75" s="879">
        <v>30</v>
      </c>
    </row>
    <row r="76" spans="1:6" s="875" customFormat="1" ht="24">
      <c r="A76" s="879">
        <v>16</v>
      </c>
      <c r="B76" s="3406" t="s">
        <v>645</v>
      </c>
      <c r="C76" s="815" t="s">
        <v>646</v>
      </c>
      <c r="D76" s="815" t="s">
        <v>647</v>
      </c>
      <c r="E76" s="892">
        <v>0.5</v>
      </c>
      <c r="F76" s="879">
        <v>80</v>
      </c>
    </row>
    <row r="77" spans="1:6" s="875" customFormat="1" ht="24">
      <c r="A77" s="879">
        <v>17</v>
      </c>
      <c r="B77" s="3406"/>
      <c r="C77" s="815" t="s">
        <v>648</v>
      </c>
      <c r="D77" s="815" t="s">
        <v>649</v>
      </c>
      <c r="E77" s="892">
        <v>0.5</v>
      </c>
      <c r="F77" s="879">
        <v>80</v>
      </c>
    </row>
    <row r="78" spans="1:6" s="875" customFormat="1" ht="24">
      <c r="A78" s="879">
        <v>18</v>
      </c>
      <c r="B78" s="3406"/>
      <c r="C78" s="815" t="s">
        <v>650</v>
      </c>
      <c r="D78" s="815" t="s">
        <v>651</v>
      </c>
      <c r="E78" s="892">
        <v>0.2</v>
      </c>
      <c r="F78" s="879">
        <v>30</v>
      </c>
    </row>
    <row r="79" spans="1:6" s="875" customFormat="1" ht="24">
      <c r="A79" s="879">
        <v>19</v>
      </c>
      <c r="B79" s="3406"/>
      <c r="C79" s="815" t="s">
        <v>652</v>
      </c>
      <c r="D79" s="815" t="s">
        <v>653</v>
      </c>
      <c r="E79" s="892">
        <v>0.5</v>
      </c>
      <c r="F79" s="879">
        <v>80</v>
      </c>
    </row>
    <row r="80" spans="1:6" s="875" customFormat="1" ht="36">
      <c r="A80" s="879">
        <v>20</v>
      </c>
      <c r="B80" s="3406"/>
      <c r="C80" s="815" t="s">
        <v>654</v>
      </c>
      <c r="D80" s="815" t="s">
        <v>655</v>
      </c>
      <c r="E80" s="892">
        <v>0.2</v>
      </c>
      <c r="F80" s="879">
        <v>30</v>
      </c>
    </row>
    <row r="81" spans="1:6" s="875" customFormat="1" ht="36">
      <c r="A81" s="879">
        <v>21</v>
      </c>
      <c r="B81" s="3406"/>
      <c r="C81" s="815" t="s">
        <v>656</v>
      </c>
      <c r="D81" s="815" t="s">
        <v>657</v>
      </c>
      <c r="E81" s="892">
        <v>0.2</v>
      </c>
      <c r="F81" s="879">
        <v>30</v>
      </c>
    </row>
    <row r="82" spans="1:6" s="875" customFormat="1" ht="48">
      <c r="A82" s="879">
        <v>22</v>
      </c>
      <c r="B82" s="3406"/>
      <c r="C82" s="815" t="s">
        <v>658</v>
      </c>
      <c r="D82" s="815" t="s">
        <v>659</v>
      </c>
      <c r="E82" s="892">
        <v>0.2</v>
      </c>
      <c r="F82" s="879">
        <v>30</v>
      </c>
    </row>
    <row r="83" spans="1:6" s="875" customFormat="1" ht="48">
      <c r="A83" s="879">
        <v>23</v>
      </c>
      <c r="B83" s="3406"/>
      <c r="C83" s="815" t="s">
        <v>660</v>
      </c>
      <c r="D83" s="815" t="s">
        <v>661</v>
      </c>
      <c r="E83" s="892">
        <v>0.2</v>
      </c>
      <c r="F83" s="879">
        <v>30</v>
      </c>
    </row>
    <row r="84" spans="1:6" s="875" customFormat="1" ht="36">
      <c r="A84" s="879">
        <v>24</v>
      </c>
      <c r="B84" s="3406"/>
      <c r="C84" s="815" t="s">
        <v>662</v>
      </c>
      <c r="D84" s="815" t="s">
        <v>663</v>
      </c>
      <c r="E84" s="892">
        <v>0.2</v>
      </c>
      <c r="F84" s="879">
        <v>30</v>
      </c>
    </row>
    <row r="85" spans="1:6" s="875" customFormat="1" ht="36">
      <c r="A85" s="879">
        <v>25</v>
      </c>
      <c r="B85" s="3406"/>
      <c r="C85" s="815" t="s">
        <v>664</v>
      </c>
      <c r="D85" s="815" t="s">
        <v>665</v>
      </c>
      <c r="E85" s="892">
        <v>0.5</v>
      </c>
      <c r="F85" s="879">
        <v>80</v>
      </c>
    </row>
    <row r="86" spans="1:6" s="875" customFormat="1" ht="36">
      <c r="A86" s="879">
        <v>26</v>
      </c>
      <c r="B86" s="3406"/>
      <c r="C86" s="815" t="s">
        <v>666</v>
      </c>
      <c r="D86" s="815" t="s">
        <v>667</v>
      </c>
      <c r="E86" s="892">
        <v>0.2</v>
      </c>
      <c r="F86" s="879">
        <v>30</v>
      </c>
    </row>
    <row r="87" spans="1:6" s="875" customFormat="1" ht="36">
      <c r="A87" s="879">
        <v>27</v>
      </c>
      <c r="B87" s="3406"/>
      <c r="C87" s="815" t="s">
        <v>668</v>
      </c>
      <c r="D87" s="815" t="s">
        <v>669</v>
      </c>
      <c r="E87" s="892">
        <v>0.2</v>
      </c>
      <c r="F87" s="879">
        <v>30</v>
      </c>
    </row>
    <row r="88" spans="1:6" s="875" customFormat="1" ht="36">
      <c r="A88" s="879">
        <v>28</v>
      </c>
      <c r="B88" s="3406"/>
      <c r="C88" s="815" t="s">
        <v>670</v>
      </c>
      <c r="D88" s="815" t="s">
        <v>671</v>
      </c>
      <c r="E88" s="892">
        <v>0.2</v>
      </c>
      <c r="F88" s="879">
        <v>30</v>
      </c>
    </row>
    <row r="89" spans="1:6" s="875" customFormat="1" ht="24">
      <c r="A89" s="879">
        <v>29</v>
      </c>
      <c r="B89" s="3406"/>
      <c r="C89" s="815" t="s">
        <v>672</v>
      </c>
      <c r="D89" s="815" t="s">
        <v>673</v>
      </c>
      <c r="E89" s="892">
        <v>0.2</v>
      </c>
      <c r="F89" s="879">
        <v>30</v>
      </c>
    </row>
    <row r="90" spans="1:6" s="875" customFormat="1" ht="24">
      <c r="A90" s="879">
        <v>30</v>
      </c>
      <c r="B90" s="3406"/>
      <c r="C90" s="815" t="s">
        <v>674</v>
      </c>
      <c r="D90" s="815" t="s">
        <v>675</v>
      </c>
      <c r="E90" s="892">
        <v>0.2</v>
      </c>
      <c r="F90" s="879">
        <v>30</v>
      </c>
    </row>
    <row r="91" spans="1:6" s="875" customFormat="1" ht="36">
      <c r="A91" s="879">
        <v>31</v>
      </c>
      <c r="B91" s="3406"/>
      <c r="C91" s="815" t="s">
        <v>676</v>
      </c>
      <c r="D91" s="815" t="s">
        <v>677</v>
      </c>
      <c r="E91" s="892">
        <v>0.2</v>
      </c>
      <c r="F91" s="879">
        <v>30</v>
      </c>
    </row>
    <row r="92" spans="1:6" s="875" customFormat="1" ht="24">
      <c r="A92" s="879">
        <v>32</v>
      </c>
      <c r="B92" s="3406" t="s">
        <v>678</v>
      </c>
      <c r="C92" s="879" t="s">
        <v>679</v>
      </c>
      <c r="D92" s="815" t="s">
        <v>680</v>
      </c>
      <c r="E92" s="892">
        <v>0.2</v>
      </c>
      <c r="F92" s="879">
        <v>30</v>
      </c>
    </row>
    <row r="93" spans="1:6" s="875" customFormat="1" ht="36">
      <c r="A93" s="879">
        <v>33</v>
      </c>
      <c r="B93" s="3406"/>
      <c r="C93" s="879" t="s">
        <v>681</v>
      </c>
      <c r="D93" s="815" t="s">
        <v>682</v>
      </c>
      <c r="E93" s="892">
        <v>0.2</v>
      </c>
      <c r="F93" s="879">
        <v>30</v>
      </c>
    </row>
    <row r="94" spans="1:6" s="875" customFormat="1" ht="48">
      <c r="A94" s="879">
        <v>34</v>
      </c>
      <c r="B94" s="3406"/>
      <c r="C94" s="879" t="s">
        <v>683</v>
      </c>
      <c r="D94" s="815" t="s">
        <v>684</v>
      </c>
      <c r="E94" s="892">
        <v>0.2</v>
      </c>
      <c r="F94" s="879">
        <v>30</v>
      </c>
    </row>
    <row r="95" spans="1:6" s="875" customFormat="1" ht="36">
      <c r="A95" s="879">
        <v>35</v>
      </c>
      <c r="B95" s="3406"/>
      <c r="C95" s="879" t="s">
        <v>685</v>
      </c>
      <c r="D95" s="815" t="s">
        <v>686</v>
      </c>
      <c r="E95" s="892">
        <v>0.2</v>
      </c>
      <c r="F95" s="879">
        <v>30</v>
      </c>
    </row>
    <row r="96" spans="1:6" s="875" customFormat="1" ht="48">
      <c r="A96" s="879">
        <v>36</v>
      </c>
      <c r="B96" s="3406"/>
      <c r="C96" s="815" t="s">
        <v>687</v>
      </c>
      <c r="D96" s="815" t="s">
        <v>688</v>
      </c>
      <c r="E96" s="892">
        <v>0.2</v>
      </c>
      <c r="F96" s="879">
        <v>30</v>
      </c>
    </row>
    <row r="97" spans="1:6" s="875" customFormat="1" ht="36">
      <c r="A97" s="879">
        <v>37</v>
      </c>
      <c r="B97" s="3406"/>
      <c r="C97" s="879" t="s">
        <v>689</v>
      </c>
      <c r="D97" s="815" t="s">
        <v>690</v>
      </c>
      <c r="E97" s="892">
        <v>0.2</v>
      </c>
      <c r="F97" s="879">
        <v>30</v>
      </c>
    </row>
    <row r="98" spans="1:6" s="875" customFormat="1" ht="36">
      <c r="A98" s="879">
        <v>38</v>
      </c>
      <c r="B98" s="3406"/>
      <c r="C98" s="879" t="s">
        <v>691</v>
      </c>
      <c r="D98" s="815" t="s">
        <v>692</v>
      </c>
      <c r="E98" s="892">
        <v>0.2</v>
      </c>
      <c r="F98" s="879">
        <v>30</v>
      </c>
    </row>
    <row r="99" spans="1:6" s="875" customFormat="1" ht="36">
      <c r="A99" s="879">
        <v>39</v>
      </c>
      <c r="B99" s="3406" t="s">
        <v>693</v>
      </c>
      <c r="C99" s="879" t="s">
        <v>694</v>
      </c>
      <c r="D99" s="815" t="s">
        <v>695</v>
      </c>
      <c r="E99" s="892">
        <v>0.3</v>
      </c>
      <c r="F99" s="879">
        <v>50</v>
      </c>
    </row>
    <row r="100" spans="1:6" s="875" customFormat="1" ht="24">
      <c r="A100" s="879">
        <v>40</v>
      </c>
      <c r="B100" s="3406"/>
      <c r="C100" s="879" t="s">
        <v>696</v>
      </c>
      <c r="D100" s="815" t="s">
        <v>697</v>
      </c>
      <c r="E100" s="892">
        <v>0.2</v>
      </c>
      <c r="F100" s="879">
        <v>30</v>
      </c>
    </row>
    <row r="101" spans="1:6" s="875" customFormat="1" ht="36">
      <c r="A101" s="879">
        <v>41</v>
      </c>
      <c r="B101" s="3406"/>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406" t="s">
        <v>708</v>
      </c>
      <c r="C105" s="879" t="s">
        <v>709</v>
      </c>
      <c r="D105" s="815" t="s">
        <v>710</v>
      </c>
      <c r="E105" s="892">
        <v>0.2</v>
      </c>
      <c r="F105" s="879">
        <v>30</v>
      </c>
    </row>
    <row r="106" spans="1:6" s="875" customFormat="1" ht="36">
      <c r="A106" s="879">
        <v>46</v>
      </c>
      <c r="B106" s="3406"/>
      <c r="C106" s="879" t="s">
        <v>711</v>
      </c>
      <c r="D106" s="815" t="s">
        <v>712</v>
      </c>
      <c r="E106" s="892">
        <v>0.2</v>
      </c>
      <c r="F106" s="879">
        <v>30</v>
      </c>
    </row>
    <row r="107" spans="1:6" s="875" customFormat="1" ht="36">
      <c r="A107" s="879">
        <v>47</v>
      </c>
      <c r="B107" s="3406" t="s">
        <v>713</v>
      </c>
      <c r="C107" s="879" t="s">
        <v>714</v>
      </c>
      <c r="D107" s="815" t="s">
        <v>715</v>
      </c>
      <c r="E107" s="892">
        <v>0.3</v>
      </c>
      <c r="F107" s="879">
        <v>50</v>
      </c>
    </row>
    <row r="108" spans="1:6" s="875" customFormat="1" ht="36">
      <c r="A108" s="879">
        <v>48</v>
      </c>
      <c r="B108" s="340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406" t="s">
        <v>724</v>
      </c>
      <c r="C111" s="879" t="s">
        <v>725</v>
      </c>
      <c r="D111" s="815" t="s">
        <v>726</v>
      </c>
      <c r="E111" s="892">
        <v>0.2</v>
      </c>
      <c r="F111" s="879">
        <v>30</v>
      </c>
    </row>
    <row r="112" spans="1:6" s="875" customFormat="1" ht="24">
      <c r="A112" s="879">
        <v>52</v>
      </c>
      <c r="B112" s="3406"/>
      <c r="C112" s="879" t="s">
        <v>727</v>
      </c>
      <c r="D112" s="815" t="s">
        <v>728</v>
      </c>
      <c r="E112" s="892">
        <v>0.2</v>
      </c>
      <c r="F112" s="879">
        <v>30</v>
      </c>
    </row>
    <row r="113" spans="1:6" s="875" customFormat="1" ht="24">
      <c r="A113" s="879">
        <v>53</v>
      </c>
      <c r="B113" s="3406"/>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406" t="s">
        <v>737</v>
      </c>
      <c r="C116" s="879" t="s">
        <v>738</v>
      </c>
      <c r="D116" s="815" t="s">
        <v>739</v>
      </c>
      <c r="E116" s="892">
        <v>0.2</v>
      </c>
      <c r="F116" s="879">
        <v>30</v>
      </c>
    </row>
    <row r="117" spans="1:6" ht="36">
      <c r="A117" s="879">
        <v>57</v>
      </c>
      <c r="B117" s="3406"/>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8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3" t="s">
        <v>2989</v>
      </c>
    </row>
    <row r="2" spans="1:5" ht="15.75">
      <c r="A2" s="2894" t="s">
        <v>2981</v>
      </c>
      <c r="B2" s="2895" t="e">
        <f ca="1">SUMIF(B6:B13,"&lt;&gt;#ref!",B6:B13)</f>
        <v>#DIV/0!</v>
      </c>
      <c r="C2" s="2894" t="s">
        <v>2982</v>
      </c>
      <c r="D2" s="2894" t="s">
        <v>2983</v>
      </c>
      <c r="E2" s="2895">
        <f ca="1">SUMIF(E6:E13,"&lt;&gt;#ref!",E6:E13)</f>
        <v>0</v>
      </c>
    </row>
    <row r="3" spans="1:5" ht="15.75">
      <c r="A3" s="2894" t="s">
        <v>2984</v>
      </c>
      <c r="B3" s="2895" t="e">
        <f ca="1">ROUND(B2*10000/E2,0)</f>
        <v>#DIV/0!</v>
      </c>
      <c r="C3" s="2894" t="s">
        <v>2990</v>
      </c>
      <c r="D3" s="2896"/>
      <c r="E3" s="2896"/>
    </row>
    <row r="4" spans="1:5" ht="15.75">
      <c r="A4" s="2897"/>
      <c r="B4" s="2896"/>
      <c r="C4" s="2896"/>
      <c r="D4" s="2896"/>
      <c r="E4" s="2896"/>
    </row>
    <row r="5" spans="1:5" ht="28.5">
      <c r="A5" s="2898" t="s">
        <v>2985</v>
      </c>
      <c r="B5" s="2894" t="s">
        <v>2986</v>
      </c>
      <c r="C5" s="2895"/>
      <c r="D5" s="2896"/>
      <c r="E5" s="2894" t="s">
        <v>2987</v>
      </c>
    </row>
    <row r="6" spans="1:5" ht="15.75">
      <c r="A6" s="2899" t="s">
        <v>2988</v>
      </c>
      <c r="B6" s="2895" t="e">
        <f ca="1">SUMIF(INDIRECT("'"&amp;A6&amp;"'"&amp;"!A:A"),"总价",INDIRECT("'"&amp;A6&amp;"'"&amp;"!B:B"))</f>
        <v>#DIV/0!</v>
      </c>
      <c r="C6" s="2894" t="s">
        <v>2982</v>
      </c>
      <c r="D6" s="2896"/>
      <c r="E6" s="2567">
        <f ca="1">SUMIF(INDIRECT("'"&amp;A6&amp;"'"&amp;"!C:C"),"建筑面积",INDIRECT("'"&amp;A6&amp;"'"&amp;"!D:D"))</f>
        <v>0</v>
      </c>
    </row>
    <row r="7" spans="1:5" ht="15.75">
      <c r="A7" s="2899"/>
      <c r="B7" s="2895" t="e">
        <f ca="1">SUMIF(INDIRECT("'"&amp;A7&amp;"'"&amp;"!A:A"),"总价",INDIRECT("'"&amp;A7&amp;"'"&amp;"!B:B"))</f>
        <v>#REF!</v>
      </c>
      <c r="C7" s="2894" t="s">
        <v>2982</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2982</v>
      </c>
      <c r="D8" s="2896"/>
      <c r="E8" s="2567" t="e">
        <f t="shared" ca="1" si="0"/>
        <v>#REF!</v>
      </c>
    </row>
    <row r="9" spans="1:5" ht="15.75">
      <c r="A9" s="2899"/>
      <c r="B9" s="2895" t="e">
        <f t="shared" ca="1" si="1"/>
        <v>#REF!</v>
      </c>
      <c r="C9" s="2894" t="s">
        <v>2982</v>
      </c>
      <c r="D9" s="2896"/>
      <c r="E9" s="2567" t="e">
        <f t="shared" ca="1" si="0"/>
        <v>#REF!</v>
      </c>
    </row>
    <row r="10" spans="1:5" ht="15.75">
      <c r="A10" s="2899"/>
      <c r="B10" s="2895" t="e">
        <f t="shared" ca="1" si="1"/>
        <v>#REF!</v>
      </c>
      <c r="C10" s="2894" t="s">
        <v>2982</v>
      </c>
      <c r="D10" s="2896"/>
      <c r="E10" s="2567" t="e">
        <f t="shared" ca="1" si="0"/>
        <v>#REF!</v>
      </c>
    </row>
    <row r="11" spans="1:5" ht="15.75">
      <c r="A11" s="2899"/>
      <c r="B11" s="2895" t="e">
        <f t="shared" ca="1" si="1"/>
        <v>#REF!</v>
      </c>
      <c r="C11" s="2894" t="s">
        <v>2982</v>
      </c>
      <c r="D11" s="2896"/>
      <c r="E11" s="2567" t="e">
        <f t="shared" ca="1" si="0"/>
        <v>#REF!</v>
      </c>
    </row>
    <row r="12" spans="1:5" ht="15.75">
      <c r="A12" s="2899"/>
      <c r="B12" s="2895" t="e">
        <f t="shared" ca="1" si="1"/>
        <v>#REF!</v>
      </c>
      <c r="C12" s="2894" t="s">
        <v>2982</v>
      </c>
      <c r="D12" s="2896"/>
      <c r="E12" s="2567" t="e">
        <f t="shared" ca="1" si="0"/>
        <v>#REF!</v>
      </c>
    </row>
    <row r="13" spans="1:5" ht="15.75">
      <c r="A13" s="2899"/>
      <c r="B13" s="2895" t="e">
        <f t="shared" ca="1" si="1"/>
        <v>#REF!</v>
      </c>
      <c r="C13" s="2894" t="s">
        <v>2982</v>
      </c>
      <c r="D13" s="2896"/>
      <c r="E13" s="256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sqref="A1:XFD104857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412" t="s">
        <v>1145</v>
      </c>
      <c r="C1" s="3412"/>
      <c r="D1" s="3412"/>
      <c r="E1" s="3412"/>
      <c r="F1" s="3412"/>
      <c r="G1" s="3408" t="s">
        <v>1146</v>
      </c>
      <c r="H1" s="3408"/>
      <c r="I1" s="3408"/>
      <c r="J1" s="3408"/>
      <c r="K1" s="3408"/>
      <c r="L1" s="3408"/>
      <c r="N1" s="3408" t="s">
        <v>1147</v>
      </c>
      <c r="O1" s="3408"/>
      <c r="P1" s="3408"/>
      <c r="Q1" s="3408"/>
      <c r="R1" s="1443"/>
      <c r="S1" s="3408" t="s">
        <v>1148</v>
      </c>
      <c r="T1" s="3408"/>
      <c r="U1" s="3408"/>
      <c r="V1" s="3408"/>
      <c r="X1" s="3407" t="s">
        <v>1149</v>
      </c>
      <c r="Y1" s="3408"/>
      <c r="Z1" s="3408"/>
      <c r="AA1" s="3408"/>
      <c r="AB1" s="3408"/>
      <c r="AD1" s="3407" t="s">
        <v>1150</v>
      </c>
      <c r="AE1" s="3408"/>
      <c r="AF1" s="3408"/>
      <c r="AG1" s="3408"/>
      <c r="AH1" s="3408"/>
    </row>
    <row r="2" spans="1:34" s="1444" customFormat="1" ht="14.2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10" customFormat="1" ht="14.25">
      <c r="A3" s="2919" t="s">
        <v>3024</v>
      </c>
      <c r="B3" s="2911"/>
      <c r="C3" s="2911"/>
      <c r="D3" s="2912"/>
      <c r="E3" s="2912"/>
      <c r="F3" s="2911"/>
      <c r="G3" s="2913"/>
      <c r="H3" s="2914"/>
      <c r="I3" s="2915">
        <f>ROUND(AVERAGE($I4:$I29),2)</f>
        <v>1.9</v>
      </c>
      <c r="J3" s="2915">
        <f>ROUND(AVERAGE($J4:$J29),2)</f>
        <v>1.35</v>
      </c>
      <c r="K3" s="2915">
        <f>ROUND(AVERAGE($K4:$K29),2)</f>
        <v>2.08</v>
      </c>
      <c r="L3" s="2915">
        <f>ROUND(AVERAGE($L4:$L29),2)</f>
        <v>1.33</v>
      </c>
      <c r="N3" s="2913"/>
      <c r="O3" s="2916"/>
      <c r="P3" s="2916"/>
      <c r="Q3" s="2916"/>
      <c r="R3" s="2916"/>
      <c r="S3" s="2913"/>
      <c r="T3" s="2916"/>
      <c r="U3" s="2916"/>
      <c r="V3" s="2916"/>
      <c r="W3" s="2908"/>
      <c r="X3" s="2917">
        <f>ROUND(SUMPRODUCT(PRODUCT(1+N3:N$28)),4)</f>
        <v>1.5516000000000001</v>
      </c>
      <c r="Y3" s="2917">
        <f>ROUND(SUMPRODUCT(PRODUCT(1+O3:O$28)),4)</f>
        <v>1.3649</v>
      </c>
      <c r="Z3" s="2917">
        <f t="shared" ref="Z3:Z26" si="0">Y3</f>
        <v>1.3649</v>
      </c>
      <c r="AA3" s="2917">
        <f>ROUND(SUMPRODUCT(PRODUCT(1+P3:P$28)),4)</f>
        <v>1.6133999999999999</v>
      </c>
      <c r="AB3" s="2917">
        <f>ROUND(SUMPRODUCT(PRODUCT(1+Q3:Q$28)),4)</f>
        <v>1.3713</v>
      </c>
      <c r="AD3" s="2918">
        <f>ROUND(AVERAGE(I3:I$29)/100,4)</f>
        <v>1.9E-2</v>
      </c>
      <c r="AE3" s="2918">
        <f>ROUND(AVERAGE(J3:J$29)/100,4)</f>
        <v>1.35E-2</v>
      </c>
      <c r="AF3" s="2918">
        <f t="shared" ref="AF3:AF27" si="1">AE3</f>
        <v>1.35E-2</v>
      </c>
      <c r="AG3" s="2918">
        <f>ROUND(AVERAGE(K3:K$29)/100,4)</f>
        <v>2.0799999999999999E-2</v>
      </c>
      <c r="AH3" s="2918">
        <f>ROUND(AVERAGE(L3:L$29)/100,4)</f>
        <v>1.3299999999999999E-2</v>
      </c>
    </row>
    <row r="4" spans="1:34" s="1450" customFormat="1" ht="14.25">
      <c r="B4" s="1451"/>
      <c r="C4" s="1451"/>
      <c r="D4" s="1452"/>
      <c r="E4" s="1452"/>
      <c r="F4" s="1451"/>
      <c r="G4" s="1453"/>
      <c r="H4" s="1454"/>
      <c r="I4" s="2905"/>
      <c r="J4" s="2905"/>
      <c r="K4" s="2905"/>
      <c r="L4" s="2905"/>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3043</v>
      </c>
      <c r="B5" s="1788">
        <f t="shared" ref="B5" si="2">B6*(1+N5)</f>
        <v>477.19997390765138</v>
      </c>
      <c r="C5" s="1788">
        <f t="shared" ref="C5" si="3">C6*(1+O5)</f>
        <v>351.84874729536665</v>
      </c>
      <c r="D5" s="1788">
        <f t="shared" ref="D5" si="4">C5</f>
        <v>351.84874729536665</v>
      </c>
      <c r="E5" s="1788">
        <f t="shared" ref="E5" si="5">E6*(1+P5)</f>
        <v>682.29768951465201</v>
      </c>
      <c r="F5" s="1788">
        <f t="shared" ref="F5" si="6">F6*(1+Q5)</f>
        <v>315.26985675409043</v>
      </c>
      <c r="G5" s="2944">
        <v>2020</v>
      </c>
      <c r="H5" s="1727">
        <v>1</v>
      </c>
      <c r="I5" s="2906">
        <v>0</v>
      </c>
      <c r="J5" s="2906">
        <v>0</v>
      </c>
      <c r="K5" s="2906">
        <v>0</v>
      </c>
      <c r="L5" s="2906">
        <v>0</v>
      </c>
      <c r="N5" s="1464">
        <f t="shared" ref="N5" si="7">I5/100</f>
        <v>0</v>
      </c>
      <c r="O5" s="1464">
        <f t="shared" ref="O5" si="8">J5/100</f>
        <v>0</v>
      </c>
      <c r="P5" s="1464">
        <f t="shared" ref="P5" si="9">K5/100</f>
        <v>0</v>
      </c>
      <c r="Q5" s="1464">
        <f t="shared" ref="Q5" si="10">L5/100</f>
        <v>0</v>
      </c>
      <c r="R5" s="1729"/>
      <c r="S5" s="1730"/>
      <c r="T5" s="1729"/>
      <c r="U5" s="1729"/>
      <c r="V5" s="1729"/>
      <c r="W5" s="2909" t="s">
        <v>3025</v>
      </c>
      <c r="X5" s="1723">
        <f>ROUND(IF(项目基本情况!B8="出让",SUMPRODUCT(PRODUCT(1+N5:N$29)),SUMPRODUCT(PRODUCT(1+N5:N$28))),4)</f>
        <v>1.5516000000000001</v>
      </c>
      <c r="Y5" s="1723">
        <f>ROUND(IF(项目基本情况!B8="出让",SUMPRODUCT(PRODUCT(1+O5:O$29)),SUMPRODUCT(PRODUCT(1+O5:O$28))),4)</f>
        <v>1.3649</v>
      </c>
      <c r="Z5" s="1723">
        <f t="shared" ref="Z5" si="11">Y5</f>
        <v>1.3649</v>
      </c>
      <c r="AA5" s="1723">
        <f>ROUND(IF(项目基本情况!B8="出让",SUMPRODUCT(PRODUCT(1+P5:P$29)),SUMPRODUCT(PRODUCT(1+P5:P$28))),4)</f>
        <v>1.6133999999999999</v>
      </c>
      <c r="AB5" s="1723">
        <f>ROUND(IF(项目基本情况!B8="出让",SUMPRODUCT(PRODUCT(1+Q5:Q$29)),SUMPRODUCT(PRODUCT(1+Q5:Q$28))),4)</f>
        <v>1.3713</v>
      </c>
      <c r="AD5" s="1465">
        <f>ROUND(AVERAGE(I5:I$29)/100,4)</f>
        <v>1.9E-2</v>
      </c>
      <c r="AE5" s="1465">
        <f>ROUND(AVERAGE(J5:J$29)/100,4)</f>
        <v>1.35E-2</v>
      </c>
      <c r="AF5" s="1465">
        <f t="shared" ref="AF5" si="12">AE5</f>
        <v>1.35E-2</v>
      </c>
      <c r="AG5" s="1465">
        <f>ROUND(AVERAGE(K5:K$29)/100,4)</f>
        <v>2.0799999999999999E-2</v>
      </c>
      <c r="AH5" s="1465">
        <f>ROUND(AVERAGE(L5:L$29)/100,4)</f>
        <v>1.3299999999999999E-2</v>
      </c>
    </row>
    <row r="6" spans="1:34" s="1463" customFormat="1">
      <c r="A6" s="1458" t="s">
        <v>3042</v>
      </c>
      <c r="B6" s="1474">
        <f t="shared" ref="B6" si="13">B7*(1+N6)</f>
        <v>477.19997390765138</v>
      </c>
      <c r="C6" s="1474">
        <f t="shared" ref="C6" si="14">C7*(1+O6)</f>
        <v>351.84874729536665</v>
      </c>
      <c r="D6" s="1474">
        <f t="shared" ref="D6" si="15">C6</f>
        <v>351.84874729536665</v>
      </c>
      <c r="E6" s="1474">
        <f t="shared" ref="E6" si="16">E7*(1+P6)</f>
        <v>682.29768951465201</v>
      </c>
      <c r="F6" s="1474">
        <f t="shared" ref="F6" si="17">F7*(1+Q6)</f>
        <v>315.26985675409043</v>
      </c>
      <c r="G6" s="2944">
        <v>2019</v>
      </c>
      <c r="H6" s="1461">
        <v>4</v>
      </c>
      <c r="I6" s="1461">
        <v>0</v>
      </c>
      <c r="J6" s="1461">
        <v>0</v>
      </c>
      <c r="K6" s="1461">
        <v>0</v>
      </c>
      <c r="L6" s="1475">
        <v>0</v>
      </c>
      <c r="M6" s="1468"/>
      <c r="N6" s="1469">
        <f t="shared" ref="N6:N11" si="18">I6/100</f>
        <v>0</v>
      </c>
      <c r="O6" s="1470">
        <f t="shared" ref="O6" si="19">J6/100</f>
        <v>0</v>
      </c>
      <c r="P6" s="1470">
        <f t="shared" ref="P6" si="20">K6/100</f>
        <v>0</v>
      </c>
      <c r="Q6" s="1470">
        <f t="shared" ref="Q6" si="21">L6/100</f>
        <v>0</v>
      </c>
      <c r="R6" s="1471"/>
      <c r="S6" s="1469"/>
      <c r="T6" s="1470"/>
      <c r="U6" s="1470"/>
      <c r="V6" s="1470"/>
      <c r="W6" s="1787"/>
      <c r="X6" s="1785">
        <f>ROUND(IF(项目基本情况!B8="出让",SUMPRODUCT(PRODUCT(1+N6:N$29)),SUMPRODUCT(PRODUCT(1+N6:N$28))),4)</f>
        <v>1.5516000000000001</v>
      </c>
      <c r="Y6" s="1785">
        <f>ROUND(IF(项目基本情况!B8="出让",SUMPRODUCT(PRODUCT(1+O6:O$29)),SUMPRODUCT(PRODUCT(1+O6:O$28))),4)</f>
        <v>1.3649</v>
      </c>
      <c r="Z6" s="1785">
        <f t="shared" ref="Z6" si="22">Y6</f>
        <v>1.3649</v>
      </c>
      <c r="AA6" s="1785">
        <f>ROUND(IF(项目基本情况!B8="出让",SUMPRODUCT(PRODUCT(1+P6:P$29)),SUMPRODUCT(PRODUCT(1+P6:P$28))),4)</f>
        <v>1.6133999999999999</v>
      </c>
      <c r="AB6" s="1785">
        <f>ROUND(IF(项目基本情况!B8="出让",SUMPRODUCT(PRODUCT(1+Q6:Q$29)),SUMPRODUCT(PRODUCT(1+Q6:Q$28))),4)</f>
        <v>1.3713</v>
      </c>
      <c r="AC6" s="1787"/>
      <c r="AD6" s="1786">
        <f>ROUND(AVERAGE(I6:I$29)/100,4)</f>
        <v>1.9800000000000002E-2</v>
      </c>
      <c r="AE6" s="1786">
        <f>ROUND(AVERAGE(J6:J$29)/100,4)</f>
        <v>1.41E-2</v>
      </c>
      <c r="AF6" s="1786">
        <f t="shared" ref="AF6" si="23">AE6</f>
        <v>1.41E-2</v>
      </c>
      <c r="AG6" s="1786">
        <f>ROUND(AVERAGE(K6:K$29)/100,4)</f>
        <v>2.1600000000000001E-2</v>
      </c>
      <c r="AH6" s="1786">
        <f>ROUND(AVERAGE(L6:L$29)/100,4)</f>
        <v>1.38E-2</v>
      </c>
    </row>
    <row r="7" spans="1:34" s="1463" customFormat="1" ht="13.5" thickBot="1">
      <c r="A7" s="1458" t="s">
        <v>3038</v>
      </c>
      <c r="B7" s="1474">
        <f t="shared" ref="B7" si="24">B8*(1+N7)</f>
        <v>477.19997390765138</v>
      </c>
      <c r="C7" s="1474">
        <f t="shared" ref="C7" si="25">C8*(1+O7)</f>
        <v>351.84874729536665</v>
      </c>
      <c r="D7" s="1474">
        <f t="shared" ref="D7" si="26">C7</f>
        <v>351.84874729536665</v>
      </c>
      <c r="E7" s="1474">
        <f t="shared" ref="E7" si="27">E8*(1+P7)</f>
        <v>682.29768951465201</v>
      </c>
      <c r="F7" s="1474">
        <f t="shared" ref="F7" si="28">F8*(1+Q7)</f>
        <v>315.26985675409043</v>
      </c>
      <c r="G7" s="2943">
        <v>2019</v>
      </c>
      <c r="H7" s="1461">
        <v>3</v>
      </c>
      <c r="I7" s="1461">
        <v>0.61</v>
      </c>
      <c r="J7" s="1461">
        <v>0.67</v>
      </c>
      <c r="K7" s="1461">
        <v>0.6</v>
      </c>
      <c r="L7" s="1475">
        <v>1.03</v>
      </c>
      <c r="M7" s="1468"/>
      <c r="N7" s="1469">
        <f t="shared" si="18"/>
        <v>6.0999999999999995E-3</v>
      </c>
      <c r="O7" s="1470">
        <f t="shared" ref="O7" si="29">J7/100</f>
        <v>6.7000000000000002E-3</v>
      </c>
      <c r="P7" s="1470">
        <f t="shared" ref="P7" si="30">K7/100</f>
        <v>6.0000000000000001E-3</v>
      </c>
      <c r="Q7" s="1470">
        <f t="shared" ref="Q7" si="31">L7/100</f>
        <v>1.03E-2</v>
      </c>
      <c r="R7" s="1471"/>
      <c r="S7" s="1469"/>
      <c r="T7" s="1470"/>
      <c r="U7" s="1470"/>
      <c r="V7" s="1470"/>
      <c r="W7" s="1787"/>
      <c r="X7" s="1785">
        <f>ROUND(IF(项目基本情况!B8="出让",SUMPRODUCT(PRODUCT(1+N7:N$29)),SUMPRODUCT(PRODUCT(1+N7:N$28))),4)</f>
        <v>1.5516000000000001</v>
      </c>
      <c r="Y7" s="1785">
        <f>ROUND(IF(项目基本情况!B8="出让",SUMPRODUCT(PRODUCT(1+O7:O$29)),SUMPRODUCT(PRODUCT(1+O7:O$28))),4)</f>
        <v>1.3649</v>
      </c>
      <c r="Z7" s="1785">
        <f t="shared" ref="Z7" si="32">Y7</f>
        <v>1.3649</v>
      </c>
      <c r="AA7" s="1785">
        <f>ROUND(IF(项目基本情况!B8="出让",SUMPRODUCT(PRODUCT(1+P7:P$29)),SUMPRODUCT(PRODUCT(1+P7:P$28))),4)</f>
        <v>1.6133999999999999</v>
      </c>
      <c r="AB7" s="1785">
        <f>ROUND(IF(项目基本情况!B8="出让",SUMPRODUCT(PRODUCT(1+Q7:Q$29)),SUMPRODUCT(PRODUCT(1+Q7:Q$28))),4)</f>
        <v>1.3713</v>
      </c>
      <c r="AC7" s="1787"/>
      <c r="AD7" s="1786">
        <f>ROUND(AVERAGE(I7:I$29)/100,4)</f>
        <v>2.07E-2</v>
      </c>
      <c r="AE7" s="1786">
        <f>ROUND(AVERAGE(J7:J$29)/100,4)</f>
        <v>1.47E-2</v>
      </c>
      <c r="AF7" s="1786">
        <f t="shared" ref="AF7" si="33">AE7</f>
        <v>1.47E-2</v>
      </c>
      <c r="AG7" s="1786">
        <f>ROUND(AVERAGE(K7:K$29)/100,4)</f>
        <v>2.2599999999999999E-2</v>
      </c>
      <c r="AH7" s="1786">
        <f>ROUND(AVERAGE(L7:L$29)/100,4)</f>
        <v>1.44E-2</v>
      </c>
    </row>
    <row r="8" spans="1:34" s="1463" customFormat="1">
      <c r="A8" s="1458" t="s">
        <v>3036</v>
      </c>
      <c r="B8" s="1474">
        <f t="shared" ref="B8" si="34">B9*(1+N8)</f>
        <v>474.30670301923408</v>
      </c>
      <c r="C8" s="1474">
        <f t="shared" ref="C8" si="35">C9*(1+O8)</f>
        <v>349.50705005996491</v>
      </c>
      <c r="D8" s="1474">
        <f t="shared" ref="D8" si="36">C8</f>
        <v>349.50705005996491</v>
      </c>
      <c r="E8" s="1474">
        <f t="shared" ref="E8" si="37">E9*(1+P8)</f>
        <v>678.22831959706957</v>
      </c>
      <c r="F8" s="1474">
        <f t="shared" ref="F8" si="38">F9*(1+Q8)</f>
        <v>312.0556832169558</v>
      </c>
      <c r="G8" s="2939">
        <v>2019</v>
      </c>
      <c r="H8" s="1459">
        <v>2</v>
      </c>
      <c r="I8" s="1459">
        <v>1.53</v>
      </c>
      <c r="J8" s="1459">
        <v>1.01</v>
      </c>
      <c r="K8" s="1459">
        <v>1.62</v>
      </c>
      <c r="L8" s="1460">
        <v>1.25</v>
      </c>
      <c r="M8" s="1468"/>
      <c r="N8" s="1469">
        <f t="shared" si="18"/>
        <v>1.5300000000000001E-2</v>
      </c>
      <c r="O8" s="1470">
        <f t="shared" ref="O8" si="39">J8/100</f>
        <v>1.01E-2</v>
      </c>
      <c r="P8" s="1470">
        <f t="shared" ref="P8" si="40">K8/100</f>
        <v>1.6200000000000003E-2</v>
      </c>
      <c r="Q8" s="1470">
        <f t="shared" ref="Q8" si="41">L8/100</f>
        <v>1.2500000000000001E-2</v>
      </c>
      <c r="R8" s="1471"/>
      <c r="S8" s="1469"/>
      <c r="T8" s="1470"/>
      <c r="U8" s="1470"/>
      <c r="V8" s="1470"/>
      <c r="W8" s="1787"/>
      <c r="X8" s="1785">
        <f>ROUND(IF(项目基本情况!B8="出让",SUMPRODUCT(PRODUCT(1+N8:N$29)),SUMPRODUCT(PRODUCT(1+N8:N$28))),4)</f>
        <v>1.5422</v>
      </c>
      <c r="Y8" s="1785">
        <f>ROUND(IF(项目基本情况!B8="出让",SUMPRODUCT(PRODUCT(1+O8:O$29)),SUMPRODUCT(PRODUCT(1+O8:O$28))),4)</f>
        <v>1.3557999999999999</v>
      </c>
      <c r="Z8" s="1785">
        <f t="shared" ref="Z8" si="42">Y8</f>
        <v>1.3557999999999999</v>
      </c>
      <c r="AA8" s="1785">
        <f>ROUND(IF(项目基本情况!B8="出让",SUMPRODUCT(PRODUCT(1+P8:P$29)),SUMPRODUCT(PRODUCT(1+P8:P$28))),4)</f>
        <v>1.6036999999999999</v>
      </c>
      <c r="AB8" s="1785">
        <f>ROUND(IF(项目基本情况!B8="出让",SUMPRODUCT(PRODUCT(1+Q8:Q$29)),SUMPRODUCT(PRODUCT(1+Q8:Q$28))),4)</f>
        <v>1.3573</v>
      </c>
      <c r="AC8" s="1787"/>
      <c r="AD8" s="1786">
        <f>ROUND(AVERAGE(I8:I$29)/100,4)</f>
        <v>2.1299999999999999E-2</v>
      </c>
      <c r="AE8" s="1786">
        <f>ROUND(AVERAGE(J8:J$29)/100,4)</f>
        <v>1.4999999999999999E-2</v>
      </c>
      <c r="AF8" s="1786">
        <f t="shared" ref="AF8" si="43">AE8</f>
        <v>1.4999999999999999E-2</v>
      </c>
      <c r="AG8" s="1786">
        <f>ROUND(AVERAGE(K8:K$29)/100,4)</f>
        <v>2.3300000000000001E-2</v>
      </c>
      <c r="AH8" s="1786">
        <f>ROUND(AVERAGE(L8:L$29)/100,4)</f>
        <v>1.46E-2</v>
      </c>
    </row>
    <row r="9" spans="1:34" s="1463" customFormat="1" ht="13.5" thickBot="1">
      <c r="A9" s="1458" t="s">
        <v>3034</v>
      </c>
      <c r="B9" s="1474">
        <f t="shared" ref="B9" si="44">B10*(1+N9)</f>
        <v>467.15916775261894</v>
      </c>
      <c r="C9" s="1474">
        <f t="shared" ref="C9" si="45">C10*(1+O9)</f>
        <v>346.01232557169084</v>
      </c>
      <c r="D9" s="1474">
        <f t="shared" ref="D9" si="46">C9</f>
        <v>346.01232557169084</v>
      </c>
      <c r="E9" s="1474">
        <f t="shared" ref="E9" si="47">E10*(1+P9)</f>
        <v>667.41617752122568</v>
      </c>
      <c r="F9" s="1474">
        <f t="shared" ref="F9" si="48">F10*(1+Q9)</f>
        <v>308.20314391798104</v>
      </c>
      <c r="G9" s="2923">
        <v>2019</v>
      </c>
      <c r="H9" s="1461">
        <v>1</v>
      </c>
      <c r="I9" s="1461">
        <v>0.6</v>
      </c>
      <c r="J9" s="1461">
        <v>0.37</v>
      </c>
      <c r="K9" s="1461">
        <v>0.63</v>
      </c>
      <c r="L9" s="1475">
        <v>1.1299999999999999</v>
      </c>
      <c r="M9" s="1468"/>
      <c r="N9" s="1469">
        <f t="shared" si="18"/>
        <v>6.0000000000000001E-3</v>
      </c>
      <c r="O9" s="1470">
        <f t="shared" ref="O9" si="49">J9/100</f>
        <v>3.7000000000000002E-3</v>
      </c>
      <c r="P9" s="1470">
        <f t="shared" ref="P9" si="50">K9/100</f>
        <v>6.3E-3</v>
      </c>
      <c r="Q9" s="1470">
        <f t="shared" ref="Q9" si="51">L9/100</f>
        <v>1.1299999999999999E-2</v>
      </c>
      <c r="R9" s="1471"/>
      <c r="S9" s="1469">
        <f>B9/B10-1</f>
        <v>6.0000000000000053E-3</v>
      </c>
      <c r="T9" s="1470">
        <f t="shared" ref="T9" si="52">C9/C10-1</f>
        <v>3.7000000000000366E-3</v>
      </c>
      <c r="U9" s="1470">
        <f t="shared" ref="U9" si="53">D9/D10-1</f>
        <v>3.7000000000000366E-3</v>
      </c>
      <c r="V9" s="1470">
        <f t="shared" ref="V9" si="54">E9/E10-1</f>
        <v>6.2999999999999723E-3</v>
      </c>
      <c r="W9" s="1787"/>
      <c r="X9" s="1785">
        <f>ROUND(IF(项目基本情况!B8="出让",SUMPRODUCT(PRODUCT(1+N9:N$29)),SUMPRODUCT(PRODUCT(1+N9:N$28))),4)</f>
        <v>1.5189999999999999</v>
      </c>
      <c r="Y9" s="1785">
        <f>ROUND(IF(项目基本情况!B8="出让",SUMPRODUCT(PRODUCT(1+O9:O$29)),SUMPRODUCT(PRODUCT(1+O9:O$28))),4)</f>
        <v>1.3423</v>
      </c>
      <c r="Z9" s="1785">
        <f t="shared" ref="Z9" si="55">Y9</f>
        <v>1.3423</v>
      </c>
      <c r="AA9" s="1785">
        <f>ROUND(IF(项目基本情况!B8="出让",SUMPRODUCT(PRODUCT(1+P9:P$29)),SUMPRODUCT(PRODUCT(1+P9:P$28))),4)</f>
        <v>1.5782</v>
      </c>
      <c r="AB9" s="1785">
        <f>ROUND(IF(项目基本情况!B8="出让",SUMPRODUCT(PRODUCT(1+Q9:Q$29)),SUMPRODUCT(PRODUCT(1+Q9:Q$28))),4)</f>
        <v>1.3405</v>
      </c>
      <c r="AC9" s="1787"/>
      <c r="AD9" s="1786">
        <f>ROUND(AVERAGE(I9:I$29)/100,4)</f>
        <v>2.1600000000000001E-2</v>
      </c>
      <c r="AE9" s="1786">
        <f>ROUND(AVERAGE(J9:J$29)/100,4)</f>
        <v>1.5299999999999999E-2</v>
      </c>
      <c r="AF9" s="1786">
        <f t="shared" ref="AF9" si="56">AE9</f>
        <v>1.5299999999999999E-2</v>
      </c>
      <c r="AG9" s="1786">
        <f>ROUND(AVERAGE(K9:K$29)/100,4)</f>
        <v>2.3699999999999999E-2</v>
      </c>
      <c r="AH9" s="1786">
        <f>ROUND(AVERAGE(L9:L$29)/100,4)</f>
        <v>1.47E-2</v>
      </c>
    </row>
    <row r="10" spans="1:34" s="1463" customFormat="1">
      <c r="A10" s="1458" t="s">
        <v>3037</v>
      </c>
      <c r="B10" s="2940">
        <f t="shared" ref="B10" si="57">B11*(1+N10)</f>
        <v>464.37293017158942</v>
      </c>
      <c r="C10" s="2940">
        <f t="shared" ref="C10" si="58">C11*(1+O10)</f>
        <v>344.73679941385956</v>
      </c>
      <c r="D10" s="2940">
        <f t="shared" ref="D10" si="59">C10</f>
        <v>344.73679941385956</v>
      </c>
      <c r="E10" s="2940">
        <f t="shared" ref="E10" si="60">E11*(1+P10)</f>
        <v>663.2377795103107</v>
      </c>
      <c r="F10" s="2941">
        <f t="shared" ref="F10" si="61">F11*(1+Q10)</f>
        <v>304.75936311478398</v>
      </c>
      <c r="G10" s="3410">
        <v>2018</v>
      </c>
      <c r="H10" s="1459">
        <v>4</v>
      </c>
      <c r="I10" s="1459">
        <v>0.96</v>
      </c>
      <c r="J10" s="1459">
        <v>1.03</v>
      </c>
      <c r="K10" s="1459">
        <v>0.92</v>
      </c>
      <c r="L10" s="1460">
        <v>1.29</v>
      </c>
      <c r="M10" s="1468"/>
      <c r="N10" s="1469">
        <f t="shared" si="18"/>
        <v>9.5999999999999992E-3</v>
      </c>
      <c r="O10" s="1470">
        <f t="shared" ref="O10" si="62">J10/100</f>
        <v>1.03E-2</v>
      </c>
      <c r="P10" s="1470">
        <f t="shared" ref="P10" si="63">K10/100</f>
        <v>9.1999999999999998E-3</v>
      </c>
      <c r="Q10" s="1470">
        <f t="shared" ref="Q10" si="64">L10/100</f>
        <v>1.29E-2</v>
      </c>
      <c r="R10" s="1471"/>
      <c r="S10" s="1469"/>
      <c r="T10" s="1470"/>
      <c r="U10" s="1470"/>
      <c r="V10" s="1470"/>
      <c r="W10" s="1787"/>
      <c r="X10" s="1785">
        <f>ROUND(SUMPRODUCT(PRODUCT(1+N10:N$28)),4)</f>
        <v>1.5099</v>
      </c>
      <c r="Y10" s="1785">
        <f>ROUND(SUMPRODUCT(PRODUCT(1+O10:O$28)),4)</f>
        <v>1.3372999999999999</v>
      </c>
      <c r="Z10" s="1785">
        <f t="shared" ref="Z10" si="65">Y10</f>
        <v>1.3372999999999999</v>
      </c>
      <c r="AA10" s="1785">
        <f>ROUND(SUMPRODUCT(PRODUCT(1+P10:P$28)),4)</f>
        <v>1.5683</v>
      </c>
      <c r="AB10" s="1785">
        <f>ROUND(SUMPRODUCT(PRODUCT(1+Q10:Q$28)),4)</f>
        <v>1.3255999999999999</v>
      </c>
      <c r="AC10" s="1787"/>
      <c r="AD10" s="1786">
        <f>ROUND(AVERAGE(I10:I$29)/100,4)</f>
        <v>2.24E-2</v>
      </c>
      <c r="AE10" s="1786">
        <f>ROUND(AVERAGE(J10:J$29)/100,4)</f>
        <v>1.5800000000000002E-2</v>
      </c>
      <c r="AF10" s="1786">
        <f t="shared" ref="AF10" si="66">AE10</f>
        <v>1.5800000000000002E-2</v>
      </c>
      <c r="AG10" s="1786">
        <f>ROUND(AVERAGE(K10:K$29)/100,4)</f>
        <v>2.4500000000000001E-2</v>
      </c>
      <c r="AH10" s="1786">
        <f>ROUND(AVERAGE(L10:L$29)/100,4)</f>
        <v>1.49E-2</v>
      </c>
    </row>
    <row r="11" spans="1:34" s="1463" customFormat="1" ht="14.45" customHeight="1">
      <c r="A11" s="1458" t="s">
        <v>3031</v>
      </c>
      <c r="B11" s="1474">
        <f t="shared" ref="B11" si="67">B12*(1+N11)</f>
        <v>459.95733971036987</v>
      </c>
      <c r="C11" s="1474">
        <f t="shared" ref="C11" si="68">C12*(1+O11)</f>
        <v>341.22221064422405</v>
      </c>
      <c r="D11" s="1474">
        <f t="shared" ref="D11" si="69">C11</f>
        <v>341.22221064422405</v>
      </c>
      <c r="E11" s="1474">
        <f t="shared" ref="E11" si="70">E12*(1+P11)</f>
        <v>657.19161663724799</v>
      </c>
      <c r="F11" s="1474">
        <f t="shared" ref="F11" si="71">F12*(1+Q11)</f>
        <v>300.87803644464805</v>
      </c>
      <c r="G11" s="3410"/>
      <c r="H11" s="1461">
        <v>3</v>
      </c>
      <c r="I11" s="1461">
        <v>1.51</v>
      </c>
      <c r="J11" s="1461">
        <v>1.41</v>
      </c>
      <c r="K11" s="1461">
        <v>1.52</v>
      </c>
      <c r="L11" s="1475">
        <v>1.74</v>
      </c>
      <c r="M11" s="1468"/>
      <c r="N11" s="1469">
        <f t="shared" si="18"/>
        <v>1.5100000000000001E-2</v>
      </c>
      <c r="O11" s="1470">
        <f t="shared" ref="O11" si="72">J11/100</f>
        <v>1.41E-2</v>
      </c>
      <c r="P11" s="1470">
        <f t="shared" ref="P11" si="73">K11/100</f>
        <v>1.52E-2</v>
      </c>
      <c r="Q11" s="1470">
        <f t="shared" ref="Q11" si="74">L11/100</f>
        <v>1.7399999999999999E-2</v>
      </c>
      <c r="R11" s="1471"/>
      <c r="S11" s="1469"/>
      <c r="T11" s="1470"/>
      <c r="U11" s="1470"/>
      <c r="V11" s="1470"/>
      <c r="W11" s="1787"/>
      <c r="X11" s="1785">
        <f>ROUND(SUMPRODUCT(PRODUCT(1+N11:N$28)),4)</f>
        <v>1.4956</v>
      </c>
      <c r="Y11" s="1785">
        <f>ROUND(SUMPRODUCT(PRODUCT(1+O11:O$28)),4)</f>
        <v>1.3237000000000001</v>
      </c>
      <c r="Z11" s="1785">
        <f t="shared" ref="Z11" si="75">Y11</f>
        <v>1.3237000000000001</v>
      </c>
      <c r="AA11" s="1785">
        <f>ROUND(SUMPRODUCT(PRODUCT(1+P11:P$28)),4)</f>
        <v>1.554</v>
      </c>
      <c r="AB11" s="1785">
        <f>ROUND(SUMPRODUCT(PRODUCT(1+Q11:Q$28)),4)</f>
        <v>1.3087</v>
      </c>
      <c r="AC11" s="1787"/>
      <c r="AD11" s="1786">
        <f>ROUND(AVERAGE(I11:I$29)/100,4)</f>
        <v>2.3099999999999999E-2</v>
      </c>
      <c r="AE11" s="1786">
        <f>ROUND(AVERAGE(J11:J$29)/100,4)</f>
        <v>1.61E-2</v>
      </c>
      <c r="AF11" s="1786">
        <f t="shared" ref="AF11" si="76">AE11</f>
        <v>1.61E-2</v>
      </c>
      <c r="AG11" s="1786">
        <f>ROUND(AVERAGE(K11:K$29)/100,4)</f>
        <v>2.53E-2</v>
      </c>
      <c r="AH11" s="1786">
        <f>ROUND(AVERAGE(L11:L$29)/100,4)</f>
        <v>1.4999999999999999E-2</v>
      </c>
    </row>
    <row r="12" spans="1:34" s="1463" customFormat="1" ht="14.45" customHeight="1">
      <c r="A12" s="1458" t="s">
        <v>3030</v>
      </c>
      <c r="B12" s="1474">
        <f t="shared" ref="B12" si="77">B13*(1+N12)</f>
        <v>453.11529869999993</v>
      </c>
      <c r="C12" s="1474">
        <f t="shared" ref="C12" si="78">C13*(1+O12)</f>
        <v>336.47787264000004</v>
      </c>
      <c r="D12" s="1474">
        <f t="shared" ref="D12" si="79">C12</f>
        <v>336.47787264000004</v>
      </c>
      <c r="E12" s="1474">
        <f t="shared" ref="E12" si="80">E13*(1+P12)</f>
        <v>647.35186823999993</v>
      </c>
      <c r="F12" s="1474">
        <f t="shared" ref="F12" si="81">F13*(1+Q12)</f>
        <v>295.73229452000004</v>
      </c>
      <c r="G12" s="3410"/>
      <c r="H12" s="1462">
        <v>2</v>
      </c>
      <c r="I12" s="1462">
        <v>1.49</v>
      </c>
      <c r="J12" s="1462">
        <v>0.96</v>
      </c>
      <c r="K12" s="1462">
        <v>1.58</v>
      </c>
      <c r="L12" s="1476">
        <v>2.44</v>
      </c>
      <c r="M12" s="1468"/>
      <c r="N12" s="1469">
        <f t="shared" ref="N12" si="82">I12/100</f>
        <v>1.49E-2</v>
      </c>
      <c r="O12" s="1470">
        <f t="shared" ref="O12" si="83">J12/100</f>
        <v>9.5999999999999992E-3</v>
      </c>
      <c r="P12" s="1470">
        <f t="shared" ref="P12" si="84">K12/100</f>
        <v>1.5800000000000002E-2</v>
      </c>
      <c r="Q12" s="1470">
        <f t="shared" ref="Q12" si="85">L12/100</f>
        <v>2.4399999999999998E-2</v>
      </c>
      <c r="R12" s="1471"/>
      <c r="S12" s="1469"/>
      <c r="T12" s="1470"/>
      <c r="U12" s="1470"/>
      <c r="V12" s="1470"/>
      <c r="W12" s="1787"/>
      <c r="X12" s="1785">
        <f>ROUND(SUMPRODUCT(PRODUCT(1+N12:N$28)),4)</f>
        <v>1.4733000000000001</v>
      </c>
      <c r="Y12" s="1785">
        <f>ROUND(SUMPRODUCT(PRODUCT(1+O12:O$28)),4)</f>
        <v>1.3052999999999999</v>
      </c>
      <c r="Z12" s="1785">
        <f t="shared" ref="Z12" si="86">Y12</f>
        <v>1.3052999999999999</v>
      </c>
      <c r="AA12" s="1785">
        <f>ROUND(SUMPRODUCT(PRODUCT(1+P12:P$28)),4)</f>
        <v>1.5306999999999999</v>
      </c>
      <c r="AB12" s="1785">
        <f>ROUND(SUMPRODUCT(PRODUCT(1+Q12:Q$28)),4)</f>
        <v>1.2863</v>
      </c>
      <c r="AC12" s="1787"/>
      <c r="AD12" s="1786">
        <f>ROUND(AVERAGE(I12:I$29)/100,4)</f>
        <v>2.35E-2</v>
      </c>
      <c r="AE12" s="1786">
        <f>ROUND(AVERAGE(J12:J$29)/100,4)</f>
        <v>1.6199999999999999E-2</v>
      </c>
      <c r="AF12" s="1786">
        <f t="shared" ref="AF12" si="87">AE12</f>
        <v>1.6199999999999999E-2</v>
      </c>
      <c r="AG12" s="1786">
        <f>ROUND(AVERAGE(K12:K$29)/100,4)</f>
        <v>2.5899999999999999E-2</v>
      </c>
      <c r="AH12" s="1786">
        <f>ROUND(AVERAGE(L12:L$29)/100,4)</f>
        <v>1.49E-2</v>
      </c>
    </row>
    <row r="13" spans="1:34" s="1463" customFormat="1" ht="15" customHeight="1" thickBot="1">
      <c r="A13" s="1458" t="s">
        <v>3023</v>
      </c>
      <c r="B13" s="1474">
        <f t="shared" ref="B13" si="88">B14*(1+N13)</f>
        <v>446.46299999999997</v>
      </c>
      <c r="C13" s="1474">
        <f t="shared" ref="C13" si="89">C14*(1+O13)</f>
        <v>333.27840000000003</v>
      </c>
      <c r="D13" s="1474">
        <f t="shared" ref="D13" si="90">C13</f>
        <v>333.27840000000003</v>
      </c>
      <c r="E13" s="1474">
        <f t="shared" ref="E13" si="91">E14*(1+P13)</f>
        <v>637.28279999999995</v>
      </c>
      <c r="F13" s="1474">
        <f t="shared" ref="F13" si="92">F14*(1+Q13)</f>
        <v>288.68830000000003</v>
      </c>
      <c r="G13" s="3417"/>
      <c r="H13" s="1461">
        <v>1</v>
      </c>
      <c r="I13" s="1461">
        <v>1.7</v>
      </c>
      <c r="J13" s="1461">
        <v>1.92</v>
      </c>
      <c r="K13" s="1461">
        <v>1.64</v>
      </c>
      <c r="L13" s="1475">
        <v>2.0099999999999998</v>
      </c>
      <c r="M13" s="1468"/>
      <c r="N13" s="1469">
        <f t="shared" ref="N13:N18" si="93">I13/100</f>
        <v>1.7000000000000001E-2</v>
      </c>
      <c r="O13" s="1470">
        <f t="shared" ref="O13" si="94">J13/100</f>
        <v>1.9199999999999998E-2</v>
      </c>
      <c r="P13" s="1470">
        <f t="shared" ref="P13" si="95">K13/100</f>
        <v>1.6399999999999998E-2</v>
      </c>
      <c r="Q13" s="1470">
        <f t="shared" ref="Q13" si="96">L13/100</f>
        <v>2.0099999999999996E-2</v>
      </c>
      <c r="R13" s="1471"/>
      <c r="S13" s="1469">
        <f>B13/B14-1</f>
        <v>1.6999999999999904E-2</v>
      </c>
      <c r="T13" s="1470">
        <f t="shared" ref="T13" si="97">C13/C14-1</f>
        <v>1.9200000000000106E-2</v>
      </c>
      <c r="U13" s="1470">
        <f t="shared" ref="U13" si="98">D13/D14-1</f>
        <v>1.9200000000000106E-2</v>
      </c>
      <c r="V13" s="1470">
        <f t="shared" ref="V13" si="99">E13/E14-1</f>
        <v>1.639999999999997E-2</v>
      </c>
      <c r="W13" s="1787"/>
      <c r="X13" s="1785">
        <f>ROUND(SUMPRODUCT(PRODUCT(1+N13:N$28)),4)</f>
        <v>1.4517</v>
      </c>
      <c r="Y13" s="1785">
        <f>ROUND(SUMPRODUCT(PRODUCT(1+O13:O$28)),4)</f>
        <v>1.2928999999999999</v>
      </c>
      <c r="Z13" s="1785">
        <f t="shared" ref="Z13" si="100">Y13</f>
        <v>1.2928999999999999</v>
      </c>
      <c r="AA13" s="1785">
        <f>ROUND(SUMPRODUCT(PRODUCT(1+P13:P$28)),4)</f>
        <v>1.5068999999999999</v>
      </c>
      <c r="AB13" s="1785">
        <f>ROUND(SUMPRODUCT(PRODUCT(1+Q13:Q$28)),4)</f>
        <v>1.2557</v>
      </c>
      <c r="AC13" s="1787"/>
      <c r="AD13" s="1786">
        <f>ROUND(AVERAGE(I13:I$29)/100,4)</f>
        <v>2.4E-2</v>
      </c>
      <c r="AE13" s="1786">
        <f>ROUND(AVERAGE(J13:J$29)/100,4)</f>
        <v>1.66E-2</v>
      </c>
      <c r="AF13" s="1786">
        <f t="shared" ref="AF13" si="101">AE13</f>
        <v>1.66E-2</v>
      </c>
      <c r="AG13" s="1786">
        <f>ROUND(AVERAGE(K13:K$29)/100,4)</f>
        <v>2.6499999999999999E-2</v>
      </c>
      <c r="AH13" s="1786">
        <f>ROUND(AVERAGE(L13:L$29)/100,4)</f>
        <v>1.43E-2</v>
      </c>
    </row>
    <row r="14" spans="1:34">
      <c r="A14" s="1458" t="s">
        <v>3020</v>
      </c>
      <c r="B14" s="1466">
        <v>439</v>
      </c>
      <c r="C14" s="1466">
        <v>327</v>
      </c>
      <c r="D14" s="1466">
        <f>C14</f>
        <v>327</v>
      </c>
      <c r="E14" s="1466">
        <v>627</v>
      </c>
      <c r="F14" s="1467">
        <v>283</v>
      </c>
      <c r="G14" s="3413">
        <v>2017</v>
      </c>
      <c r="H14" s="1459">
        <v>4</v>
      </c>
      <c r="I14" s="1459">
        <v>1.71</v>
      </c>
      <c r="J14" s="1459">
        <v>1.78</v>
      </c>
      <c r="K14" s="1459">
        <v>1.71</v>
      </c>
      <c r="L14" s="1460">
        <v>1.43</v>
      </c>
      <c r="N14" s="1469">
        <f t="shared" si="93"/>
        <v>1.7100000000000001E-2</v>
      </c>
      <c r="O14" s="1470">
        <f t="shared" ref="O14" si="102">J14/100</f>
        <v>1.78E-2</v>
      </c>
      <c r="P14" s="1470">
        <f t="shared" ref="P14" si="103">K14/100</f>
        <v>1.7100000000000001E-2</v>
      </c>
      <c r="Q14" s="1470">
        <f t="shared" ref="Q14" si="104">L14/100</f>
        <v>1.43E-2</v>
      </c>
      <c r="R14" s="1471"/>
      <c r="S14" s="1472"/>
      <c r="T14" s="1473"/>
      <c r="U14" s="1473"/>
      <c r="V14" s="1473"/>
      <c r="X14" s="1456">
        <f>ROUND(SUMPRODUCT(PRODUCT(1+N14:N$28)),4)</f>
        <v>1.4274</v>
      </c>
      <c r="Y14" s="1456">
        <f>ROUND(SUMPRODUCT(PRODUCT(1+O14:O$28)),4)</f>
        <v>1.2685</v>
      </c>
      <c r="Z14" s="1456">
        <f t="shared" si="0"/>
        <v>1.2685</v>
      </c>
      <c r="AA14" s="1456">
        <f>ROUND(SUMPRODUCT(PRODUCT(1+P14:P$28)),4)</f>
        <v>1.4825999999999999</v>
      </c>
      <c r="AB14" s="1456">
        <f>ROUND(SUMPRODUCT(PRODUCT(1+Q14:Q$28)),4)</f>
        <v>1.2309000000000001</v>
      </c>
      <c r="AD14" s="1457">
        <f>ROUND(AVERAGE(I14:I$29)/100,4)</f>
        <v>2.4500000000000001E-2</v>
      </c>
      <c r="AE14" s="1457">
        <f>ROUND(AVERAGE(J14:J$29)/100,4)</f>
        <v>1.6500000000000001E-2</v>
      </c>
      <c r="AF14" s="1457">
        <f t="shared" si="1"/>
        <v>1.6500000000000001E-2</v>
      </c>
      <c r="AG14" s="1457">
        <f>ROUND(AVERAGE(K14:K$29)/100,4)</f>
        <v>2.7099999999999999E-2</v>
      </c>
      <c r="AH14" s="1457">
        <f>ROUND(AVERAGE(L14:L$29)/100,4)</f>
        <v>1.3899999999999999E-2</v>
      </c>
    </row>
    <row r="15" spans="1:34" s="1463" customFormat="1" ht="14.45" customHeight="1">
      <c r="A15" s="1458" t="s">
        <v>3021</v>
      </c>
      <c r="B15" s="1474">
        <f t="shared" ref="B15:B16" si="105">B16*(1+N15)</f>
        <v>431.80730811680002</v>
      </c>
      <c r="C15" s="1474">
        <f t="shared" ref="C15:C16" si="106">C16*(1+O15)</f>
        <v>320.57880516480003</v>
      </c>
      <c r="D15" s="1474">
        <f t="shared" ref="D15:D16" si="107">C15</f>
        <v>320.57880516480003</v>
      </c>
      <c r="E15" s="1474">
        <f t="shared" ref="E15:E16" si="108">E16*(1+P15)</f>
        <v>615.96110553196797</v>
      </c>
      <c r="F15" s="1474">
        <f t="shared" ref="F15:F16" si="109">F16*(1+Q15)</f>
        <v>279.46777300108801</v>
      </c>
      <c r="G15" s="3410"/>
      <c r="H15" s="1461">
        <v>3</v>
      </c>
      <c r="I15" s="1461">
        <v>2.98</v>
      </c>
      <c r="J15" s="1461">
        <v>2.11</v>
      </c>
      <c r="K15" s="1461">
        <v>3.24</v>
      </c>
      <c r="L15" s="1475">
        <v>1.72</v>
      </c>
      <c r="M15" s="1468"/>
      <c r="N15" s="1469">
        <f t="shared" si="93"/>
        <v>2.98E-2</v>
      </c>
      <c r="O15" s="1470">
        <f t="shared" ref="O15" si="110">J15/100</f>
        <v>2.1099999999999997E-2</v>
      </c>
      <c r="P15" s="1470">
        <f t="shared" ref="P15" si="111">K15/100</f>
        <v>3.2400000000000005E-2</v>
      </c>
      <c r="Q15" s="1470">
        <f t="shared" ref="Q15" si="112">L15/100</f>
        <v>1.72E-2</v>
      </c>
      <c r="R15" s="1471"/>
      <c r="S15" s="1469"/>
      <c r="T15" s="1470"/>
      <c r="U15" s="1470"/>
      <c r="V15" s="1470"/>
      <c r="W15" s="1787"/>
      <c r="X15" s="1785">
        <f>ROUND(SUMPRODUCT(PRODUCT(1+N15:N$28)),4)</f>
        <v>1.4034</v>
      </c>
      <c r="Y15" s="1785">
        <f>ROUND(SUMPRODUCT(PRODUCT(1+O15:O$28)),4)</f>
        <v>1.2463</v>
      </c>
      <c r="Z15" s="1785">
        <f t="shared" si="0"/>
        <v>1.2463</v>
      </c>
      <c r="AA15" s="1785">
        <f>ROUND(SUMPRODUCT(PRODUCT(1+P15:P$28)),4)</f>
        <v>1.4577</v>
      </c>
      <c r="AB15" s="1785">
        <f>ROUND(SUMPRODUCT(PRODUCT(1+Q15:Q$28)),4)</f>
        <v>1.2136</v>
      </c>
      <c r="AC15" s="1787"/>
      <c r="AD15" s="1786">
        <f>ROUND(AVERAGE(I15:I$29)/100,4)</f>
        <v>2.4899999999999999E-2</v>
      </c>
      <c r="AE15" s="1786">
        <f>ROUND(AVERAGE(J15:J$29)/100,4)</f>
        <v>1.6400000000000001E-2</v>
      </c>
      <c r="AF15" s="1786">
        <f t="shared" si="1"/>
        <v>1.6400000000000001E-2</v>
      </c>
      <c r="AG15" s="1786">
        <f>ROUND(AVERAGE(K15:K$29)/100,4)</f>
        <v>2.7799999999999998E-2</v>
      </c>
      <c r="AH15" s="1786">
        <f>ROUND(AVERAGE(L15:L$29)/100,4)</f>
        <v>1.3899999999999999E-2</v>
      </c>
    </row>
    <row r="16" spans="1:34" s="1728" customFormat="1" ht="14.45" customHeight="1">
      <c r="A16" s="1458" t="s">
        <v>1380</v>
      </c>
      <c r="B16" s="1474">
        <f t="shared" si="105"/>
        <v>419.31181600000002</v>
      </c>
      <c r="C16" s="1474">
        <f t="shared" si="106"/>
        <v>313.95436800000004</v>
      </c>
      <c r="D16" s="1474">
        <f t="shared" si="107"/>
        <v>313.95436800000004</v>
      </c>
      <c r="E16" s="1474">
        <f t="shared" si="108"/>
        <v>596.63028431999999</v>
      </c>
      <c r="F16" s="1474">
        <f t="shared" si="109"/>
        <v>274.74220703999998</v>
      </c>
      <c r="G16" s="3410"/>
      <c r="H16" s="1462">
        <v>2</v>
      </c>
      <c r="I16" s="1462">
        <v>3.4</v>
      </c>
      <c r="J16" s="1462">
        <v>2</v>
      </c>
      <c r="K16" s="1462">
        <v>3.82</v>
      </c>
      <c r="L16" s="1476">
        <v>1.68</v>
      </c>
      <c r="M16" s="1468"/>
      <c r="N16" s="1469">
        <f t="shared" si="93"/>
        <v>3.4000000000000002E-2</v>
      </c>
      <c r="O16" s="1470">
        <f t="shared" ref="O16" si="113">J16/100</f>
        <v>0.02</v>
      </c>
      <c r="P16" s="1470">
        <f t="shared" ref="P16" si="114">K16/100</f>
        <v>3.8199999999999998E-2</v>
      </c>
      <c r="Q16" s="1470">
        <f t="shared" ref="Q16" si="115">L16/100</f>
        <v>1.6799999999999999E-2</v>
      </c>
      <c r="R16" s="1471"/>
      <c r="S16" s="1472"/>
      <c r="T16" s="1473"/>
      <c r="U16" s="1473"/>
      <c r="V16" s="1473"/>
      <c r="W16" s="1450"/>
      <c r="X16" s="1785">
        <f>ROUND(SUMPRODUCT(PRODUCT(1+N16:N$28)),4)</f>
        <v>1.3628</v>
      </c>
      <c r="Y16" s="1785">
        <f>ROUND(SUMPRODUCT(PRODUCT(1+O16:O$28)),4)</f>
        <v>1.2205999999999999</v>
      </c>
      <c r="Z16" s="1785">
        <f t="shared" si="0"/>
        <v>1.2205999999999999</v>
      </c>
      <c r="AA16" s="1785">
        <f>ROUND(SUMPRODUCT(PRODUCT(1+P16:P$28)),4)</f>
        <v>1.4118999999999999</v>
      </c>
      <c r="AB16" s="1785">
        <f>ROUND(SUMPRODUCT(PRODUCT(1+Q16:Q$28)),4)</f>
        <v>1.1930000000000001</v>
      </c>
      <c r="AC16" s="1450"/>
      <c r="AD16" s="1786">
        <f>ROUND(AVERAGE(I16:I$29)/100,4)</f>
        <v>2.46E-2</v>
      </c>
      <c r="AE16" s="1786">
        <f>ROUND(AVERAGE(J16:J$29)/100,4)</f>
        <v>1.6E-2</v>
      </c>
      <c r="AF16" s="1786">
        <f t="shared" si="1"/>
        <v>1.6E-2</v>
      </c>
      <c r="AG16" s="1786">
        <f>ROUND(AVERAGE(K16:K$29)/100,4)</f>
        <v>2.75E-2</v>
      </c>
      <c r="AH16" s="1786">
        <f>ROUND(AVERAGE(L16:L$29)/100,4)</f>
        <v>1.37E-2</v>
      </c>
    </row>
    <row r="17" spans="1:34" s="1463" customFormat="1" ht="15" customHeight="1" thickBot="1">
      <c r="A17" s="1458" t="s">
        <v>1156</v>
      </c>
      <c r="B17" s="1474">
        <f>B18*(1+N17)</f>
        <v>405.524</v>
      </c>
      <c r="C17" s="1474">
        <f>C18*(1+O17)</f>
        <v>307.79840000000002</v>
      </c>
      <c r="D17" s="1474">
        <f>C17</f>
        <v>307.79840000000002</v>
      </c>
      <c r="E17" s="1474">
        <f>E18*(1+P17)</f>
        <v>574.67759999999998</v>
      </c>
      <c r="F17" s="1474">
        <f>F18*(1+Q17)</f>
        <v>270.20280000000002</v>
      </c>
      <c r="G17" s="3417"/>
      <c r="H17" s="1461">
        <v>1</v>
      </c>
      <c r="I17" s="1461">
        <v>3.45</v>
      </c>
      <c r="J17" s="1461">
        <v>1.92</v>
      </c>
      <c r="K17" s="1461">
        <v>3.92</v>
      </c>
      <c r="L17" s="1475">
        <v>1.58</v>
      </c>
      <c r="M17" s="1468"/>
      <c r="N17" s="1469">
        <f t="shared" si="93"/>
        <v>3.4500000000000003E-2</v>
      </c>
      <c r="O17" s="1470">
        <f t="shared" ref="O17:Q32" si="116">J17/100</f>
        <v>1.9199999999999998E-2</v>
      </c>
      <c r="P17" s="1470">
        <f t="shared" si="116"/>
        <v>3.9199999999999999E-2</v>
      </c>
      <c r="Q17" s="1470">
        <f t="shared" si="116"/>
        <v>1.5800000000000002E-2</v>
      </c>
      <c r="R17" s="1471"/>
      <c r="S17" s="1469">
        <f>B17/B18-1</f>
        <v>3.4499999999999975E-2</v>
      </c>
      <c r="T17" s="1470">
        <f t="shared" ref="T17:V17" si="117">C17/C18-1</f>
        <v>1.9200000000000106E-2</v>
      </c>
      <c r="U17" s="1470">
        <f t="shared" si="117"/>
        <v>1.9200000000000106E-2</v>
      </c>
      <c r="V17" s="1470">
        <f t="shared" si="117"/>
        <v>3.9199999999999902E-2</v>
      </c>
      <c r="W17" s="1787"/>
      <c r="X17" s="1785">
        <f>ROUND(SUMPRODUCT(PRODUCT(1+N17:N$28)),4)</f>
        <v>1.3180000000000001</v>
      </c>
      <c r="Y17" s="1785">
        <f>ROUND(SUMPRODUCT(PRODUCT(1+O17:O$28)),4)</f>
        <v>1.1966000000000001</v>
      </c>
      <c r="Z17" s="1785">
        <f t="shared" si="0"/>
        <v>1.1966000000000001</v>
      </c>
      <c r="AA17" s="1785">
        <f>ROUND(SUMPRODUCT(PRODUCT(1+P17:P$28)),4)</f>
        <v>1.36</v>
      </c>
      <c r="AB17" s="1785">
        <f>ROUND(SUMPRODUCT(PRODUCT(1+Q17:Q$28)),4)</f>
        <v>1.1733</v>
      </c>
      <c r="AC17" s="1787"/>
      <c r="AD17" s="1786">
        <f>ROUND(AVERAGE(I17:I$29)/100,4)</f>
        <v>2.3900000000000001E-2</v>
      </c>
      <c r="AE17" s="1786">
        <f>ROUND(AVERAGE(J17:J$29)/100,4)</f>
        <v>1.5699999999999999E-2</v>
      </c>
      <c r="AF17" s="1786">
        <f t="shared" si="1"/>
        <v>1.5699999999999999E-2</v>
      </c>
      <c r="AG17" s="1786">
        <f>ROUND(AVERAGE(K17:K$29)/100,4)</f>
        <v>2.6599999999999999E-2</v>
      </c>
      <c r="AH17" s="1786">
        <f>ROUND(AVERAGE(L17:L$29)/100,4)</f>
        <v>1.34E-2</v>
      </c>
    </row>
    <row r="18" spans="1:34">
      <c r="A18" s="1458" t="s">
        <v>154</v>
      </c>
      <c r="B18" s="1466">
        <v>392</v>
      </c>
      <c r="C18" s="1466">
        <v>302</v>
      </c>
      <c r="D18" s="1466">
        <f>C18</f>
        <v>302</v>
      </c>
      <c r="E18" s="1466">
        <v>553</v>
      </c>
      <c r="F18" s="1467">
        <v>266</v>
      </c>
      <c r="G18" s="3413">
        <v>2016</v>
      </c>
      <c r="H18" s="1459">
        <v>4</v>
      </c>
      <c r="I18" s="1459">
        <v>4.5599999999999996</v>
      </c>
      <c r="J18" s="1459">
        <v>2.15</v>
      </c>
      <c r="K18" s="1459">
        <v>5.32</v>
      </c>
      <c r="L18" s="1460">
        <v>1.57</v>
      </c>
      <c r="N18" s="1469">
        <f t="shared" si="93"/>
        <v>4.5599999999999995E-2</v>
      </c>
      <c r="O18" s="1470">
        <f t="shared" si="116"/>
        <v>2.1499999999999998E-2</v>
      </c>
      <c r="P18" s="1470">
        <f t="shared" si="116"/>
        <v>5.3200000000000004E-2</v>
      </c>
      <c r="Q18" s="1470">
        <f t="shared" si="116"/>
        <v>1.5700000000000002E-2</v>
      </c>
      <c r="R18" s="1471"/>
      <c r="S18" s="1472"/>
      <c r="T18" s="1473"/>
      <c r="U18" s="1473"/>
      <c r="V18" s="1473"/>
      <c r="X18" s="1456">
        <f>ROUND(SUMPRODUCT(PRODUCT(1+N18:N$28)),4)</f>
        <v>1.274</v>
      </c>
      <c r="Y18" s="1456">
        <f>ROUND(SUMPRODUCT(PRODUCT(1+O18:O$28)),4)</f>
        <v>1.1740999999999999</v>
      </c>
      <c r="Z18" s="1456">
        <f t="shared" si="0"/>
        <v>1.1740999999999999</v>
      </c>
      <c r="AA18" s="1456">
        <f>ROUND(SUMPRODUCT(PRODUCT(1+P18:P$28)),4)</f>
        <v>1.3087</v>
      </c>
      <c r="AB18" s="1456">
        <f>ROUND(SUMPRODUCT(PRODUCT(1+Q18:Q$28)),4)</f>
        <v>1.1551</v>
      </c>
      <c r="AD18" s="1457">
        <f>ROUND(AVERAGE(I18:I$29)/100,4)</f>
        <v>2.3E-2</v>
      </c>
      <c r="AE18" s="1457">
        <f>ROUND(AVERAGE(J18:J$29)/100,4)</f>
        <v>1.55E-2</v>
      </c>
      <c r="AF18" s="1457">
        <f t="shared" si="1"/>
        <v>1.55E-2</v>
      </c>
      <c r="AG18" s="1457">
        <f>ROUND(AVERAGE(K18:K$29)/100,4)</f>
        <v>2.5600000000000001E-2</v>
      </c>
      <c r="AH18" s="1457">
        <f>ROUND(AVERAGE(L18:L$29)/100,4)</f>
        <v>1.32E-2</v>
      </c>
    </row>
    <row r="19" spans="1:34">
      <c r="A19" s="1458" t="s">
        <v>153</v>
      </c>
      <c r="B19" s="1474">
        <f t="shared" ref="B19:C21" si="118">B18/(1+N18)</f>
        <v>374.90436113236416</v>
      </c>
      <c r="C19" s="1474">
        <f t="shared" si="118"/>
        <v>295.64366128242779</v>
      </c>
      <c r="D19" s="1474">
        <f t="shared" ref="D19:D78" si="119">C19</f>
        <v>295.64366128242779</v>
      </c>
      <c r="E19" s="1474">
        <f t="shared" ref="E19:F21" si="120">E18/(1+P18)</f>
        <v>525.06646410938095</v>
      </c>
      <c r="F19" s="1474">
        <f t="shared" si="120"/>
        <v>261.88835286009646</v>
      </c>
      <c r="G19" s="3410"/>
      <c r="H19" s="1461">
        <v>3</v>
      </c>
      <c r="I19" s="1461">
        <v>4.12</v>
      </c>
      <c r="J19" s="1461">
        <v>2</v>
      </c>
      <c r="K19" s="1461">
        <v>4.79</v>
      </c>
      <c r="L19" s="1475">
        <v>1.97</v>
      </c>
      <c r="N19" s="1469">
        <f t="shared" ref="N19:Q53" si="121">I19/100</f>
        <v>4.1200000000000001E-2</v>
      </c>
      <c r="O19" s="1470">
        <f t="shared" si="116"/>
        <v>0.02</v>
      </c>
      <c r="P19" s="1470">
        <f t="shared" si="116"/>
        <v>4.7899999999999998E-2</v>
      </c>
      <c r="Q19" s="1470">
        <f t="shared" si="116"/>
        <v>1.9699999999999999E-2</v>
      </c>
      <c r="R19" s="1471"/>
      <c r="S19" s="1469"/>
      <c r="T19" s="1470"/>
      <c r="U19" s="1470"/>
      <c r="V19" s="1470"/>
      <c r="X19" s="1456">
        <f>ROUND(SUMPRODUCT(PRODUCT(1+N19:N$28)),4)</f>
        <v>1.2184999999999999</v>
      </c>
      <c r="Y19" s="1456">
        <f>ROUND(SUMPRODUCT(PRODUCT(1+O19:O$28)),4)</f>
        <v>1.1494</v>
      </c>
      <c r="Z19" s="1456">
        <f t="shared" si="0"/>
        <v>1.1494</v>
      </c>
      <c r="AA19" s="1456">
        <f>ROUND(SUMPRODUCT(PRODUCT(1+P19:P$28)),4)</f>
        <v>1.2425999999999999</v>
      </c>
      <c r="AB19" s="1456">
        <f>ROUND(SUMPRODUCT(PRODUCT(1+Q19:Q$28)),4)</f>
        <v>1.1372</v>
      </c>
      <c r="AD19" s="1457">
        <f>ROUND(AVERAGE(I19:I$29)/100,4)</f>
        <v>2.0899999999999998E-2</v>
      </c>
      <c r="AE19" s="1457">
        <f>ROUND(AVERAGE(J19:J$29)/100,4)</f>
        <v>1.49E-2</v>
      </c>
      <c r="AF19" s="1457">
        <f t="shared" si="1"/>
        <v>1.49E-2</v>
      </c>
      <c r="AG19" s="1457">
        <f>ROUND(AVERAGE(K19:K$29)/100,4)</f>
        <v>2.3099999999999999E-2</v>
      </c>
      <c r="AH19" s="1457">
        <f>ROUND(AVERAGE(L19:L$29)/100,4)</f>
        <v>1.2999999999999999E-2</v>
      </c>
    </row>
    <row r="20" spans="1:34">
      <c r="A20" s="1458" t="s">
        <v>143</v>
      </c>
      <c r="B20" s="1474">
        <f t="shared" si="118"/>
        <v>360.06949782209392</v>
      </c>
      <c r="C20" s="1474">
        <f t="shared" si="118"/>
        <v>289.84672674747821</v>
      </c>
      <c r="D20" s="1474">
        <f t="shared" si="119"/>
        <v>289.84672674747821</v>
      </c>
      <c r="E20" s="1474">
        <f t="shared" si="120"/>
        <v>501.06543001181495</v>
      </c>
      <c r="F20" s="1474">
        <f t="shared" si="120"/>
        <v>256.82882500744967</v>
      </c>
      <c r="G20" s="3410"/>
      <c r="H20" s="1462">
        <v>2</v>
      </c>
      <c r="I20" s="1462">
        <v>3.85</v>
      </c>
      <c r="J20" s="1462">
        <v>1.95</v>
      </c>
      <c r="K20" s="1462">
        <v>4.4800000000000004</v>
      </c>
      <c r="L20" s="1476">
        <v>1.41</v>
      </c>
      <c r="N20" s="1469">
        <f t="shared" si="121"/>
        <v>3.85E-2</v>
      </c>
      <c r="O20" s="1470">
        <f t="shared" si="116"/>
        <v>1.95E-2</v>
      </c>
      <c r="P20" s="1470">
        <f t="shared" si="116"/>
        <v>4.4800000000000006E-2</v>
      </c>
      <c r="Q20" s="1470">
        <f t="shared" si="116"/>
        <v>1.41E-2</v>
      </c>
      <c r="R20" s="1471"/>
      <c r="S20" s="1469"/>
      <c r="T20" s="1470"/>
      <c r="U20" s="1470"/>
      <c r="V20" s="1470"/>
      <c r="X20" s="1456">
        <f>ROUND(SUMPRODUCT(PRODUCT(1+N20:N$28)),4)</f>
        <v>1.1702999999999999</v>
      </c>
      <c r="Y20" s="1456">
        <f>ROUND(SUMPRODUCT(PRODUCT(1+O20:O$28)),4)</f>
        <v>1.1269</v>
      </c>
      <c r="Z20" s="1456">
        <f t="shared" si="0"/>
        <v>1.1269</v>
      </c>
      <c r="AA20" s="1456">
        <f>ROUND(SUMPRODUCT(PRODUCT(1+P20:P$28)),4)</f>
        <v>1.1858</v>
      </c>
      <c r="AB20" s="1456">
        <f>ROUND(SUMPRODUCT(PRODUCT(1+Q20:Q$28)),4)</f>
        <v>1.1152</v>
      </c>
      <c r="AD20" s="1457">
        <f>ROUND(AVERAGE(I20:I$29)/100,4)</f>
        <v>1.89E-2</v>
      </c>
      <c r="AE20" s="1457">
        <f>ROUND(AVERAGE(J20:J$29)/100,4)</f>
        <v>1.44E-2</v>
      </c>
      <c r="AF20" s="1457">
        <f t="shared" si="1"/>
        <v>1.44E-2</v>
      </c>
      <c r="AG20" s="1457">
        <f>ROUND(AVERAGE(K20:K$29)/100,4)</f>
        <v>2.06E-2</v>
      </c>
      <c r="AH20" s="1457">
        <f>ROUND(AVERAGE(L20:L$29)/100,4)</f>
        <v>1.23E-2</v>
      </c>
    </row>
    <row r="21" spans="1:34" ht="13.5" thickBot="1">
      <c r="A21" s="1458" t="s">
        <v>152</v>
      </c>
      <c r="B21" s="1474">
        <f t="shared" si="118"/>
        <v>346.720748986128</v>
      </c>
      <c r="C21" s="1474">
        <f t="shared" si="118"/>
        <v>284.30282172386285</v>
      </c>
      <c r="D21" s="1474">
        <f t="shared" si="119"/>
        <v>284.30282172386285</v>
      </c>
      <c r="E21" s="1474">
        <f t="shared" si="120"/>
        <v>479.58023546306947</v>
      </c>
      <c r="F21" s="1474">
        <f t="shared" si="120"/>
        <v>253.25788877571213</v>
      </c>
      <c r="G21" s="3411"/>
      <c r="H21" s="1461">
        <v>1</v>
      </c>
      <c r="I21" s="1461">
        <v>4.09</v>
      </c>
      <c r="J21" s="1461">
        <v>2.93</v>
      </c>
      <c r="K21" s="1461">
        <v>4.54</v>
      </c>
      <c r="L21" s="1475">
        <v>1.48</v>
      </c>
      <c r="N21" s="1469">
        <f t="shared" si="121"/>
        <v>4.0899999999999999E-2</v>
      </c>
      <c r="O21" s="1470">
        <f t="shared" si="116"/>
        <v>2.9300000000000003E-2</v>
      </c>
      <c r="P21" s="1470">
        <f t="shared" si="116"/>
        <v>4.5400000000000003E-2</v>
      </c>
      <c r="Q21" s="1470">
        <f t="shared" si="116"/>
        <v>1.4800000000000001E-2</v>
      </c>
      <c r="R21" s="1471"/>
      <c r="S21" s="1477">
        <f>B21/B22-1</f>
        <v>4.1203450408792808E-2</v>
      </c>
      <c r="T21" s="1478">
        <f>C21/C22-1</f>
        <v>2.6363977342465095E-2</v>
      </c>
      <c r="U21" s="1478">
        <f>E21/E22-1</f>
        <v>4.4837114298626357E-2</v>
      </c>
      <c r="V21" s="1478">
        <f>F21/F22-1</f>
        <v>1.7099954922538574E-2</v>
      </c>
      <c r="X21" s="1456">
        <f>ROUND(SUMPRODUCT(PRODUCT(1+N21:N$28)),4)</f>
        <v>1.1269</v>
      </c>
      <c r="Y21" s="1456">
        <f>ROUND(SUMPRODUCT(PRODUCT(1+O21:O$28)),4)</f>
        <v>1.1052999999999999</v>
      </c>
      <c r="Z21" s="1456">
        <f t="shared" si="0"/>
        <v>1.1052999999999999</v>
      </c>
      <c r="AA21" s="1456">
        <f>ROUND(SUMPRODUCT(PRODUCT(1+P21:P$28)),4)</f>
        <v>1.1349</v>
      </c>
      <c r="AB21" s="1456">
        <f>ROUND(SUMPRODUCT(PRODUCT(1+Q21:Q$28)),4)</f>
        <v>1.0996999999999999</v>
      </c>
      <c r="AD21" s="1457">
        <f>ROUND(AVERAGE(I21:I$29)/100,4)</f>
        <v>1.67E-2</v>
      </c>
      <c r="AE21" s="1457">
        <f>ROUND(AVERAGE(J21:J$29)/100,4)</f>
        <v>1.38E-2</v>
      </c>
      <c r="AF21" s="1457">
        <f t="shared" si="1"/>
        <v>1.38E-2</v>
      </c>
      <c r="AG21" s="1457">
        <f>ROUND(AVERAGE(K21:K$29)/100,4)</f>
        <v>1.7899999999999999E-2</v>
      </c>
      <c r="AH21" s="1457">
        <f>ROUND(AVERAGE(L21:L$29)/100,4)</f>
        <v>1.21E-2</v>
      </c>
    </row>
    <row r="22" spans="1:34" ht="13.5" thickBot="1">
      <c r="A22" s="1458" t="s">
        <v>151</v>
      </c>
      <c r="B22" s="1466">
        <v>333</v>
      </c>
      <c r="C22" s="1466">
        <v>277</v>
      </c>
      <c r="D22" s="1466">
        <f t="shared" si="119"/>
        <v>277</v>
      </c>
      <c r="E22" s="1466">
        <v>459</v>
      </c>
      <c r="F22" s="1467">
        <v>249</v>
      </c>
      <c r="G22" s="3409">
        <v>2015</v>
      </c>
      <c r="H22" s="1479">
        <v>4</v>
      </c>
      <c r="I22" s="1479">
        <v>1.63</v>
      </c>
      <c r="J22" s="1479">
        <v>1.1100000000000001</v>
      </c>
      <c r="K22" s="1479">
        <v>1.77</v>
      </c>
      <c r="L22" s="1480">
        <v>1.89</v>
      </c>
      <c r="N22" s="1481">
        <f t="shared" si="121"/>
        <v>1.6299999999999999E-2</v>
      </c>
      <c r="O22" s="1482">
        <f t="shared" si="116"/>
        <v>1.11E-2</v>
      </c>
      <c r="P22" s="1482">
        <f t="shared" si="116"/>
        <v>1.77E-2</v>
      </c>
      <c r="Q22" s="1482">
        <f t="shared" si="116"/>
        <v>1.89E-2</v>
      </c>
      <c r="R22" s="1471"/>
      <c r="X22" s="1456">
        <f>ROUND(SUMPRODUCT(PRODUCT(1+N22:N$28)),4)</f>
        <v>1.0826</v>
      </c>
      <c r="Y22" s="1456">
        <f>ROUND(SUMPRODUCT(PRODUCT(1+O22:O$28)),4)</f>
        <v>1.0738000000000001</v>
      </c>
      <c r="Z22" s="1456">
        <f t="shared" si="0"/>
        <v>1.0738000000000001</v>
      </c>
      <c r="AA22" s="1456">
        <f>ROUND(SUMPRODUCT(PRODUCT(1+P22:P$28)),4)</f>
        <v>1.0855999999999999</v>
      </c>
      <c r="AB22" s="1456">
        <f>ROUND(SUMPRODUCT(PRODUCT(1+Q22:Q$28)),4)</f>
        <v>1.0837000000000001</v>
      </c>
      <c r="AD22" s="1457">
        <f>ROUND(AVERAGE(I22:I$29)/100,4)</f>
        <v>1.37E-2</v>
      </c>
      <c r="AE22" s="1457">
        <f>ROUND(AVERAGE(J22:J$29)/100,4)</f>
        <v>1.1900000000000001E-2</v>
      </c>
      <c r="AF22" s="1457">
        <f t="shared" si="1"/>
        <v>1.1900000000000001E-2</v>
      </c>
      <c r="AG22" s="1457">
        <f>ROUND(AVERAGE(K22:K$29)/100,4)</f>
        <v>1.4500000000000001E-2</v>
      </c>
      <c r="AH22" s="1457">
        <f>ROUND(AVERAGE(L22:L$29)/100,4)</f>
        <v>1.18E-2</v>
      </c>
    </row>
    <row r="23" spans="1:34">
      <c r="A23" s="1458" t="s">
        <v>150</v>
      </c>
      <c r="B23" s="1474">
        <f t="shared" ref="B23:C25" si="122">B22/(1+N22)</f>
        <v>327.65915576109415</v>
      </c>
      <c r="C23" s="1474">
        <f t="shared" si="122"/>
        <v>273.95905449510434</v>
      </c>
      <c r="D23" s="1474">
        <f t="shared" si="119"/>
        <v>273.95905449510434</v>
      </c>
      <c r="E23" s="1474">
        <f t="shared" ref="E23:F25" si="123">E22/(1+P22)</f>
        <v>451.01699911565294</v>
      </c>
      <c r="F23" s="1474">
        <f t="shared" si="123"/>
        <v>244.38119540681129</v>
      </c>
      <c r="G23" s="3410"/>
      <c r="H23" s="1484">
        <v>3</v>
      </c>
      <c r="I23" s="1484">
        <v>1.65</v>
      </c>
      <c r="J23" s="1484">
        <v>0.92</v>
      </c>
      <c r="K23" s="1484">
        <v>1.88</v>
      </c>
      <c r="L23" s="1485">
        <v>1.26</v>
      </c>
      <c r="N23" s="1469">
        <f t="shared" si="121"/>
        <v>1.6500000000000001E-2</v>
      </c>
      <c r="O23" s="1486">
        <f t="shared" si="116"/>
        <v>9.1999999999999998E-3</v>
      </c>
      <c r="P23" s="1486">
        <f t="shared" si="116"/>
        <v>1.8799999999999997E-2</v>
      </c>
      <c r="Q23" s="1486">
        <f t="shared" si="116"/>
        <v>1.26E-2</v>
      </c>
      <c r="R23" s="1471"/>
      <c r="S23" s="1469"/>
      <c r="T23" s="1470"/>
      <c r="U23" s="1470"/>
      <c r="V23" s="1470"/>
      <c r="X23" s="1456">
        <f>ROUND(SUMPRODUCT(PRODUCT(1+N23:N$28)),4)</f>
        <v>1.0651999999999999</v>
      </c>
      <c r="Y23" s="1456">
        <f>ROUND(SUMPRODUCT(PRODUCT(1+O23:O$28)),4)</f>
        <v>1.0621</v>
      </c>
      <c r="Z23" s="1456">
        <f t="shared" si="0"/>
        <v>1.0621</v>
      </c>
      <c r="AA23" s="1456">
        <f>ROUND(SUMPRODUCT(PRODUCT(1+P23:P$28)),4)</f>
        <v>1.0668</v>
      </c>
      <c r="AB23" s="1456">
        <f>ROUND(SUMPRODUCT(PRODUCT(1+Q23:Q$28)),4)</f>
        <v>1.0636000000000001</v>
      </c>
      <c r="AD23" s="1457">
        <f>ROUND(AVERAGE(I23:I$29)/100,4)</f>
        <v>1.3299999999999999E-2</v>
      </c>
      <c r="AE23" s="1457">
        <f>ROUND(AVERAGE(J23:J$29)/100,4)</f>
        <v>1.2E-2</v>
      </c>
      <c r="AF23" s="1457">
        <f t="shared" si="1"/>
        <v>1.2E-2</v>
      </c>
      <c r="AG23" s="1457">
        <f>ROUND(AVERAGE(K23:K$29)/100,4)</f>
        <v>1.4E-2</v>
      </c>
      <c r="AH23" s="1457">
        <f>ROUND(AVERAGE(L23:L$29)/100,4)</f>
        <v>1.0800000000000001E-2</v>
      </c>
    </row>
    <row r="24" spans="1:34">
      <c r="A24" s="1458" t="s">
        <v>149</v>
      </c>
      <c r="B24" s="1474">
        <f t="shared" si="122"/>
        <v>322.34053690220776</v>
      </c>
      <c r="C24" s="1474">
        <f t="shared" si="122"/>
        <v>271.46160770422546</v>
      </c>
      <c r="D24" s="1474">
        <f t="shared" si="119"/>
        <v>271.46160770422546</v>
      </c>
      <c r="E24" s="1474">
        <f t="shared" si="123"/>
        <v>442.69434542172456</v>
      </c>
      <c r="F24" s="1474">
        <f t="shared" si="123"/>
        <v>241.34030753190925</v>
      </c>
      <c r="G24" s="3410"/>
      <c r="H24" s="1462">
        <v>2</v>
      </c>
      <c r="I24" s="1462">
        <v>0.77</v>
      </c>
      <c r="J24" s="1462">
        <v>0.69</v>
      </c>
      <c r="K24" s="1462">
        <v>0.8</v>
      </c>
      <c r="L24" s="1476">
        <v>0.88</v>
      </c>
      <c r="N24" s="1469">
        <f t="shared" si="121"/>
        <v>7.7000000000000002E-3</v>
      </c>
      <c r="O24" s="1486">
        <f t="shared" si="116"/>
        <v>6.8999999999999999E-3</v>
      </c>
      <c r="P24" s="1486">
        <f t="shared" si="116"/>
        <v>8.0000000000000002E-3</v>
      </c>
      <c r="Q24" s="1486">
        <f t="shared" si="116"/>
        <v>8.8000000000000005E-3</v>
      </c>
      <c r="R24" s="1471"/>
      <c r="S24" s="1469"/>
      <c r="T24" s="1470"/>
      <c r="U24" s="1470"/>
      <c r="V24" s="1470"/>
      <c r="X24" s="1456">
        <f>ROUND(SUMPRODUCT(PRODUCT(1+N24:N$28)),4)</f>
        <v>1.048</v>
      </c>
      <c r="Y24" s="1456">
        <f>ROUND(SUMPRODUCT(PRODUCT(1+O24:O$28)),4)</f>
        <v>1.0524</v>
      </c>
      <c r="Z24" s="1456">
        <f t="shared" si="0"/>
        <v>1.0524</v>
      </c>
      <c r="AA24" s="1456">
        <f>ROUND(SUMPRODUCT(PRODUCT(1+P24:P$28)),4)</f>
        <v>1.0470999999999999</v>
      </c>
      <c r="AB24" s="1456">
        <f>ROUND(SUMPRODUCT(PRODUCT(1+Q24:Q$28)),4)</f>
        <v>1.0504</v>
      </c>
      <c r="AD24" s="1457">
        <f>ROUND(AVERAGE(I24:I$29)/100,4)</f>
        <v>1.2800000000000001E-2</v>
      </c>
      <c r="AE24" s="1457">
        <f>ROUND(AVERAGE(J24:J$29)/100,4)</f>
        <v>1.2500000000000001E-2</v>
      </c>
      <c r="AF24" s="1457">
        <f t="shared" si="1"/>
        <v>1.2500000000000001E-2</v>
      </c>
      <c r="AG24" s="1457">
        <f>ROUND(AVERAGE(K24:K$29)/100,4)</f>
        <v>1.32E-2</v>
      </c>
      <c r="AH24" s="1457">
        <f>ROUND(AVERAGE(L24:L$29)/100,4)</f>
        <v>1.0500000000000001E-2</v>
      </c>
    </row>
    <row r="25" spans="1:34">
      <c r="A25" s="1458" t="s">
        <v>148</v>
      </c>
      <c r="B25" s="1474">
        <f t="shared" si="122"/>
        <v>319.87748030386797</v>
      </c>
      <c r="C25" s="1474">
        <f t="shared" si="122"/>
        <v>269.60135833173649</v>
      </c>
      <c r="D25" s="1474">
        <f t="shared" si="119"/>
        <v>269.60135833173649</v>
      </c>
      <c r="E25" s="1474">
        <f t="shared" si="123"/>
        <v>439.18089823583784</v>
      </c>
      <c r="F25" s="1474">
        <f t="shared" si="123"/>
        <v>239.23503918706311</v>
      </c>
      <c r="G25" s="3411"/>
      <c r="H25" s="1461">
        <v>1</v>
      </c>
      <c r="I25" s="1461">
        <v>0.51</v>
      </c>
      <c r="J25" s="1461">
        <v>0.54</v>
      </c>
      <c r="K25" s="1461">
        <v>0.48</v>
      </c>
      <c r="L25" s="1475">
        <v>0.93</v>
      </c>
      <c r="N25" s="1477">
        <f t="shared" si="121"/>
        <v>5.1000000000000004E-3</v>
      </c>
      <c r="O25" s="1478">
        <f t="shared" si="116"/>
        <v>5.4000000000000003E-3</v>
      </c>
      <c r="P25" s="1478">
        <f t="shared" si="116"/>
        <v>4.7999999999999996E-3</v>
      </c>
      <c r="Q25" s="1478">
        <f t="shared" si="116"/>
        <v>9.300000000000001E-3</v>
      </c>
      <c r="R25" s="1471"/>
      <c r="S25" s="1477">
        <f>B25/B26-1</f>
        <v>5.9040261127922822E-3</v>
      </c>
      <c r="T25" s="1478">
        <f>C25/C26-1</f>
        <v>5.9752176557332781E-3</v>
      </c>
      <c r="U25" s="1478">
        <f>E25/E26-1</f>
        <v>4.9906138119859556E-3</v>
      </c>
      <c r="V25" s="1478">
        <f>F25/F26-1</f>
        <v>9.4305450930933787E-3</v>
      </c>
      <c r="X25" s="1456">
        <f>ROUND(SUMPRODUCT(PRODUCT(1+N25:N$28)),4)</f>
        <v>1.0399</v>
      </c>
      <c r="Y25" s="1456">
        <f>ROUND(SUMPRODUCT(PRODUCT(1+O25:O$28)),4)</f>
        <v>1.0451999999999999</v>
      </c>
      <c r="Z25" s="1456">
        <f t="shared" si="0"/>
        <v>1.0451999999999999</v>
      </c>
      <c r="AA25" s="1456">
        <f>ROUND(SUMPRODUCT(PRODUCT(1+P25:P$28)),4)</f>
        <v>1.0387999999999999</v>
      </c>
      <c r="AB25" s="1456">
        <f>ROUND(SUMPRODUCT(PRODUCT(1+Q25:Q$28)),4)</f>
        <v>1.0411999999999999</v>
      </c>
      <c r="AD25" s="1457">
        <f>ROUND(AVERAGE(I25:I$29)/100,4)</f>
        <v>1.38E-2</v>
      </c>
      <c r="AE25" s="1457">
        <f>ROUND(AVERAGE(J25:J$29)/100,4)</f>
        <v>1.3599999999999999E-2</v>
      </c>
      <c r="AF25" s="1457">
        <f t="shared" si="1"/>
        <v>1.3599999999999999E-2</v>
      </c>
      <c r="AG25" s="1457">
        <f>ROUND(AVERAGE(K25:K$29)/100,4)</f>
        <v>1.4200000000000001E-2</v>
      </c>
      <c r="AH25" s="1457">
        <f>ROUND(AVERAGE(L25:L$29)/100,4)</f>
        <v>1.0800000000000001E-2</v>
      </c>
    </row>
    <row r="26" spans="1:34" ht="13.5" thickBot="1">
      <c r="A26" s="1458" t="s">
        <v>147</v>
      </c>
      <c r="B26" s="1487">
        <v>318</v>
      </c>
      <c r="C26" s="1487">
        <v>268</v>
      </c>
      <c r="D26" s="1487">
        <f t="shared" si="119"/>
        <v>268</v>
      </c>
      <c r="E26" s="1487">
        <v>437</v>
      </c>
      <c r="F26" s="1488">
        <v>237</v>
      </c>
      <c r="G26" s="3409">
        <v>2014</v>
      </c>
      <c r="H26" s="1479">
        <v>4</v>
      </c>
      <c r="I26" s="1479">
        <v>0.21</v>
      </c>
      <c r="J26" s="1479">
        <v>0.41</v>
      </c>
      <c r="K26" s="1479">
        <v>0.12</v>
      </c>
      <c r="L26" s="1480">
        <v>0.89</v>
      </c>
      <c r="N26" s="1469">
        <f t="shared" si="121"/>
        <v>2.0999999999999999E-3</v>
      </c>
      <c r="O26" s="1470">
        <f t="shared" si="116"/>
        <v>4.0999999999999995E-3</v>
      </c>
      <c r="P26" s="1470">
        <f t="shared" si="116"/>
        <v>1.1999999999999999E-3</v>
      </c>
      <c r="Q26" s="1470">
        <f t="shared" si="116"/>
        <v>8.8999999999999999E-3</v>
      </c>
      <c r="R26" s="1471"/>
      <c r="S26" s="1472"/>
      <c r="T26" s="1473"/>
      <c r="U26" s="1473"/>
      <c r="V26" s="1473"/>
      <c r="X26" s="1456">
        <f>ROUND(SUMPRODUCT(PRODUCT(1+N26:N$28)),4)</f>
        <v>1.0347</v>
      </c>
      <c r="Y26" s="1456">
        <f>ROUND(SUMPRODUCT(PRODUCT(1+O26:O$28)),4)</f>
        <v>1.0395000000000001</v>
      </c>
      <c r="Z26" s="1456">
        <f t="shared" si="0"/>
        <v>1.0395000000000001</v>
      </c>
      <c r="AA26" s="1456">
        <f>ROUND(SUMPRODUCT(PRODUCT(1+P26:P$28)),4)</f>
        <v>1.0338000000000001</v>
      </c>
      <c r="AB26" s="1456">
        <f>ROUND(SUMPRODUCT(PRODUCT(1+Q26:Q$28)),4)</f>
        <v>1.0316000000000001</v>
      </c>
      <c r="AD26" s="1457">
        <f>ROUND(AVERAGE(I26:I$29)/100,4)</f>
        <v>1.6E-2</v>
      </c>
      <c r="AE26" s="1457">
        <f>ROUND(AVERAGE(J26:J$29)/100,4)</f>
        <v>1.5599999999999999E-2</v>
      </c>
      <c r="AF26" s="1457">
        <f t="shared" si="1"/>
        <v>1.5599999999999999E-2</v>
      </c>
      <c r="AG26" s="1457">
        <f>ROUND(AVERAGE(K26:K$29)/100,4)</f>
        <v>1.66E-2</v>
      </c>
      <c r="AH26" s="1457">
        <f>ROUND(AVERAGE(L26:L$29)/100,4)</f>
        <v>1.12E-2</v>
      </c>
    </row>
    <row r="27" spans="1:34">
      <c r="A27" s="1458" t="s">
        <v>146</v>
      </c>
      <c r="B27" s="1474">
        <f t="shared" ref="B27:C29" si="124">B26/(1+N26)</f>
        <v>317.33359944117353</v>
      </c>
      <c r="C27" s="1474">
        <f t="shared" si="124"/>
        <v>266.90568668459315</v>
      </c>
      <c r="D27" s="1474">
        <f t="shared" si="119"/>
        <v>266.90568668459315</v>
      </c>
      <c r="E27" s="1474">
        <f t="shared" ref="E27:F29" si="125">E26/(1+P26)</f>
        <v>436.47622852576905</v>
      </c>
      <c r="F27" s="1474">
        <f t="shared" si="125"/>
        <v>234.90930716622066</v>
      </c>
      <c r="G27" s="3410"/>
      <c r="H27" s="1489">
        <v>3</v>
      </c>
      <c r="I27" s="1489">
        <v>0.83</v>
      </c>
      <c r="J27" s="1489">
        <v>1.47</v>
      </c>
      <c r="K27" s="1489">
        <v>0.65</v>
      </c>
      <c r="L27" s="1490">
        <v>0.72</v>
      </c>
      <c r="N27" s="1469">
        <f t="shared" si="121"/>
        <v>8.3000000000000001E-3</v>
      </c>
      <c r="O27" s="1470">
        <f t="shared" si="116"/>
        <v>1.47E-2</v>
      </c>
      <c r="P27" s="1470">
        <f t="shared" si="116"/>
        <v>6.5000000000000006E-3</v>
      </c>
      <c r="Q27" s="1470">
        <f t="shared" si="116"/>
        <v>7.1999999999999998E-3</v>
      </c>
      <c r="R27" s="1471"/>
      <c r="S27" s="1469"/>
      <c r="T27" s="1470"/>
      <c r="U27" s="1470"/>
      <c r="V27" s="1470"/>
      <c r="X27" s="1456">
        <f>ROUND(SUMPRODUCT(PRODUCT(1+N27:N$28)),4)</f>
        <v>1.0325</v>
      </c>
      <c r="Y27" s="1456">
        <f>ROUND(SUMPRODUCT(PRODUCT(1+O27:O$28)),4)</f>
        <v>1.0353000000000001</v>
      </c>
      <c r="Z27" s="1456">
        <f t="shared" ref="Z27:Z28" si="126">Y27</f>
        <v>1.0353000000000001</v>
      </c>
      <c r="AA27" s="1456">
        <f>ROUND(SUMPRODUCT(PRODUCT(1+P27:P$28)),4)</f>
        <v>1.0326</v>
      </c>
      <c r="AB27" s="1456">
        <f>ROUND(SUMPRODUCT(PRODUCT(1+Q27:Q$28)),4)</f>
        <v>1.0225</v>
      </c>
      <c r="AD27" s="1457">
        <f>ROUND(AVERAGE(I27:I$29)/100,4)</f>
        <v>2.07E-2</v>
      </c>
      <c r="AE27" s="1457">
        <f>ROUND(AVERAGE(J27:J$29)/100,4)</f>
        <v>1.95E-2</v>
      </c>
      <c r="AF27" s="1457">
        <f t="shared" si="1"/>
        <v>1.95E-2</v>
      </c>
      <c r="AG27" s="1457">
        <f>ROUND(AVERAGE(K27:K$29)/100,4)</f>
        <v>2.1700000000000001E-2</v>
      </c>
      <c r="AH27" s="1457">
        <f>ROUND(AVERAGE(L27:L$29)/100,4)</f>
        <v>1.2E-2</v>
      </c>
    </row>
    <row r="28" spans="1:34" ht="13.5" thickBot="1">
      <c r="A28" s="1458" t="s">
        <v>145</v>
      </c>
      <c r="B28" s="1474">
        <f t="shared" si="124"/>
        <v>314.72141172386546</v>
      </c>
      <c r="C28" s="1474">
        <f t="shared" si="124"/>
        <v>263.03901319069001</v>
      </c>
      <c r="D28" s="1474">
        <f t="shared" si="119"/>
        <v>263.03901319069001</v>
      </c>
      <c r="E28" s="1474">
        <f t="shared" si="125"/>
        <v>433.65745506782821</v>
      </c>
      <c r="F28" s="1474">
        <f t="shared" si="125"/>
        <v>233.23005080045735</v>
      </c>
      <c r="G28" s="3410"/>
      <c r="H28" s="1479">
        <v>2</v>
      </c>
      <c r="I28" s="1479">
        <v>2.4</v>
      </c>
      <c r="J28" s="1479">
        <v>2.0299999999999998</v>
      </c>
      <c r="K28" s="1479">
        <v>2.59</v>
      </c>
      <c r="L28" s="1480">
        <v>1.52</v>
      </c>
      <c r="N28" s="1469">
        <f t="shared" si="121"/>
        <v>2.4E-2</v>
      </c>
      <c r="O28" s="1470">
        <f t="shared" si="116"/>
        <v>2.0299999999999999E-2</v>
      </c>
      <c r="P28" s="1470">
        <f t="shared" si="116"/>
        <v>2.5899999999999999E-2</v>
      </c>
      <c r="Q28" s="1470">
        <f t="shared" si="116"/>
        <v>1.52E-2</v>
      </c>
      <c r="R28" s="1471"/>
      <c r="S28" s="1469"/>
      <c r="T28" s="1470"/>
      <c r="U28" s="1470"/>
      <c r="V28" s="1470"/>
      <c r="X28" s="1456">
        <f>1+N28</f>
        <v>1.024</v>
      </c>
      <c r="Y28" s="1456">
        <f>1+O28</f>
        <v>1.0203</v>
      </c>
      <c r="Z28" s="1456">
        <f t="shared" si="126"/>
        <v>1.0203</v>
      </c>
      <c r="AA28" s="1456">
        <f>1+P28</f>
        <v>1.0259</v>
      </c>
      <c r="AB28" s="1456">
        <f>1+Q28</f>
        <v>1.0152000000000001</v>
      </c>
      <c r="AD28" s="1457">
        <f>ROUND(AVERAGE(I28:I$29)/100,4)</f>
        <v>2.69E-2</v>
      </c>
      <c r="AE28" s="1457">
        <f>ROUND(AVERAGE(J28:J$29)/100,4)</f>
        <v>2.1899999999999999E-2</v>
      </c>
      <c r="AF28" s="1457">
        <f t="shared" ref="AF28" si="127">AE28</f>
        <v>2.1899999999999999E-2</v>
      </c>
      <c r="AG28" s="1457">
        <f>ROUND(AVERAGE(K28:K$29)/100,4)</f>
        <v>2.9399999999999999E-2</v>
      </c>
      <c r="AH28" s="1457">
        <f>ROUND(AVERAGE(L28:L$29)/100,4)</f>
        <v>1.44E-2</v>
      </c>
    </row>
    <row r="29" spans="1:34" s="1495" customFormat="1" ht="13.5" thickBot="1">
      <c r="A29" s="1491" t="s">
        <v>144</v>
      </c>
      <c r="B29" s="1492">
        <f t="shared" si="124"/>
        <v>307.34512863658733</v>
      </c>
      <c r="C29" s="1492">
        <f t="shared" si="124"/>
        <v>257.80556031626975</v>
      </c>
      <c r="D29" s="1492">
        <f t="shared" si="119"/>
        <v>257.80556031626975</v>
      </c>
      <c r="E29" s="1492">
        <f t="shared" si="125"/>
        <v>422.70928459677179</v>
      </c>
      <c r="F29" s="1492">
        <f t="shared" si="125"/>
        <v>229.73803270336617</v>
      </c>
      <c r="G29" s="3411"/>
      <c r="H29" s="1493">
        <v>1</v>
      </c>
      <c r="I29" s="1493">
        <v>2.97</v>
      </c>
      <c r="J29" s="1493">
        <v>2.34</v>
      </c>
      <c r="K29" s="1493">
        <v>3.28</v>
      </c>
      <c r="L29" s="1494">
        <v>1.36</v>
      </c>
      <c r="N29" s="1496">
        <f t="shared" si="121"/>
        <v>2.9700000000000001E-2</v>
      </c>
      <c r="O29" s="1497">
        <f t="shared" si="116"/>
        <v>2.3399999999999997E-2</v>
      </c>
      <c r="P29" s="1497">
        <f t="shared" si="116"/>
        <v>3.2799999999999996E-2</v>
      </c>
      <c r="Q29" s="1497">
        <f t="shared" si="116"/>
        <v>1.3600000000000001E-2</v>
      </c>
      <c r="R29" s="1498"/>
      <c r="S29" s="1499">
        <f>B29/B30-1</f>
        <v>2.7910129219355539E-2</v>
      </c>
      <c r="T29" s="1500">
        <f>C29/C30-1</f>
        <v>2.3037937762975247E-2</v>
      </c>
      <c r="U29" s="1500">
        <f>E29/E30-1</f>
        <v>3.3519033243940788E-2</v>
      </c>
      <c r="V29" s="1500">
        <f>F29/F30-1</f>
        <v>1.2061818076502862E-2</v>
      </c>
      <c r="W29" s="1501" t="s">
        <v>1157</v>
      </c>
      <c r="X29" s="1502">
        <v>1</v>
      </c>
      <c r="Y29" s="1502">
        <v>1</v>
      </c>
      <c r="Z29" s="1502">
        <v>1</v>
      </c>
      <c r="AA29" s="1502">
        <v>1</v>
      </c>
      <c r="AB29" s="1502">
        <v>1</v>
      </c>
      <c r="AD29" s="1724">
        <f>I29/100</f>
        <v>2.9700000000000001E-2</v>
      </c>
      <c r="AE29" s="1724">
        <f>J29/100</f>
        <v>2.3399999999999997E-2</v>
      </c>
      <c r="AF29" s="1724">
        <f>AE29</f>
        <v>2.3399999999999997E-2</v>
      </c>
      <c r="AG29" s="1724">
        <f>K29/100</f>
        <v>3.2799999999999996E-2</v>
      </c>
      <c r="AH29" s="1724">
        <f>L29/100</f>
        <v>1.3600000000000001E-2</v>
      </c>
    </row>
    <row r="30" spans="1:34" ht="13.5" thickBot="1">
      <c r="A30" s="1458" t="s">
        <v>1158</v>
      </c>
      <c r="B30" s="1466">
        <v>299</v>
      </c>
      <c r="C30" s="1466">
        <v>252</v>
      </c>
      <c r="D30" s="1466">
        <f t="shared" si="119"/>
        <v>252</v>
      </c>
      <c r="E30" s="1466">
        <v>409</v>
      </c>
      <c r="F30" s="1467">
        <v>227</v>
      </c>
      <c r="G30" s="3414">
        <v>2013</v>
      </c>
      <c r="H30" s="1503">
        <v>4</v>
      </c>
      <c r="I30" s="1503">
        <v>1.83</v>
      </c>
      <c r="J30" s="1503">
        <v>1.68</v>
      </c>
      <c r="K30" s="1503">
        <v>1.97</v>
      </c>
      <c r="L30" s="1504">
        <v>0.87</v>
      </c>
      <c r="N30" s="1481">
        <f t="shared" si="121"/>
        <v>1.83E-2</v>
      </c>
      <c r="O30" s="1482">
        <f t="shared" si="116"/>
        <v>1.6799999999999999E-2</v>
      </c>
      <c r="P30" s="1482">
        <f t="shared" si="116"/>
        <v>1.9699999999999999E-2</v>
      </c>
      <c r="Q30" s="1482">
        <f t="shared" si="116"/>
        <v>8.6999999999999994E-3</v>
      </c>
      <c r="R30" s="1471"/>
      <c r="S30" s="1472"/>
      <c r="T30" s="1473"/>
      <c r="U30" s="1473"/>
      <c r="V30" s="1473"/>
      <c r="X30" s="1473"/>
      <c r="Y30" s="1473"/>
      <c r="Z30" s="1473"/>
    </row>
    <row r="31" spans="1:34">
      <c r="A31" s="1458" t="s">
        <v>1159</v>
      </c>
      <c r="B31" s="1474">
        <f t="shared" ref="B31:C33" si="128">B30/(1+N30)</f>
        <v>293.62663262299913</v>
      </c>
      <c r="C31" s="1474">
        <f t="shared" si="128"/>
        <v>247.83634933123525</v>
      </c>
      <c r="D31" s="1474">
        <f t="shared" si="119"/>
        <v>247.83634933123525</v>
      </c>
      <c r="E31" s="1474">
        <f t="shared" ref="E31:F33" si="129">E30/(1+P30)</f>
        <v>401.09836226341076</v>
      </c>
      <c r="F31" s="1474">
        <f t="shared" si="129"/>
        <v>225.04213343908003</v>
      </c>
      <c r="G31" s="3415"/>
      <c r="H31" s="1484">
        <v>3</v>
      </c>
      <c r="I31" s="1484">
        <v>1.86</v>
      </c>
      <c r="J31" s="1484">
        <v>1.72</v>
      </c>
      <c r="K31" s="1484">
        <v>1.98</v>
      </c>
      <c r="L31" s="1485">
        <v>0.88</v>
      </c>
      <c r="N31" s="1469">
        <f t="shared" si="121"/>
        <v>1.8600000000000002E-2</v>
      </c>
      <c r="O31" s="1486">
        <f t="shared" si="116"/>
        <v>1.72E-2</v>
      </c>
      <c r="P31" s="1486">
        <f t="shared" si="116"/>
        <v>1.9799999999999998E-2</v>
      </c>
      <c r="Q31" s="1486">
        <f t="shared" si="116"/>
        <v>8.8000000000000005E-3</v>
      </c>
      <c r="R31" s="1471"/>
      <c r="S31" s="1469"/>
      <c r="T31" s="1470"/>
      <c r="U31" s="1470"/>
      <c r="V31" s="1470"/>
    </row>
    <row r="32" spans="1:34">
      <c r="A32" s="1458" t="s">
        <v>1160</v>
      </c>
      <c r="B32" s="1474">
        <f t="shared" si="128"/>
        <v>288.2649053828776</v>
      </c>
      <c r="C32" s="1474">
        <f t="shared" si="128"/>
        <v>243.64564425013293</v>
      </c>
      <c r="D32" s="1474">
        <f t="shared" si="119"/>
        <v>243.64564425013293</v>
      </c>
      <c r="E32" s="1474">
        <f t="shared" si="129"/>
        <v>393.31080825986544</v>
      </c>
      <c r="F32" s="1474">
        <f t="shared" si="129"/>
        <v>223.07903790551154</v>
      </c>
      <c r="G32" s="3415"/>
      <c r="H32" s="1462">
        <v>2</v>
      </c>
      <c r="I32" s="1462">
        <v>2.04</v>
      </c>
      <c r="J32" s="1462">
        <v>2.33</v>
      </c>
      <c r="K32" s="1462">
        <v>2.0699999999999998</v>
      </c>
      <c r="L32" s="1476">
        <v>0.69</v>
      </c>
      <c r="N32" s="1469">
        <f t="shared" si="121"/>
        <v>2.0400000000000001E-2</v>
      </c>
      <c r="O32" s="1486">
        <f t="shared" si="116"/>
        <v>2.3300000000000001E-2</v>
      </c>
      <c r="P32" s="1486">
        <f t="shared" si="116"/>
        <v>2.07E-2</v>
      </c>
      <c r="Q32" s="1486">
        <f t="shared" si="116"/>
        <v>6.8999999999999999E-3</v>
      </c>
      <c r="R32" s="1471"/>
      <c r="S32" s="1469"/>
      <c r="T32" s="1470"/>
      <c r="U32" s="1470"/>
      <c r="V32" s="1470"/>
      <c r="X32" s="1505"/>
      <c r="Y32" s="1506"/>
    </row>
    <row r="33" spans="1:26">
      <c r="A33" s="1458" t="s">
        <v>1161</v>
      </c>
      <c r="B33" s="1474">
        <f t="shared" si="128"/>
        <v>282.50186729015837</v>
      </c>
      <c r="C33" s="1474">
        <f t="shared" si="128"/>
        <v>238.09796174155468</v>
      </c>
      <c r="D33" s="1474">
        <f t="shared" si="119"/>
        <v>238.09796174155468</v>
      </c>
      <c r="E33" s="1474">
        <f t="shared" si="129"/>
        <v>385.33438646014054</v>
      </c>
      <c r="F33" s="1474">
        <f t="shared" si="129"/>
        <v>221.55034055567739</v>
      </c>
      <c r="G33" s="3416"/>
      <c r="H33" s="1461">
        <v>1</v>
      </c>
      <c r="I33" s="1461">
        <v>1.67</v>
      </c>
      <c r="J33" s="1461">
        <v>1.31</v>
      </c>
      <c r="K33" s="1461">
        <v>1.85</v>
      </c>
      <c r="L33" s="1475">
        <v>0.96</v>
      </c>
      <c r="N33" s="1477">
        <f t="shared" si="121"/>
        <v>1.67E-2</v>
      </c>
      <c r="O33" s="1478">
        <f t="shared" si="121"/>
        <v>1.3100000000000001E-2</v>
      </c>
      <c r="P33" s="1478">
        <f t="shared" si="121"/>
        <v>1.8500000000000003E-2</v>
      </c>
      <c r="Q33" s="1478">
        <f t="shared" si="121"/>
        <v>9.5999999999999992E-3</v>
      </c>
      <c r="R33" s="1471"/>
      <c r="S33" s="1477">
        <f>B33/B34-1</f>
        <v>1.6193767230785472E-2</v>
      </c>
      <c r="T33" s="1478">
        <f>C33/C34-1</f>
        <v>1.7512657015190891E-2</v>
      </c>
      <c r="U33" s="1478">
        <f>E33/E34-1</f>
        <v>1.6713420739157048E-2</v>
      </c>
      <c r="V33" s="1478">
        <f>F33/F34-1</f>
        <v>7.0470025258062563E-3</v>
      </c>
      <c r="X33" s="1507"/>
      <c r="Y33" s="1457"/>
      <c r="Z33" s="1457"/>
    </row>
    <row r="34" spans="1:26" ht="13.5" thickBot="1">
      <c r="A34" s="1458" t="s">
        <v>1162</v>
      </c>
      <c r="B34" s="1508">
        <v>278</v>
      </c>
      <c r="C34" s="1508">
        <v>234</v>
      </c>
      <c r="D34" s="1508">
        <f t="shared" si="119"/>
        <v>234</v>
      </c>
      <c r="E34" s="1508">
        <v>379</v>
      </c>
      <c r="F34" s="1509">
        <v>220</v>
      </c>
      <c r="G34" s="3409">
        <v>2012</v>
      </c>
      <c r="H34" s="1479">
        <v>4</v>
      </c>
      <c r="I34" s="1479">
        <v>0.91</v>
      </c>
      <c r="J34" s="1479">
        <v>0.68</v>
      </c>
      <c r="K34" s="1479">
        <v>0.98</v>
      </c>
      <c r="L34" s="1480">
        <v>0.9</v>
      </c>
      <c r="N34" s="1469">
        <f t="shared" si="121"/>
        <v>9.1000000000000004E-3</v>
      </c>
      <c r="O34" s="1470">
        <f t="shared" si="121"/>
        <v>6.8000000000000005E-3</v>
      </c>
      <c r="P34" s="1470">
        <f t="shared" si="121"/>
        <v>9.7999999999999997E-3</v>
      </c>
      <c r="Q34" s="1470">
        <f t="shared" si="121"/>
        <v>9.0000000000000011E-3</v>
      </c>
      <c r="R34" s="1471"/>
      <c r="S34" s="1472"/>
      <c r="T34" s="1473"/>
      <c r="U34" s="1473"/>
      <c r="V34" s="1473"/>
      <c r="X34" s="1473"/>
      <c r="Y34" s="1473"/>
      <c r="Z34" s="1473"/>
    </row>
    <row r="35" spans="1:26">
      <c r="A35" s="1458" t="s">
        <v>1163</v>
      </c>
      <c r="B35" s="1474">
        <f>B34/(1+N34)</f>
        <v>275.49301357645425</v>
      </c>
      <c r="C35" s="1474">
        <f>C34/(1+O34)</f>
        <v>232.41954707985698</v>
      </c>
      <c r="D35" s="1474">
        <f t="shared" si="119"/>
        <v>232.41954707985698</v>
      </c>
      <c r="E35" s="1474">
        <f t="shared" ref="E35:F37" si="130">E34/(1+P34)</f>
        <v>375.32184591008121</v>
      </c>
      <c r="F35" s="1474">
        <f t="shared" si="130"/>
        <v>218.03766105054513</v>
      </c>
      <c r="G35" s="3410"/>
      <c r="H35" s="1484">
        <v>3</v>
      </c>
      <c r="I35" s="1484">
        <v>0.09</v>
      </c>
      <c r="J35" s="1484">
        <v>0.28999999999999998</v>
      </c>
      <c r="K35" s="1484">
        <v>-0.01</v>
      </c>
      <c r="L35" s="1485">
        <v>0.57999999999999996</v>
      </c>
      <c r="N35" s="1469">
        <f t="shared" si="121"/>
        <v>8.9999999999999998E-4</v>
      </c>
      <c r="O35" s="1470">
        <f t="shared" si="121"/>
        <v>2.8999999999999998E-3</v>
      </c>
      <c r="P35" s="1470">
        <f t="shared" si="121"/>
        <v>-1E-4</v>
      </c>
      <c r="Q35" s="1470">
        <f t="shared" si="121"/>
        <v>5.7999999999999996E-3</v>
      </c>
      <c r="R35" s="1471"/>
      <c r="S35" s="1469"/>
      <c r="T35" s="1470"/>
      <c r="U35" s="1470"/>
      <c r="V35" s="1470"/>
    </row>
    <row r="36" spans="1:26">
      <c r="A36" s="1458" t="s">
        <v>1164</v>
      </c>
      <c r="B36" s="1474">
        <f>B35/(1+N35)</f>
        <v>275.24529281292263</v>
      </c>
      <c r="C36" s="1474">
        <f>C35/(1+O35)</f>
        <v>231.74747938962707</v>
      </c>
      <c r="D36" s="1474">
        <f t="shared" si="119"/>
        <v>231.74747938962707</v>
      </c>
      <c r="E36" s="1474">
        <f t="shared" si="130"/>
        <v>375.35938184826603</v>
      </c>
      <c r="F36" s="1474">
        <f t="shared" si="130"/>
        <v>216.78033510692495</v>
      </c>
      <c r="G36" s="3410"/>
      <c r="H36" s="1462">
        <v>2</v>
      </c>
      <c r="I36" s="1462">
        <v>0.02</v>
      </c>
      <c r="J36" s="1462">
        <v>0.12</v>
      </c>
      <c r="K36" s="1462">
        <v>-0.08</v>
      </c>
      <c r="L36" s="1476">
        <v>1.24</v>
      </c>
      <c r="N36" s="1469">
        <f t="shared" si="121"/>
        <v>2.0000000000000001E-4</v>
      </c>
      <c r="O36" s="1470">
        <f t="shared" si="121"/>
        <v>1.1999999999999999E-3</v>
      </c>
      <c r="P36" s="1470">
        <f t="shared" si="121"/>
        <v>-8.0000000000000004E-4</v>
      </c>
      <c r="Q36" s="1470">
        <f t="shared" si="121"/>
        <v>1.24E-2</v>
      </c>
      <c r="R36" s="1471"/>
      <c r="S36" s="1469"/>
      <c r="T36" s="1470"/>
      <c r="U36" s="1470"/>
      <c r="V36" s="1470"/>
    </row>
    <row r="37" spans="1:26" ht="13.5" thickBot="1">
      <c r="A37" s="1458" t="s">
        <v>1165</v>
      </c>
      <c r="B37" s="1474">
        <f>B36/(1+N36)</f>
        <v>275.19025476197027</v>
      </c>
      <c r="C37" s="1510">
        <v>232</v>
      </c>
      <c r="D37" s="1510">
        <f t="shared" si="119"/>
        <v>232</v>
      </c>
      <c r="E37" s="1474">
        <f t="shared" si="130"/>
        <v>375.65990977608692</v>
      </c>
      <c r="F37" s="1474">
        <f t="shared" si="130"/>
        <v>214.12518283971252</v>
      </c>
      <c r="G37" s="3411"/>
      <c r="H37" s="1461">
        <v>1</v>
      </c>
      <c r="I37" s="1461">
        <v>0.02</v>
      </c>
      <c r="J37" s="1461">
        <v>0.13</v>
      </c>
      <c r="K37" s="1461">
        <v>-0.04</v>
      </c>
      <c r="L37" s="1475">
        <v>0.46</v>
      </c>
      <c r="N37" s="1469">
        <f t="shared" si="121"/>
        <v>2.0000000000000001E-4</v>
      </c>
      <c r="O37" s="1470">
        <f t="shared" si="121"/>
        <v>1.2999999999999999E-3</v>
      </c>
      <c r="P37" s="1470">
        <f t="shared" si="121"/>
        <v>-4.0000000000000002E-4</v>
      </c>
      <c r="Q37" s="1470">
        <f t="shared" si="121"/>
        <v>4.5999999999999999E-3</v>
      </c>
      <c r="R37" s="1471"/>
      <c r="S37" s="1477">
        <f>B37/B38-1</f>
        <v>6.9183549807361189E-4</v>
      </c>
      <c r="T37" s="1478">
        <f>C37/C38-1</f>
        <v>0</v>
      </c>
      <c r="U37" s="1478">
        <f>E37/E38-1</f>
        <v>-9.0449527636460303E-4</v>
      </c>
      <c r="V37" s="1478">
        <f>F37/F38-1</f>
        <v>5.2825485432512753E-3</v>
      </c>
      <c r="X37" s="1457"/>
      <c r="Y37" s="1457"/>
      <c r="Z37" s="1457"/>
    </row>
    <row r="38" spans="1:26" ht="13.5" thickBot="1">
      <c r="A38" s="1458" t="s">
        <v>1166</v>
      </c>
      <c r="B38" s="1466">
        <v>275</v>
      </c>
      <c r="C38" s="1466">
        <v>232</v>
      </c>
      <c r="D38" s="1466">
        <f t="shared" si="119"/>
        <v>232</v>
      </c>
      <c r="E38" s="1466">
        <v>376</v>
      </c>
      <c r="F38" s="1467">
        <v>213</v>
      </c>
      <c r="G38" s="3409">
        <v>2011</v>
      </c>
      <c r="H38" s="1479">
        <v>4</v>
      </c>
      <c r="I38" s="1479">
        <v>-0.2</v>
      </c>
      <c r="J38" s="1479">
        <v>0.04</v>
      </c>
      <c r="K38" s="1479">
        <v>-0.34</v>
      </c>
      <c r="L38" s="1480">
        <v>0.46</v>
      </c>
      <c r="N38" s="1481">
        <f t="shared" si="121"/>
        <v>-2E-3</v>
      </c>
      <c r="O38" s="1482">
        <f t="shared" si="121"/>
        <v>4.0000000000000002E-4</v>
      </c>
      <c r="P38" s="1482">
        <f t="shared" si="121"/>
        <v>-3.4000000000000002E-3</v>
      </c>
      <c r="Q38" s="1482">
        <f t="shared" si="121"/>
        <v>4.5999999999999999E-3</v>
      </c>
      <c r="R38" s="1471"/>
      <c r="S38" s="1472"/>
      <c r="T38" s="1473"/>
      <c r="U38" s="1473"/>
      <c r="V38" s="1473"/>
      <c r="X38" s="1473"/>
      <c r="Y38" s="1473"/>
      <c r="Z38" s="1473"/>
    </row>
    <row r="39" spans="1:26">
      <c r="A39" s="1458" t="s">
        <v>1167</v>
      </c>
      <c r="B39" s="1474">
        <f t="shared" ref="B39:C41" si="131">B38/(1+N38)</f>
        <v>275.55110220440883</v>
      </c>
      <c r="C39" s="1474">
        <f t="shared" si="131"/>
        <v>231.90723710515795</v>
      </c>
      <c r="D39" s="1474">
        <f t="shared" si="119"/>
        <v>231.90723710515795</v>
      </c>
      <c r="E39" s="1474">
        <f t="shared" ref="E39:F41" si="132">E38/(1+P38)</f>
        <v>377.28276138872161</v>
      </c>
      <c r="F39" s="1474">
        <f t="shared" si="132"/>
        <v>212.02468644236512</v>
      </c>
      <c r="G39" s="3410">
        <v>2011</v>
      </c>
      <c r="H39" s="1484">
        <v>3</v>
      </c>
      <c r="I39" s="1484">
        <v>0.13</v>
      </c>
      <c r="J39" s="1484">
        <v>0.75</v>
      </c>
      <c r="K39" s="1484">
        <v>-0.08</v>
      </c>
      <c r="L39" s="1485">
        <v>0.53</v>
      </c>
      <c r="N39" s="1469">
        <f t="shared" si="121"/>
        <v>1.2999999999999999E-3</v>
      </c>
      <c r="O39" s="1486">
        <f t="shared" si="121"/>
        <v>7.4999999999999997E-3</v>
      </c>
      <c r="P39" s="1486">
        <f t="shared" si="121"/>
        <v>-8.0000000000000004E-4</v>
      </c>
      <c r="Q39" s="1486">
        <f t="shared" si="121"/>
        <v>5.3E-3</v>
      </c>
      <c r="R39" s="1471"/>
      <c r="S39" s="1469"/>
      <c r="T39" s="1470"/>
      <c r="U39" s="1470"/>
      <c r="V39" s="1470"/>
    </row>
    <row r="40" spans="1:26">
      <c r="A40" s="1458" t="s">
        <v>1168</v>
      </c>
      <c r="B40" s="1474">
        <f t="shared" si="131"/>
        <v>275.19335084830601</v>
      </c>
      <c r="C40" s="1474">
        <f t="shared" si="131"/>
        <v>230.18088050139744</v>
      </c>
      <c r="D40" s="1474">
        <f t="shared" si="119"/>
        <v>230.18088050139744</v>
      </c>
      <c r="E40" s="1474">
        <f t="shared" si="132"/>
        <v>377.58482925212331</v>
      </c>
      <c r="F40" s="1474">
        <f t="shared" si="132"/>
        <v>210.90687997847917</v>
      </c>
      <c r="G40" s="3410">
        <v>2011</v>
      </c>
      <c r="H40" s="1462">
        <v>2</v>
      </c>
      <c r="I40" s="1462">
        <v>-0.4</v>
      </c>
      <c r="J40" s="1462">
        <v>0.17</v>
      </c>
      <c r="K40" s="1462">
        <v>-0.57999999999999996</v>
      </c>
      <c r="L40" s="1476">
        <v>-0.2</v>
      </c>
      <c r="N40" s="1469">
        <f t="shared" si="121"/>
        <v>-4.0000000000000001E-3</v>
      </c>
      <c r="O40" s="1486">
        <f t="shared" si="121"/>
        <v>1.7000000000000001E-3</v>
      </c>
      <c r="P40" s="1486">
        <f t="shared" si="121"/>
        <v>-5.7999999999999996E-3</v>
      </c>
      <c r="Q40" s="1486">
        <f t="shared" si="121"/>
        <v>-2E-3</v>
      </c>
      <c r="R40" s="1471"/>
      <c r="S40" s="1469"/>
      <c r="T40" s="1470"/>
      <c r="U40" s="1470"/>
      <c r="V40" s="1470"/>
    </row>
    <row r="41" spans="1:26" ht="13.5" thickBot="1">
      <c r="A41" s="1458" t="s">
        <v>1169</v>
      </c>
      <c r="B41" s="1474">
        <f t="shared" si="131"/>
        <v>276.29854502841971</v>
      </c>
      <c r="C41" s="1474">
        <f t="shared" si="131"/>
        <v>229.79023709833027</v>
      </c>
      <c r="D41" s="1474">
        <f t="shared" si="119"/>
        <v>229.79023709833027</v>
      </c>
      <c r="E41" s="1474">
        <f t="shared" si="132"/>
        <v>379.78759731655936</v>
      </c>
      <c r="F41" s="1474">
        <f t="shared" si="132"/>
        <v>211.32953905659235</v>
      </c>
      <c r="G41" s="3411">
        <v>2011</v>
      </c>
      <c r="H41" s="1461">
        <v>1</v>
      </c>
      <c r="I41" s="1461">
        <v>2.65</v>
      </c>
      <c r="J41" s="1461">
        <v>3.76</v>
      </c>
      <c r="K41" s="1461">
        <v>1.89</v>
      </c>
      <c r="L41" s="1475">
        <v>7.95</v>
      </c>
      <c r="N41" s="1477">
        <f t="shared" si="121"/>
        <v>2.6499999999999999E-2</v>
      </c>
      <c r="O41" s="1478">
        <f t="shared" si="121"/>
        <v>3.7599999999999995E-2</v>
      </c>
      <c r="P41" s="1478">
        <f t="shared" si="121"/>
        <v>1.89E-2</v>
      </c>
      <c r="Q41" s="1478">
        <f t="shared" si="121"/>
        <v>7.9500000000000001E-2</v>
      </c>
      <c r="R41" s="1471"/>
      <c r="S41" s="1477">
        <f>B41/B42-1</f>
        <v>2.713213765211786E-2</v>
      </c>
      <c r="T41" s="1478">
        <f>C41/C42-1</f>
        <v>3.9774828499231862E-2</v>
      </c>
      <c r="U41" s="1478">
        <f>E41/E42-1</f>
        <v>1.8197311840641772E-2</v>
      </c>
      <c r="V41" s="1478">
        <f>F41/F42-1</f>
        <v>7.8211933962205826E-2</v>
      </c>
      <c r="X41" s="1457"/>
      <c r="Y41" s="1457"/>
      <c r="Z41" s="1457"/>
    </row>
    <row r="42" spans="1:26" ht="13.5" thickBot="1">
      <c r="A42" s="1458" t="s">
        <v>1170</v>
      </c>
      <c r="B42" s="1466">
        <v>269</v>
      </c>
      <c r="C42" s="1466">
        <v>221</v>
      </c>
      <c r="D42" s="1466">
        <f t="shared" si="119"/>
        <v>221</v>
      </c>
      <c r="E42" s="1466">
        <v>373</v>
      </c>
      <c r="F42" s="1467">
        <v>196</v>
      </c>
      <c r="G42" s="3409">
        <v>2010</v>
      </c>
      <c r="H42" s="1479">
        <v>4</v>
      </c>
      <c r="I42" s="1479">
        <v>5.72</v>
      </c>
      <c r="J42" s="1479">
        <v>6.57</v>
      </c>
      <c r="K42" s="1479">
        <v>5.72</v>
      </c>
      <c r="L42" s="1480">
        <v>2.72</v>
      </c>
      <c r="N42" s="1469">
        <f t="shared" si="121"/>
        <v>5.7200000000000001E-2</v>
      </c>
      <c r="O42" s="1470">
        <f t="shared" si="121"/>
        <v>6.5700000000000008E-2</v>
      </c>
      <c r="P42" s="1470">
        <f t="shared" si="121"/>
        <v>5.7200000000000001E-2</v>
      </c>
      <c r="Q42" s="1470">
        <f t="shared" si="121"/>
        <v>2.7200000000000002E-2</v>
      </c>
      <c r="R42" s="1471"/>
      <c r="S42" s="1472"/>
      <c r="T42" s="1473"/>
      <c r="U42" s="1473"/>
      <c r="V42" s="1473"/>
      <c r="X42" s="1473"/>
      <c r="Y42" s="1473"/>
      <c r="Z42" s="1473"/>
    </row>
    <row r="43" spans="1:26">
      <c r="A43" s="1458" t="s">
        <v>1171</v>
      </c>
      <c r="B43" s="1474">
        <f t="shared" ref="B43:C45" si="133">B42/(1+N42)</f>
        <v>254.44570563753314</v>
      </c>
      <c r="C43" s="1474">
        <f t="shared" si="133"/>
        <v>207.37543398705074</v>
      </c>
      <c r="D43" s="1474">
        <f t="shared" si="119"/>
        <v>207.37543398705074</v>
      </c>
      <c r="E43" s="1474">
        <f t="shared" ref="E43:F45" si="134">E42/(1+P42)</f>
        <v>352.81876655315932</v>
      </c>
      <c r="F43" s="1474">
        <f t="shared" si="134"/>
        <v>190.809968847352</v>
      </c>
      <c r="G43" s="3410">
        <v>2010</v>
      </c>
      <c r="H43" s="1484">
        <v>3</v>
      </c>
      <c r="I43" s="1484">
        <v>4.7300000000000004</v>
      </c>
      <c r="J43" s="1484">
        <v>3.9</v>
      </c>
      <c r="K43" s="1484">
        <v>5.03</v>
      </c>
      <c r="L43" s="1485">
        <v>4.21</v>
      </c>
      <c r="N43" s="1469">
        <f t="shared" si="121"/>
        <v>4.7300000000000002E-2</v>
      </c>
      <c r="O43" s="1470">
        <f t="shared" si="121"/>
        <v>3.9E-2</v>
      </c>
      <c r="P43" s="1470">
        <f t="shared" si="121"/>
        <v>5.0300000000000004E-2</v>
      </c>
      <c r="Q43" s="1470">
        <f t="shared" si="121"/>
        <v>4.2099999999999999E-2</v>
      </c>
      <c r="R43" s="1471"/>
      <c r="S43" s="1469"/>
      <c r="T43" s="1470"/>
      <c r="U43" s="1470"/>
      <c r="V43" s="1470"/>
    </row>
    <row r="44" spans="1:26">
      <c r="A44" s="1458" t="s">
        <v>1172</v>
      </c>
      <c r="B44" s="1474">
        <f t="shared" si="133"/>
        <v>242.95398227588385</v>
      </c>
      <c r="C44" s="1474">
        <f t="shared" si="133"/>
        <v>199.59137053614126</v>
      </c>
      <c r="D44" s="1474">
        <f t="shared" si="119"/>
        <v>199.59137053614126</v>
      </c>
      <c r="E44" s="1474">
        <f t="shared" si="134"/>
        <v>335.92189522342125</v>
      </c>
      <c r="F44" s="1474">
        <f t="shared" si="134"/>
        <v>183.10139991109489</v>
      </c>
      <c r="G44" s="3410">
        <v>2010</v>
      </c>
      <c r="H44" s="1462">
        <v>2</v>
      </c>
      <c r="I44" s="1462">
        <v>4.6900000000000004</v>
      </c>
      <c r="J44" s="1462">
        <v>3.55</v>
      </c>
      <c r="K44" s="1462">
        <v>5.07</v>
      </c>
      <c r="L44" s="1476">
        <v>4.2300000000000004</v>
      </c>
      <c r="N44" s="1469">
        <f t="shared" si="121"/>
        <v>4.6900000000000004E-2</v>
      </c>
      <c r="O44" s="1470">
        <f t="shared" si="121"/>
        <v>3.5499999999999997E-2</v>
      </c>
      <c r="P44" s="1470">
        <f t="shared" si="121"/>
        <v>5.0700000000000002E-2</v>
      </c>
      <c r="Q44" s="1470">
        <f t="shared" si="121"/>
        <v>4.2300000000000004E-2</v>
      </c>
      <c r="R44" s="1471"/>
      <c r="S44" s="1469"/>
      <c r="T44" s="1470"/>
      <c r="U44" s="1470"/>
      <c r="V44" s="1470"/>
    </row>
    <row r="45" spans="1:26" ht="13.5" thickBot="1">
      <c r="A45" s="1458" t="s">
        <v>1173</v>
      </c>
      <c r="B45" s="1474">
        <f t="shared" si="133"/>
        <v>232.06990378821649</v>
      </c>
      <c r="C45" s="1474">
        <f t="shared" si="133"/>
        <v>192.74878854286936</v>
      </c>
      <c r="D45" s="1474">
        <f t="shared" si="119"/>
        <v>192.74878854286936</v>
      </c>
      <c r="E45" s="1474">
        <f t="shared" si="134"/>
        <v>319.71247284992984</v>
      </c>
      <c r="F45" s="1474">
        <f t="shared" si="134"/>
        <v>175.67053622862409</v>
      </c>
      <c r="G45" s="3411">
        <v>2010</v>
      </c>
      <c r="H45" s="1461">
        <v>1</v>
      </c>
      <c r="I45" s="1461">
        <v>5.4</v>
      </c>
      <c r="J45" s="1461">
        <v>3.2</v>
      </c>
      <c r="K45" s="1461">
        <v>6.16</v>
      </c>
      <c r="L45" s="1475">
        <v>4.51</v>
      </c>
      <c r="N45" s="1469">
        <f t="shared" si="121"/>
        <v>5.4000000000000006E-2</v>
      </c>
      <c r="O45" s="1470">
        <f t="shared" si="121"/>
        <v>3.2000000000000001E-2</v>
      </c>
      <c r="P45" s="1470">
        <f t="shared" si="121"/>
        <v>6.1600000000000002E-2</v>
      </c>
      <c r="Q45" s="1470">
        <f t="shared" si="121"/>
        <v>4.5100000000000001E-2</v>
      </c>
      <c r="R45" s="1471"/>
      <c r="S45" s="1477">
        <f>B45/B46-1</f>
        <v>5.4863199037347599E-2</v>
      </c>
      <c r="T45" s="1478">
        <f>C45/C46-1</f>
        <v>3.0742184721226584E-2</v>
      </c>
      <c r="U45" s="1478">
        <f>E45/E46-1</f>
        <v>6.2167683886810154E-2</v>
      </c>
      <c r="V45" s="1478">
        <f>F45/F46-1</f>
        <v>4.5657953741810031E-2</v>
      </c>
      <c r="X45" s="1457"/>
      <c r="Y45" s="1457"/>
      <c r="Z45" s="1457"/>
    </row>
    <row r="46" spans="1:26" ht="13.5" thickBot="1">
      <c r="A46" s="1458" t="s">
        <v>1174</v>
      </c>
      <c r="B46" s="1466">
        <v>220</v>
      </c>
      <c r="C46" s="1466">
        <v>187</v>
      </c>
      <c r="D46" s="1466">
        <f t="shared" si="119"/>
        <v>187</v>
      </c>
      <c r="E46" s="1466">
        <v>301</v>
      </c>
      <c r="F46" s="1467">
        <v>168</v>
      </c>
      <c r="G46" s="3409">
        <v>2009</v>
      </c>
      <c r="H46" s="1479">
        <v>4</v>
      </c>
      <c r="I46" s="1479">
        <v>2.2999999999999998</v>
      </c>
      <c r="J46" s="1479">
        <v>1.04</v>
      </c>
      <c r="K46" s="1479">
        <v>2.84</v>
      </c>
      <c r="L46" s="1480">
        <v>0.67</v>
      </c>
      <c r="N46" s="1481">
        <f t="shared" si="121"/>
        <v>2.3E-2</v>
      </c>
      <c r="O46" s="1482">
        <f t="shared" si="121"/>
        <v>1.04E-2</v>
      </c>
      <c r="P46" s="1482">
        <f t="shared" si="121"/>
        <v>2.8399999999999998E-2</v>
      </c>
      <c r="Q46" s="1482">
        <f t="shared" si="121"/>
        <v>6.7000000000000002E-3</v>
      </c>
      <c r="R46" s="1471"/>
      <c r="S46" s="1472"/>
      <c r="T46" s="1473"/>
      <c r="U46" s="1473"/>
      <c r="V46" s="1473"/>
      <c r="X46" s="1473"/>
      <c r="Y46" s="1473"/>
      <c r="Z46" s="1473"/>
    </row>
    <row r="47" spans="1:26">
      <c r="A47" s="1458" t="s">
        <v>1175</v>
      </c>
      <c r="B47" s="1474">
        <f t="shared" ref="B47:C49" si="135">B46/(1+N46)</f>
        <v>215.05376344086022</v>
      </c>
      <c r="C47" s="1474">
        <f t="shared" si="135"/>
        <v>185.0752177355503</v>
      </c>
      <c r="D47" s="1474">
        <f t="shared" si="119"/>
        <v>185.0752177355503</v>
      </c>
      <c r="E47" s="1474">
        <f t="shared" ref="E47:F49" si="136">E46/(1+P46)</f>
        <v>292.68767016725008</v>
      </c>
      <c r="F47" s="1474">
        <f t="shared" si="136"/>
        <v>166.88189132810174</v>
      </c>
      <c r="G47" s="3410">
        <v>2009</v>
      </c>
      <c r="H47" s="1484">
        <v>3</v>
      </c>
      <c r="I47" s="1484">
        <v>2.1</v>
      </c>
      <c r="J47" s="1484">
        <v>1.86</v>
      </c>
      <c r="K47" s="1484">
        <v>2.29</v>
      </c>
      <c r="L47" s="1485">
        <v>0.85</v>
      </c>
      <c r="N47" s="1469">
        <f t="shared" si="121"/>
        <v>2.1000000000000001E-2</v>
      </c>
      <c r="O47" s="1486">
        <f t="shared" si="121"/>
        <v>1.8600000000000002E-2</v>
      </c>
      <c r="P47" s="1486">
        <f t="shared" si="121"/>
        <v>2.29E-2</v>
      </c>
      <c r="Q47" s="1486">
        <f t="shared" si="121"/>
        <v>8.5000000000000006E-3</v>
      </c>
      <c r="R47" s="1471"/>
      <c r="S47" s="1469"/>
      <c r="T47" s="1470"/>
      <c r="U47" s="1470"/>
      <c r="V47" s="1470"/>
    </row>
    <row r="48" spans="1:26">
      <c r="A48" s="1458" t="s">
        <v>1176</v>
      </c>
      <c r="B48" s="1474">
        <f t="shared" si="135"/>
        <v>210.630522469011</v>
      </c>
      <c r="C48" s="1474">
        <f t="shared" si="135"/>
        <v>181.69567812247232</v>
      </c>
      <c r="D48" s="1474">
        <f t="shared" si="119"/>
        <v>181.69567812247232</v>
      </c>
      <c r="E48" s="1474">
        <f t="shared" si="136"/>
        <v>286.13517466736738</v>
      </c>
      <c r="F48" s="1474">
        <f t="shared" si="136"/>
        <v>165.47535084591149</v>
      </c>
      <c r="G48" s="3410">
        <v>2009</v>
      </c>
      <c r="H48" s="1462">
        <v>2</v>
      </c>
      <c r="I48" s="1462">
        <v>0.86</v>
      </c>
      <c r="J48" s="1462">
        <v>-1.1299999999999999</v>
      </c>
      <c r="K48" s="1462">
        <v>1.79</v>
      </c>
      <c r="L48" s="1476">
        <v>-2.0699999999999998</v>
      </c>
      <c r="N48" s="1469">
        <f t="shared" si="121"/>
        <v>8.6E-3</v>
      </c>
      <c r="O48" s="1486">
        <f t="shared" si="121"/>
        <v>-1.1299999999999999E-2</v>
      </c>
      <c r="P48" s="1486">
        <f t="shared" si="121"/>
        <v>1.7899999999999999E-2</v>
      </c>
      <c r="Q48" s="1486">
        <f t="shared" si="121"/>
        <v>-2.07E-2</v>
      </c>
      <c r="R48" s="1471"/>
      <c r="S48" s="1469"/>
      <c r="T48" s="1470"/>
      <c r="U48" s="1470"/>
      <c r="V48" s="1470"/>
    </row>
    <row r="49" spans="1:26">
      <c r="A49" s="1458" t="s">
        <v>1177</v>
      </c>
      <c r="B49" s="1474">
        <f t="shared" si="135"/>
        <v>208.83454537875372</v>
      </c>
      <c r="C49" s="1474">
        <f t="shared" si="135"/>
        <v>183.77230517090351</v>
      </c>
      <c r="D49" s="1474">
        <f t="shared" si="119"/>
        <v>183.77230517090351</v>
      </c>
      <c r="E49" s="1474">
        <f t="shared" si="136"/>
        <v>281.10342338870947</v>
      </c>
      <c r="F49" s="1474">
        <f t="shared" si="136"/>
        <v>168.97309388942256</v>
      </c>
      <c r="G49" s="3411">
        <v>2009</v>
      </c>
      <c r="H49" s="1461">
        <v>1</v>
      </c>
      <c r="I49" s="1461">
        <v>-2.64</v>
      </c>
      <c r="J49" s="1461">
        <v>-2.5299999999999998</v>
      </c>
      <c r="K49" s="1461">
        <v>-3.02</v>
      </c>
      <c r="L49" s="1475">
        <v>1.52</v>
      </c>
      <c r="N49" s="1477">
        <f t="shared" si="121"/>
        <v>-2.64E-2</v>
      </c>
      <c r="O49" s="1478">
        <f t="shared" si="121"/>
        <v>-2.53E-2</v>
      </c>
      <c r="P49" s="1478">
        <f t="shared" si="121"/>
        <v>-3.0200000000000001E-2</v>
      </c>
      <c r="Q49" s="1478">
        <f t="shared" si="121"/>
        <v>1.52E-2</v>
      </c>
      <c r="R49" s="1471"/>
      <c r="S49" s="1477">
        <f>B49/B50-1</f>
        <v>-2.4137638417038754E-2</v>
      </c>
      <c r="T49" s="1478">
        <f>C49/C50-1</f>
        <v>-2.248773845264096E-2</v>
      </c>
      <c r="U49" s="1478">
        <f>E49/E50-1</f>
        <v>-2.7323794502735366E-2</v>
      </c>
      <c r="V49" s="1478">
        <f>F49/F50-1</f>
        <v>1.7910204153148035E-2</v>
      </c>
      <c r="X49" s="1457"/>
      <c r="Y49" s="1457"/>
      <c r="Z49" s="1457"/>
    </row>
    <row r="50" spans="1:26" ht="13.5" thickBot="1">
      <c r="A50" s="1458" t="s">
        <v>1178</v>
      </c>
      <c r="B50" s="1508">
        <v>214</v>
      </c>
      <c r="C50" s="1508">
        <v>188</v>
      </c>
      <c r="D50" s="1508">
        <f t="shared" si="119"/>
        <v>188</v>
      </c>
      <c r="E50" s="1508">
        <v>289</v>
      </c>
      <c r="F50" s="1509">
        <v>166</v>
      </c>
      <c r="G50" s="3409">
        <v>2008</v>
      </c>
      <c r="H50" s="1479">
        <v>4</v>
      </c>
      <c r="I50" s="1479">
        <v>1.73</v>
      </c>
      <c r="J50" s="1479">
        <v>0.03</v>
      </c>
      <c r="K50" s="1479">
        <v>2.59</v>
      </c>
      <c r="L50" s="1480">
        <v>-1.66</v>
      </c>
      <c r="N50" s="1469">
        <f t="shared" si="121"/>
        <v>1.7299999999999999E-2</v>
      </c>
      <c r="O50" s="1470">
        <f t="shared" si="121"/>
        <v>2.9999999999999997E-4</v>
      </c>
      <c r="P50" s="1470">
        <f t="shared" si="121"/>
        <v>2.5899999999999999E-2</v>
      </c>
      <c r="Q50" s="1470">
        <f t="shared" si="121"/>
        <v>-1.66E-2</v>
      </c>
      <c r="R50" s="1471"/>
      <c r="S50" s="1472"/>
      <c r="T50" s="1473"/>
      <c r="U50" s="1473"/>
      <c r="V50" s="1473"/>
      <c r="X50" s="1473"/>
      <c r="Y50" s="1473"/>
      <c r="Z50" s="1473"/>
    </row>
    <row r="51" spans="1:26">
      <c r="A51" s="1458" t="s">
        <v>1179</v>
      </c>
      <c r="B51" s="1474">
        <f t="shared" ref="B51:C53" si="137">B50/(1+N50)</f>
        <v>210.36075887152265</v>
      </c>
      <c r="C51" s="1474">
        <f t="shared" si="137"/>
        <v>187.94361691492554</v>
      </c>
      <c r="D51" s="1474">
        <f t="shared" si="119"/>
        <v>187.94361691492554</v>
      </c>
      <c r="E51" s="1474">
        <f t="shared" ref="E51:F53" si="138">E50/(1+P50)</f>
        <v>281.70386977288234</v>
      </c>
      <c r="F51" s="1474">
        <f t="shared" si="138"/>
        <v>168.80211511083994</v>
      </c>
      <c r="G51" s="3410">
        <v>2008</v>
      </c>
      <c r="H51" s="1484">
        <v>3</v>
      </c>
      <c r="I51" s="1484">
        <v>1.96</v>
      </c>
      <c r="J51" s="1484">
        <v>2.36</v>
      </c>
      <c r="K51" s="1484">
        <v>1.82</v>
      </c>
      <c r="L51" s="1485">
        <v>2.2200000000000002</v>
      </c>
      <c r="N51" s="1469">
        <f t="shared" si="121"/>
        <v>1.9599999999999999E-2</v>
      </c>
      <c r="O51" s="1470">
        <f t="shared" si="121"/>
        <v>2.3599999999999999E-2</v>
      </c>
      <c r="P51" s="1470">
        <f t="shared" si="121"/>
        <v>1.8200000000000001E-2</v>
      </c>
      <c r="Q51" s="1470">
        <f t="shared" si="121"/>
        <v>2.2200000000000001E-2</v>
      </c>
      <c r="R51" s="1471"/>
      <c r="S51" s="1469"/>
      <c r="T51" s="1470"/>
      <c r="U51" s="1470"/>
      <c r="V51" s="1470"/>
    </row>
    <row r="52" spans="1:26">
      <c r="A52" s="1458" t="s">
        <v>1180</v>
      </c>
      <c r="B52" s="1474">
        <f t="shared" si="137"/>
        <v>206.31694671589116</v>
      </c>
      <c r="C52" s="1474">
        <f t="shared" si="137"/>
        <v>183.61041121036101</v>
      </c>
      <c r="D52" s="1474">
        <f t="shared" si="119"/>
        <v>183.61041121036101</v>
      </c>
      <c r="E52" s="1474">
        <f t="shared" si="138"/>
        <v>276.66850301795557</v>
      </c>
      <c r="F52" s="1474">
        <f t="shared" si="138"/>
        <v>165.1360938278614</v>
      </c>
      <c r="G52" s="3410">
        <v>2008</v>
      </c>
      <c r="H52" s="1462">
        <v>2</v>
      </c>
      <c r="I52" s="1462">
        <v>4.93</v>
      </c>
      <c r="J52" s="1462">
        <v>7.38</v>
      </c>
      <c r="K52" s="1462">
        <v>3.98</v>
      </c>
      <c r="L52" s="1476">
        <v>6.86</v>
      </c>
      <c r="N52" s="1469">
        <f t="shared" si="121"/>
        <v>4.9299999999999997E-2</v>
      </c>
      <c r="O52" s="1470">
        <f t="shared" si="121"/>
        <v>7.3800000000000004E-2</v>
      </c>
      <c r="P52" s="1470">
        <f t="shared" si="121"/>
        <v>3.9800000000000002E-2</v>
      </c>
      <c r="Q52" s="1470">
        <f t="shared" si="121"/>
        <v>6.8600000000000008E-2</v>
      </c>
      <c r="R52" s="1471"/>
      <c r="S52" s="1469"/>
      <c r="T52" s="1470"/>
      <c r="U52" s="1470"/>
      <c r="V52" s="1470"/>
    </row>
    <row r="53" spans="1:26" s="1514" customFormat="1" ht="13.5" thickBot="1">
      <c r="A53" s="1458" t="s">
        <v>1181</v>
      </c>
      <c r="B53" s="1511">
        <f t="shared" si="137"/>
        <v>196.62341248059772</v>
      </c>
      <c r="C53" s="1511">
        <f t="shared" si="137"/>
        <v>170.99125648199012</v>
      </c>
      <c r="D53" s="1511">
        <f t="shared" si="119"/>
        <v>170.99125648199012</v>
      </c>
      <c r="E53" s="1511">
        <f t="shared" si="138"/>
        <v>266.07857570490052</v>
      </c>
      <c r="F53" s="1511">
        <f t="shared" si="138"/>
        <v>154.53499328828505</v>
      </c>
      <c r="G53" s="3411">
        <v>2008</v>
      </c>
      <c r="H53" s="1512">
        <v>1</v>
      </c>
      <c r="I53" s="1512">
        <v>4.1399999999999997</v>
      </c>
      <c r="J53" s="1512">
        <v>3.45</v>
      </c>
      <c r="K53" s="1512">
        <v>4.95</v>
      </c>
      <c r="L53" s="1513">
        <v>4.82</v>
      </c>
      <c r="N53" s="1515">
        <f t="shared" si="121"/>
        <v>4.1399999999999999E-2</v>
      </c>
      <c r="O53" s="1516">
        <f t="shared" si="121"/>
        <v>3.4500000000000003E-2</v>
      </c>
      <c r="P53" s="1516">
        <f t="shared" si="121"/>
        <v>4.9500000000000002E-2</v>
      </c>
      <c r="Q53" s="1516">
        <f t="shared" si="121"/>
        <v>4.82E-2</v>
      </c>
      <c r="R53" s="1517"/>
      <c r="S53" s="1515">
        <f>B53/B54-1</f>
        <v>4.5869215322328349E-2</v>
      </c>
      <c r="T53" s="1516">
        <f>C53/C54-1</f>
        <v>3.6310645345394743E-2</v>
      </c>
      <c r="U53" s="1516">
        <f>E53/E54-1</f>
        <v>4.7553447657088688E-2</v>
      </c>
      <c r="V53" s="1516">
        <f>F53/F54-1</f>
        <v>4.4155360055980086E-2</v>
      </c>
      <c r="X53" s="1518"/>
      <c r="Y53" s="1518"/>
      <c r="Z53" s="1518"/>
    </row>
    <row r="54" spans="1:26" ht="13.5" thickBot="1">
      <c r="A54" s="1458" t="s">
        <v>1182</v>
      </c>
      <c r="B54" s="1466">
        <v>188</v>
      </c>
      <c r="C54" s="1466">
        <v>165</v>
      </c>
      <c r="D54" s="1466">
        <f t="shared" si="119"/>
        <v>165</v>
      </c>
      <c r="E54" s="1466">
        <v>254</v>
      </c>
      <c r="F54" s="1467">
        <v>148</v>
      </c>
      <c r="G54" s="3409">
        <v>2007</v>
      </c>
      <c r="H54" s="1519">
        <v>4</v>
      </c>
      <c r="I54" s="1519">
        <v>5.51</v>
      </c>
      <c r="J54" s="1519">
        <v>4.8899999999999997</v>
      </c>
      <c r="K54" s="1519">
        <v>6.43</v>
      </c>
      <c r="L54" s="1520">
        <v>5.36</v>
      </c>
      <c r="N54" s="1521">
        <f t="shared" ref="N54:O57" si="139">B54/B55-1</f>
        <v>4.1339718365245526E-2</v>
      </c>
      <c r="O54" s="1522">
        <f t="shared" si="139"/>
        <v>4.0324492593776018E-2</v>
      </c>
      <c r="P54" s="1522">
        <f t="shared" ref="P54:Q57" si="140">E54/E55-1</f>
        <v>6.1625555347990968E-2</v>
      </c>
      <c r="Q54" s="1522">
        <f t="shared" si="140"/>
        <v>4.6757569250590603E-2</v>
      </c>
      <c r="R54" s="1471"/>
      <c r="S54" s="1472"/>
      <c r="T54" s="1473"/>
      <c r="U54" s="1473"/>
      <c r="V54" s="1473"/>
      <c r="X54" s="1473"/>
      <c r="Y54" s="1473"/>
      <c r="Z54" s="1473"/>
    </row>
    <row r="55" spans="1:26">
      <c r="A55" s="1458" t="s">
        <v>1183</v>
      </c>
      <c r="B55" s="1474">
        <f t="shared" ref="B55:C57" si="141">B56+(B$54-B$58)*I55/SUM(I$54:I$57)</f>
        <v>180.5366651097618</v>
      </c>
      <c r="C55" s="1474">
        <f t="shared" si="141"/>
        <v>158.60435967302453</v>
      </c>
      <c r="D55" s="1474">
        <f t="shared" si="119"/>
        <v>158.60435967302453</v>
      </c>
      <c r="E55" s="1474">
        <f t="shared" ref="E55:F57" si="142">E56+(E$54-E$58)*K55/SUM(K$54:K$57)</f>
        <v>239.25573260785075</v>
      </c>
      <c r="F55" s="1474">
        <f t="shared" si="142"/>
        <v>141.38899430740037</v>
      </c>
      <c r="G55" s="3410">
        <v>2007</v>
      </c>
      <c r="H55" s="1484">
        <v>3</v>
      </c>
      <c r="I55" s="1484">
        <v>8.65</v>
      </c>
      <c r="J55" s="1484">
        <v>8.06</v>
      </c>
      <c r="K55" s="1484">
        <v>9.94</v>
      </c>
      <c r="L55" s="1485">
        <v>5.8</v>
      </c>
      <c r="N55" s="1521">
        <f t="shared" si="139"/>
        <v>6.940217571740015E-2</v>
      </c>
      <c r="O55" s="1522">
        <f t="shared" si="139"/>
        <v>7.1197482471153428E-2</v>
      </c>
      <c r="P55" s="1522">
        <f t="shared" si="140"/>
        <v>0.10529679922579582</v>
      </c>
      <c r="Q55" s="1522">
        <f t="shared" si="140"/>
        <v>5.3292245059512133E-2</v>
      </c>
      <c r="R55" s="1471"/>
      <c r="S55" s="1469"/>
      <c r="T55" s="1470"/>
      <c r="U55" s="1470"/>
      <c r="V55" s="1470"/>
      <c r="X55" s="1523"/>
      <c r="Y55" s="1523"/>
      <c r="Z55" s="1523"/>
    </row>
    <row r="56" spans="1:26">
      <c r="A56" s="1458" t="s">
        <v>1184</v>
      </c>
      <c r="B56" s="1474">
        <f t="shared" si="141"/>
        <v>168.82017748715555</v>
      </c>
      <c r="C56" s="1474">
        <f t="shared" si="141"/>
        <v>148.06267029972753</v>
      </c>
      <c r="D56" s="1474">
        <f t="shared" si="119"/>
        <v>148.06267029972753</v>
      </c>
      <c r="E56" s="1474">
        <f t="shared" si="142"/>
        <v>216.46288379323747</v>
      </c>
      <c r="F56" s="1474">
        <f t="shared" si="142"/>
        <v>134.23529411764704</v>
      </c>
      <c r="G56" s="3410">
        <v>2007</v>
      </c>
      <c r="H56" s="1462">
        <v>2</v>
      </c>
      <c r="I56" s="1462">
        <v>3.67</v>
      </c>
      <c r="J56" s="1462">
        <v>2.3199999999999998</v>
      </c>
      <c r="K56" s="1462">
        <v>5.0199999999999996</v>
      </c>
      <c r="L56" s="1476">
        <v>6.71</v>
      </c>
      <c r="N56" s="1521">
        <f t="shared" si="139"/>
        <v>3.0339138143848032E-2</v>
      </c>
      <c r="O56" s="1522">
        <f t="shared" si="139"/>
        <v>2.0922341588790472E-2</v>
      </c>
      <c r="P56" s="1522">
        <f t="shared" si="140"/>
        <v>5.6164796592717003E-2</v>
      </c>
      <c r="Q56" s="1522">
        <f t="shared" si="140"/>
        <v>6.5704536723887319E-2</v>
      </c>
      <c r="R56" s="1471"/>
      <c r="S56" s="1469"/>
      <c r="T56" s="1470"/>
      <c r="U56" s="1470"/>
      <c r="V56" s="1470"/>
      <c r="X56" s="1523"/>
      <c r="Y56" s="1523"/>
      <c r="Z56" s="1523"/>
    </row>
    <row r="57" spans="1:26">
      <c r="A57" s="1458" t="s">
        <v>1185</v>
      </c>
      <c r="B57" s="1474">
        <f t="shared" si="141"/>
        <v>163.84913591779542</v>
      </c>
      <c r="C57" s="1474">
        <f t="shared" si="141"/>
        <v>145.0283378746594</v>
      </c>
      <c r="D57" s="1474">
        <f t="shared" si="119"/>
        <v>145.0283378746594</v>
      </c>
      <c r="E57" s="1474">
        <f t="shared" si="142"/>
        <v>204.95180722891567</v>
      </c>
      <c r="F57" s="1474">
        <f t="shared" si="142"/>
        <v>125.95920303605313</v>
      </c>
      <c r="G57" s="3411">
        <v>2007</v>
      </c>
      <c r="H57" s="1461">
        <v>1</v>
      </c>
      <c r="I57" s="1461">
        <v>3.58</v>
      </c>
      <c r="J57" s="1461">
        <v>3.08</v>
      </c>
      <c r="K57" s="1461">
        <v>4.34</v>
      </c>
      <c r="L57" s="1475">
        <v>3.21</v>
      </c>
      <c r="N57" s="1524">
        <f t="shared" si="139"/>
        <v>3.0497710174814063E-2</v>
      </c>
      <c r="O57" s="1525">
        <f t="shared" si="139"/>
        <v>2.8569772160704998E-2</v>
      </c>
      <c r="P57" s="1525">
        <f t="shared" si="140"/>
        <v>5.1034908866234296E-2</v>
      </c>
      <c r="Q57" s="1525">
        <f t="shared" si="140"/>
        <v>3.245248390207478E-2</v>
      </c>
      <c r="R57" s="1471"/>
      <c r="S57" s="1477">
        <f>B57/B58-1</f>
        <v>3.0497710174814063E-2</v>
      </c>
      <c r="T57" s="1478">
        <f>C57/C58-1</f>
        <v>2.8569772160704998E-2</v>
      </c>
      <c r="U57" s="1478">
        <f>E57/E58-1</f>
        <v>5.1034908866234296E-2</v>
      </c>
      <c r="V57" s="1478">
        <f>F57/F58-1</f>
        <v>3.245248390207478E-2</v>
      </c>
      <c r="X57" s="1523"/>
      <c r="Y57" s="1523"/>
      <c r="Z57" s="1523"/>
    </row>
    <row r="58" spans="1:26" ht="13.5" thickBot="1">
      <c r="A58" s="1458" t="s">
        <v>1186</v>
      </c>
      <c r="B58" s="1487">
        <v>159</v>
      </c>
      <c r="C58" s="1487">
        <v>141</v>
      </c>
      <c r="D58" s="1487">
        <f t="shared" si="119"/>
        <v>141</v>
      </c>
      <c r="E58" s="1487">
        <v>195</v>
      </c>
      <c r="F58" s="1488">
        <v>122</v>
      </c>
      <c r="G58" s="3409">
        <v>2006</v>
      </c>
      <c r="H58" s="1479">
        <v>4</v>
      </c>
      <c r="I58" s="1479">
        <v>3.79</v>
      </c>
      <c r="J58" s="1479">
        <v>2.21</v>
      </c>
      <c r="K58" s="1479">
        <v>5.65</v>
      </c>
      <c r="L58" s="1480">
        <v>5.41</v>
      </c>
      <c r="N58" s="1521">
        <f t="shared" ref="N58:O61" si="143">I58/SUM(I$58:I$61)*(B$58/B$62-1)</f>
        <v>7.245466462748526E-2</v>
      </c>
      <c r="O58" s="1522">
        <f t="shared" si="143"/>
        <v>2.3237230038062766E-2</v>
      </c>
      <c r="P58" s="1522">
        <f t="shared" ref="P58:Q61" si="144">K58/SUM(K$58:K$61)*(E$58/E$62-1)</f>
        <v>0.16146893866323722</v>
      </c>
      <c r="Q58" s="1522">
        <f t="shared" si="144"/>
        <v>5.0755230321793784E-2</v>
      </c>
      <c r="R58" s="1471"/>
      <c r="S58" s="1472"/>
      <c r="T58" s="1473"/>
      <c r="U58" s="1473"/>
      <c r="V58" s="1473"/>
      <c r="X58" s="1523"/>
      <c r="Y58" s="1523"/>
      <c r="Z58" s="1523"/>
    </row>
    <row r="59" spans="1:26">
      <c r="A59" s="1458" t="s">
        <v>1187</v>
      </c>
      <c r="B59" s="1474">
        <f t="shared" ref="B59:C61" si="145">B60+(B$58-B$62)*I59/SUM(I$58:I$61)</f>
        <v>149.00125628140702</v>
      </c>
      <c r="C59" s="1474">
        <f t="shared" si="145"/>
        <v>137.95592286501378</v>
      </c>
      <c r="D59" s="1474">
        <f t="shared" si="119"/>
        <v>137.95592286501378</v>
      </c>
      <c r="E59" s="1474">
        <f t="shared" ref="E59:F61" si="146">E60+(E$58-E$62)*K59/SUM(K$58:K$61)</f>
        <v>169.97231450719823</v>
      </c>
      <c r="F59" s="1474">
        <f t="shared" si="146"/>
        <v>116.21390374331551</v>
      </c>
      <c r="G59" s="3410">
        <v>2006</v>
      </c>
      <c r="H59" s="1484">
        <v>3</v>
      </c>
      <c r="I59" s="1484">
        <v>0.92</v>
      </c>
      <c r="J59" s="1484">
        <v>1.08</v>
      </c>
      <c r="K59" s="1484">
        <v>0.73</v>
      </c>
      <c r="L59" s="1485">
        <v>1.08</v>
      </c>
      <c r="N59" s="1521">
        <f t="shared" si="143"/>
        <v>1.7587939698492462E-2</v>
      </c>
      <c r="O59" s="1522">
        <f t="shared" si="143"/>
        <v>1.1355750425840628E-2</v>
      </c>
      <c r="P59" s="1522">
        <f t="shared" si="144"/>
        <v>2.0862358446754544E-2</v>
      </c>
      <c r="Q59" s="1522">
        <f t="shared" si="144"/>
        <v>1.0132282578103011E-2</v>
      </c>
      <c r="R59" s="1471"/>
      <c r="S59" s="1469"/>
      <c r="T59" s="1470"/>
      <c r="U59" s="1470"/>
      <c r="V59" s="1470"/>
      <c r="X59" s="1523"/>
      <c r="Y59" s="1523"/>
      <c r="Z59" s="1523"/>
    </row>
    <row r="60" spans="1:26">
      <c r="A60" s="1458" t="s">
        <v>1188</v>
      </c>
      <c r="B60" s="1474">
        <f t="shared" si="145"/>
        <v>146.57412060301507</v>
      </c>
      <c r="C60" s="1474">
        <f t="shared" si="145"/>
        <v>136.46831955922866</v>
      </c>
      <c r="D60" s="1474">
        <f t="shared" si="119"/>
        <v>136.46831955922866</v>
      </c>
      <c r="E60" s="1474">
        <f t="shared" si="146"/>
        <v>166.73864894795128</v>
      </c>
      <c r="F60" s="1474">
        <f t="shared" si="146"/>
        <v>115.05882352941177</v>
      </c>
      <c r="G60" s="3410">
        <v>2006</v>
      </c>
      <c r="H60" s="1462">
        <v>2</v>
      </c>
      <c r="I60" s="1462">
        <v>0.96</v>
      </c>
      <c r="J60" s="1462">
        <v>0.25</v>
      </c>
      <c r="K60" s="1462">
        <v>1.9</v>
      </c>
      <c r="L60" s="1476">
        <v>0.95</v>
      </c>
      <c r="N60" s="1521">
        <f t="shared" si="143"/>
        <v>1.8352632728861701E-2</v>
      </c>
      <c r="O60" s="1522">
        <f t="shared" si="143"/>
        <v>2.6286459319075526E-3</v>
      </c>
      <c r="P60" s="1522">
        <f t="shared" si="144"/>
        <v>5.4299289107991269E-2</v>
      </c>
      <c r="Q60" s="1522">
        <f t="shared" si="144"/>
        <v>8.9126559714794995E-3</v>
      </c>
      <c r="R60" s="1471"/>
      <c r="S60" s="1469"/>
      <c r="T60" s="1470"/>
      <c r="U60" s="1470"/>
      <c r="V60" s="1470"/>
      <c r="X60" s="1523"/>
      <c r="Y60" s="1523"/>
      <c r="Z60" s="1523"/>
    </row>
    <row r="61" spans="1:26">
      <c r="A61" s="1458" t="s">
        <v>1189</v>
      </c>
      <c r="B61" s="1474">
        <f t="shared" si="145"/>
        <v>144.04145728643215</v>
      </c>
      <c r="C61" s="1474">
        <f t="shared" si="145"/>
        <v>136.12396694214877</v>
      </c>
      <c r="D61" s="1474">
        <f t="shared" si="119"/>
        <v>136.12396694214877</v>
      </c>
      <c r="E61" s="1474">
        <f t="shared" si="146"/>
        <v>158.32225913621264</v>
      </c>
      <c r="F61" s="1474">
        <f t="shared" si="146"/>
        <v>114.04278074866311</v>
      </c>
      <c r="G61" s="3411">
        <v>2006</v>
      </c>
      <c r="H61" s="1461">
        <v>1</v>
      </c>
      <c r="I61" s="1461">
        <v>2.29</v>
      </c>
      <c r="J61" s="1461">
        <v>3.72</v>
      </c>
      <c r="K61" s="1461">
        <v>0.75</v>
      </c>
      <c r="L61" s="1475">
        <v>0.04</v>
      </c>
      <c r="N61" s="1524">
        <f t="shared" si="143"/>
        <v>4.3778675988638847E-2</v>
      </c>
      <c r="O61" s="1525">
        <f t="shared" si="143"/>
        <v>3.9114251466784385E-2</v>
      </c>
      <c r="P61" s="1525">
        <f t="shared" si="144"/>
        <v>2.1433929911049188E-2</v>
      </c>
      <c r="Q61" s="1525">
        <f t="shared" si="144"/>
        <v>3.7526972511492629E-4</v>
      </c>
      <c r="R61" s="1471"/>
      <c r="S61" s="1477">
        <f>B61/B62-1</f>
        <v>4.3778675988638716E-2</v>
      </c>
      <c r="T61" s="1478">
        <f>C61/C62-1</f>
        <v>3.91142514667846E-2</v>
      </c>
      <c r="U61" s="1478">
        <f>E61/E62-1</f>
        <v>2.143392991104931E-2</v>
      </c>
      <c r="V61" s="1478">
        <f>F61/F62-1</f>
        <v>3.7526972511492396E-4</v>
      </c>
      <c r="X61" s="1523"/>
      <c r="Y61" s="1523"/>
      <c r="Z61" s="1523"/>
    </row>
    <row r="62" spans="1:26" ht="13.5" thickBot="1">
      <c r="A62" s="1458" t="s">
        <v>1190</v>
      </c>
      <c r="B62" s="1487">
        <v>138</v>
      </c>
      <c r="C62" s="1487">
        <v>131</v>
      </c>
      <c r="D62" s="1487">
        <f t="shared" si="119"/>
        <v>131</v>
      </c>
      <c r="E62" s="1487">
        <v>155</v>
      </c>
      <c r="F62" s="1488">
        <v>114</v>
      </c>
      <c r="G62" s="3409">
        <v>2005</v>
      </c>
      <c r="H62" s="1479">
        <v>4</v>
      </c>
      <c r="I62" s="1479">
        <v>3.29</v>
      </c>
      <c r="J62" s="1479">
        <v>1.44</v>
      </c>
      <c r="K62" s="1479">
        <v>0.66</v>
      </c>
      <c r="L62" s="1480">
        <v>7.78</v>
      </c>
      <c r="N62" s="1521">
        <f t="shared" ref="N62:O65" si="147">I62/SUM(I$62:I$65)*(B$62/B$66-1)</f>
        <v>9.9404603216919935E-2</v>
      </c>
      <c r="O62" s="1522">
        <f t="shared" si="147"/>
        <v>4.7636550760861554E-2</v>
      </c>
      <c r="P62" s="1522">
        <f t="shared" ref="P62:Q65" si="148">K62/SUM(K$62:K$65)*(E$62/E$66-1)</f>
        <v>8.3756345177664976E-2</v>
      </c>
      <c r="Q62" s="1522">
        <f t="shared" si="148"/>
        <v>5.2148766661559584E-2</v>
      </c>
      <c r="R62" s="1471"/>
      <c r="S62" s="1472"/>
      <c r="T62" s="1473"/>
      <c r="U62" s="1473"/>
      <c r="V62" s="1473"/>
      <c r="X62" s="1523"/>
      <c r="Y62" s="1523"/>
      <c r="Z62" s="1523"/>
    </row>
    <row r="63" spans="1:26">
      <c r="A63" s="1458" t="s">
        <v>1191</v>
      </c>
      <c r="B63" s="1474">
        <f t="shared" ref="B63:C65" si="149">B64+(B$62-B$66)*I63/SUM(I$62:I$65)</f>
        <v>125.9720430107527</v>
      </c>
      <c r="C63" s="1474">
        <f t="shared" si="149"/>
        <v>125.1883408071749</v>
      </c>
      <c r="D63" s="1474">
        <f t="shared" si="119"/>
        <v>125.1883408071749</v>
      </c>
      <c r="E63" s="1474">
        <f t="shared" ref="E63:F65" si="150">E64+(E$62-E$66)*K63/SUM(K$62:K$65)</f>
        <v>144.61421319796952</v>
      </c>
      <c r="F63" s="1474">
        <f t="shared" si="150"/>
        <v>108.42008196721311</v>
      </c>
      <c r="G63" s="3410">
        <v>2005</v>
      </c>
      <c r="H63" s="1484">
        <v>3</v>
      </c>
      <c r="I63" s="1484">
        <v>0.46</v>
      </c>
      <c r="J63" s="1484">
        <v>0.32</v>
      </c>
      <c r="K63" s="1484">
        <v>0.42</v>
      </c>
      <c r="L63" s="1485">
        <v>0.64</v>
      </c>
      <c r="N63" s="1521">
        <f t="shared" si="147"/>
        <v>1.3898515951301874E-2</v>
      </c>
      <c r="O63" s="1522">
        <f t="shared" si="147"/>
        <v>1.0585900169080346E-2</v>
      </c>
      <c r="P63" s="1522">
        <f t="shared" si="148"/>
        <v>5.3299492385786795E-2</v>
      </c>
      <c r="Q63" s="1522">
        <f t="shared" si="148"/>
        <v>4.2898728359123568E-3</v>
      </c>
      <c r="R63" s="1471"/>
      <c r="S63" s="1469"/>
      <c r="T63" s="1470"/>
      <c r="U63" s="1470"/>
      <c r="V63" s="1470"/>
      <c r="X63" s="1523"/>
      <c r="Y63" s="1523"/>
      <c r="Z63" s="1523"/>
    </row>
    <row r="64" spans="1:26">
      <c r="A64" s="1458" t="s">
        <v>1192</v>
      </c>
      <c r="B64" s="1474">
        <f t="shared" si="149"/>
        <v>124.29032258064517</v>
      </c>
      <c r="C64" s="1474">
        <f t="shared" si="149"/>
        <v>123.8968609865471</v>
      </c>
      <c r="D64" s="1474">
        <f t="shared" si="119"/>
        <v>123.8968609865471</v>
      </c>
      <c r="E64" s="1474">
        <f t="shared" si="150"/>
        <v>138.00507614213197</v>
      </c>
      <c r="F64" s="1474">
        <f t="shared" si="150"/>
        <v>107.96106557377048</v>
      </c>
      <c r="G64" s="3410">
        <v>2005</v>
      </c>
      <c r="H64" s="1462">
        <v>2</v>
      </c>
      <c r="I64" s="1462">
        <v>0.47</v>
      </c>
      <c r="J64" s="1462">
        <v>0.1</v>
      </c>
      <c r="K64" s="1462">
        <v>0.52</v>
      </c>
      <c r="L64" s="1476">
        <v>0.79</v>
      </c>
      <c r="N64" s="1521">
        <f t="shared" si="147"/>
        <v>1.420065760241713E-2</v>
      </c>
      <c r="O64" s="1522">
        <f t="shared" si="147"/>
        <v>3.3080938028376083E-3</v>
      </c>
      <c r="P64" s="1522">
        <f t="shared" si="148"/>
        <v>6.598984771573603E-2</v>
      </c>
      <c r="Q64" s="1522">
        <f t="shared" si="148"/>
        <v>5.2953117818293153E-3</v>
      </c>
      <c r="R64" s="1471"/>
      <c r="S64" s="1469"/>
      <c r="T64" s="1470"/>
      <c r="U64" s="1470"/>
      <c r="V64" s="1470"/>
      <c r="X64" s="1523"/>
      <c r="Y64" s="1523"/>
      <c r="Z64" s="1523"/>
    </row>
    <row r="65" spans="1:26">
      <c r="A65" s="1458" t="s">
        <v>1193</v>
      </c>
      <c r="B65" s="1474">
        <f t="shared" si="149"/>
        <v>122.57204301075269</v>
      </c>
      <c r="C65" s="1474">
        <f t="shared" si="149"/>
        <v>123.4932735426009</v>
      </c>
      <c r="D65" s="1474">
        <f t="shared" si="119"/>
        <v>123.4932735426009</v>
      </c>
      <c r="E65" s="1474">
        <f t="shared" si="150"/>
        <v>129.82233502538071</v>
      </c>
      <c r="F65" s="1474">
        <f t="shared" si="150"/>
        <v>107.39446721311475</v>
      </c>
      <c r="G65" s="3411">
        <v>2005</v>
      </c>
      <c r="H65" s="1461">
        <v>1</v>
      </c>
      <c r="I65" s="1461">
        <v>0.43</v>
      </c>
      <c r="J65" s="1461">
        <v>0.37</v>
      </c>
      <c r="K65" s="1461">
        <v>0.37</v>
      </c>
      <c r="L65" s="1475">
        <v>0.55000000000000004</v>
      </c>
      <c r="N65" s="1524">
        <f t="shared" si="147"/>
        <v>1.2992090997956099E-2</v>
      </c>
      <c r="O65" s="1525">
        <f t="shared" si="147"/>
        <v>1.2239947070499151E-2</v>
      </c>
      <c r="P65" s="1525">
        <f t="shared" si="148"/>
        <v>4.6954314720812178E-2</v>
      </c>
      <c r="Q65" s="1525">
        <f t="shared" si="148"/>
        <v>3.6866094683621815E-3</v>
      </c>
      <c r="R65" s="1471"/>
      <c r="S65" s="1477">
        <f>B65/B66-1</f>
        <v>1.2992090997956174E-2</v>
      </c>
      <c r="T65" s="1478">
        <f>C65/C66-1</f>
        <v>1.2239947070499246E-2</v>
      </c>
      <c r="U65" s="1478">
        <f>E65/E66-1</f>
        <v>4.695431472081224E-2</v>
      </c>
      <c r="V65" s="1478">
        <f>F65/F66-1</f>
        <v>3.6866094683620787E-3</v>
      </c>
      <c r="X65" s="1523"/>
      <c r="Y65" s="1523"/>
      <c r="Z65" s="1523"/>
    </row>
    <row r="66" spans="1:26" ht="13.5" thickBot="1">
      <c r="A66" s="1458" t="s">
        <v>1194</v>
      </c>
      <c r="B66" s="1508">
        <v>121</v>
      </c>
      <c r="C66" s="1508">
        <v>122</v>
      </c>
      <c r="D66" s="1508">
        <f t="shared" si="119"/>
        <v>122</v>
      </c>
      <c r="E66" s="1508">
        <v>124</v>
      </c>
      <c r="F66" s="1509">
        <v>107</v>
      </c>
      <c r="G66" s="3409">
        <v>2004</v>
      </c>
      <c r="H66" s="1479">
        <v>4</v>
      </c>
      <c r="I66" s="1479">
        <v>0.33</v>
      </c>
      <c r="J66" s="1479">
        <v>0.5</v>
      </c>
      <c r="K66" s="1479">
        <v>0.5</v>
      </c>
      <c r="L66" s="1480">
        <v>0</v>
      </c>
      <c r="N66" s="1521">
        <f t="shared" ref="N66:O69" si="151">I66/SUM(I$66:I$69)*(B$66/B$70-1)</f>
        <v>1.3391770148526898E-2</v>
      </c>
      <c r="O66" s="1522">
        <f t="shared" si="151"/>
        <v>1.063264221158958E-2</v>
      </c>
      <c r="P66" s="1522">
        <f t="shared" ref="P66:Q69" si="152">K66/SUM(K$66:K$69)*(E$66/E$70-1)</f>
        <v>2.2244466688911134E-2</v>
      </c>
      <c r="Q66" s="1522">
        <f t="shared" si="152"/>
        <v>0</v>
      </c>
      <c r="R66" s="1471"/>
      <c r="S66" s="1472"/>
      <c r="T66" s="1473"/>
      <c r="U66" s="1473"/>
      <c r="V66" s="1473"/>
      <c r="X66" s="1523"/>
      <c r="Y66" s="1523"/>
      <c r="Z66" s="1523"/>
    </row>
    <row r="67" spans="1:26">
      <c r="A67" s="1458" t="s">
        <v>1195</v>
      </c>
      <c r="B67" s="1474">
        <f t="shared" ref="B67:C69" si="153">B68+(B$66-B$70)*I67/SUM(I$66:I$69)</f>
        <v>119.51351351351352</v>
      </c>
      <c r="C67" s="1474">
        <f t="shared" si="153"/>
        <v>120.7878787878788</v>
      </c>
      <c r="D67" s="1474">
        <f t="shared" si="119"/>
        <v>120.7878787878788</v>
      </c>
      <c r="E67" s="1474">
        <f t="shared" ref="E67:F69" si="154">E68+(E$66-E$70)*K67/SUM(K$66:K$69)</f>
        <v>121.5975975975976</v>
      </c>
      <c r="F67" s="1474">
        <f t="shared" si="154"/>
        <v>107</v>
      </c>
      <c r="G67" s="3410">
        <v>2004</v>
      </c>
      <c r="H67" s="1484">
        <v>3</v>
      </c>
      <c r="I67" s="1484">
        <v>0.56000000000000005</v>
      </c>
      <c r="J67" s="1484">
        <v>0.8</v>
      </c>
      <c r="K67" s="1484">
        <v>0.83</v>
      </c>
      <c r="L67" s="1485">
        <v>0.06</v>
      </c>
      <c r="N67" s="1521">
        <f t="shared" si="151"/>
        <v>2.2725428130833527E-2</v>
      </c>
      <c r="O67" s="1522">
        <f t="shared" si="151"/>
        <v>1.7012227538543329E-2</v>
      </c>
      <c r="P67" s="1522">
        <f t="shared" si="152"/>
        <v>3.6925814703592477E-2</v>
      </c>
      <c r="Q67" s="1522">
        <f t="shared" si="152"/>
        <v>2.8846153846153744E-2</v>
      </c>
      <c r="R67" s="1471"/>
      <c r="S67" s="1469"/>
      <c r="T67" s="1470"/>
      <c r="U67" s="1470"/>
      <c r="V67" s="1470"/>
      <c r="X67" s="1523"/>
      <c r="Y67" s="1523"/>
      <c r="Z67" s="1523"/>
    </row>
    <row r="68" spans="1:26">
      <c r="A68" s="1458" t="s">
        <v>1196</v>
      </c>
      <c r="B68" s="1474">
        <f t="shared" si="153"/>
        <v>116.99099099099099</v>
      </c>
      <c r="C68" s="1474">
        <f t="shared" si="153"/>
        <v>118.84848484848486</v>
      </c>
      <c r="D68" s="1474">
        <f t="shared" si="119"/>
        <v>118.84848484848486</v>
      </c>
      <c r="E68" s="1474">
        <f t="shared" si="154"/>
        <v>117.60960960960961</v>
      </c>
      <c r="F68" s="1474">
        <f t="shared" si="154"/>
        <v>104</v>
      </c>
      <c r="G68" s="3410">
        <v>2004</v>
      </c>
      <c r="H68" s="1462">
        <v>2</v>
      </c>
      <c r="I68" s="1462">
        <v>1</v>
      </c>
      <c r="J68" s="1462">
        <v>1.5</v>
      </c>
      <c r="K68" s="1462">
        <v>1.5</v>
      </c>
      <c r="L68" s="1476">
        <v>0</v>
      </c>
      <c r="N68" s="1521">
        <f t="shared" si="151"/>
        <v>4.0581121662202721E-2</v>
      </c>
      <c r="O68" s="1522">
        <f t="shared" si="151"/>
        <v>3.1897926634768738E-2</v>
      </c>
      <c r="P68" s="1522">
        <f t="shared" si="152"/>
        <v>6.6733400066733395E-2</v>
      </c>
      <c r="Q68" s="1522">
        <f t="shared" si="152"/>
        <v>0</v>
      </c>
      <c r="R68" s="1471"/>
      <c r="S68" s="1469"/>
      <c r="T68" s="1470"/>
      <c r="U68" s="1470"/>
      <c r="V68" s="1470"/>
      <c r="X68" s="1523"/>
      <c r="Y68" s="1523"/>
      <c r="Z68" s="1523"/>
    </row>
    <row r="69" spans="1:26" s="1514" customFormat="1" ht="13.5" thickBot="1">
      <c r="A69" s="1458" t="s">
        <v>1197</v>
      </c>
      <c r="B69" s="1511">
        <f t="shared" si="153"/>
        <v>112.48648648648648</v>
      </c>
      <c r="C69" s="1511">
        <f t="shared" si="153"/>
        <v>115.21212121212122</v>
      </c>
      <c r="D69" s="1511">
        <f t="shared" si="119"/>
        <v>115.21212121212122</v>
      </c>
      <c r="E69" s="1511">
        <f t="shared" si="154"/>
        <v>110.4024024024024</v>
      </c>
      <c r="F69" s="1511">
        <f t="shared" si="154"/>
        <v>104</v>
      </c>
      <c r="G69" s="3411">
        <v>2004</v>
      </c>
      <c r="H69" s="1512">
        <v>1</v>
      </c>
      <c r="I69" s="1512">
        <v>0.33</v>
      </c>
      <c r="J69" s="1512">
        <v>0.5</v>
      </c>
      <c r="K69" s="1512">
        <v>0.5</v>
      </c>
      <c r="L69" s="1513">
        <v>0</v>
      </c>
      <c r="N69" s="1526">
        <f t="shared" si="151"/>
        <v>1.3391770148526898E-2</v>
      </c>
      <c r="O69" s="1527">
        <f t="shared" si="151"/>
        <v>1.063264221158958E-2</v>
      </c>
      <c r="P69" s="1527">
        <f t="shared" si="152"/>
        <v>2.2244466688911134E-2</v>
      </c>
      <c r="Q69" s="1527">
        <f t="shared" si="152"/>
        <v>0</v>
      </c>
      <c r="R69" s="1517"/>
      <c r="S69" s="1515">
        <f>B69/B70-1</f>
        <v>1.3391770148526883E-2</v>
      </c>
      <c r="T69" s="1516">
        <f>C69/C70-1</f>
        <v>1.063264221158966E-2</v>
      </c>
      <c r="U69" s="1516">
        <f>E69/E70-1</f>
        <v>2.2244466688911224E-2</v>
      </c>
      <c r="V69" s="1516">
        <f>F69/F70-1</f>
        <v>0</v>
      </c>
      <c r="X69" s="1528"/>
      <c r="Y69" s="1528"/>
      <c r="Z69" s="1528"/>
    </row>
    <row r="70" spans="1:26" ht="13.5" thickBot="1">
      <c r="A70" s="1458" t="s">
        <v>1198</v>
      </c>
      <c r="B70" s="1529">
        <v>111</v>
      </c>
      <c r="C70" s="1529">
        <v>114</v>
      </c>
      <c r="D70" s="1529">
        <f t="shared" si="119"/>
        <v>114</v>
      </c>
      <c r="E70" s="1529">
        <v>108</v>
      </c>
      <c r="F70" s="1530">
        <v>104</v>
      </c>
      <c r="G70" s="3409">
        <v>2003</v>
      </c>
      <c r="H70" s="1519">
        <v>4</v>
      </c>
      <c r="I70" s="1531"/>
      <c r="J70" s="1531"/>
      <c r="K70" s="1531"/>
      <c r="L70" s="1531"/>
      <c r="N70" s="1532"/>
      <c r="O70" s="1531"/>
      <c r="P70" s="1531"/>
      <c r="Q70" s="1531"/>
      <c r="S70" s="1532"/>
      <c r="T70" s="1531"/>
      <c r="U70" s="1531"/>
      <c r="V70" s="1531"/>
      <c r="X70" s="1523"/>
      <c r="Y70" s="1523"/>
      <c r="Z70" s="1523"/>
    </row>
    <row r="71" spans="1:26">
      <c r="A71" s="1458" t="s">
        <v>1199</v>
      </c>
      <c r="B71" s="1533">
        <f t="shared" ref="B71:C73" si="155">B72+(B$70-B$74)/4</f>
        <v>109.75</v>
      </c>
      <c r="C71" s="1533">
        <f t="shared" si="155"/>
        <v>112.25</v>
      </c>
      <c r="D71" s="1533">
        <f t="shared" si="119"/>
        <v>112.25</v>
      </c>
      <c r="E71" s="1533">
        <f t="shared" ref="E71:F73" si="156">E72+(E$70-E$74)/4</f>
        <v>107.25</v>
      </c>
      <c r="F71" s="1533">
        <f t="shared" si="156"/>
        <v>103.5</v>
      </c>
      <c r="G71" s="3410">
        <v>2003</v>
      </c>
      <c r="H71" s="1484">
        <v>3</v>
      </c>
      <c r="I71" s="1531"/>
      <c r="J71" s="1531"/>
      <c r="K71" s="1531"/>
      <c r="L71" s="1531"/>
      <c r="X71" s="1523"/>
      <c r="Y71" s="1523"/>
      <c r="Z71" s="1523"/>
    </row>
    <row r="72" spans="1:26">
      <c r="A72" s="1458" t="s">
        <v>1200</v>
      </c>
      <c r="B72" s="1533">
        <f t="shared" si="155"/>
        <v>108.5</v>
      </c>
      <c r="C72" s="1533">
        <f t="shared" si="155"/>
        <v>110.5</v>
      </c>
      <c r="D72" s="1533">
        <f t="shared" si="119"/>
        <v>110.5</v>
      </c>
      <c r="E72" s="1533">
        <f t="shared" si="156"/>
        <v>106.5</v>
      </c>
      <c r="F72" s="1533">
        <f t="shared" si="156"/>
        <v>103</v>
      </c>
      <c r="G72" s="3410">
        <v>2003</v>
      </c>
      <c r="H72" s="1462">
        <v>2</v>
      </c>
      <c r="I72" s="1531"/>
      <c r="J72" s="1531"/>
      <c r="K72" s="1531"/>
      <c r="L72" s="1531"/>
      <c r="X72" s="1523"/>
      <c r="Y72" s="1523"/>
      <c r="Z72" s="1523"/>
    </row>
    <row r="73" spans="1:26" ht="13.5" thickBot="1">
      <c r="A73" s="1458" t="s">
        <v>1201</v>
      </c>
      <c r="B73" s="1533">
        <f t="shared" si="155"/>
        <v>107.25</v>
      </c>
      <c r="C73" s="1533">
        <f t="shared" si="155"/>
        <v>108.75</v>
      </c>
      <c r="D73" s="1533">
        <f t="shared" si="119"/>
        <v>108.75</v>
      </c>
      <c r="E73" s="1533">
        <f t="shared" si="156"/>
        <v>105.75</v>
      </c>
      <c r="F73" s="1533">
        <f t="shared" si="156"/>
        <v>102.5</v>
      </c>
      <c r="G73" s="3411">
        <v>2003</v>
      </c>
      <c r="H73" s="1534">
        <v>1</v>
      </c>
      <c r="I73" s="1531"/>
      <c r="J73" s="1531"/>
      <c r="K73" s="1531"/>
      <c r="L73" s="1531"/>
      <c r="S73" s="1469"/>
      <c r="T73" s="1470"/>
      <c r="U73" s="1470"/>
      <c r="X73" s="1523"/>
      <c r="Y73" s="1523"/>
      <c r="Z73" s="1523"/>
    </row>
    <row r="74" spans="1:26" ht="13.5" thickBot="1">
      <c r="A74" s="1458" t="s">
        <v>1202</v>
      </c>
      <c r="B74" s="1535">
        <v>106</v>
      </c>
      <c r="C74" s="1535">
        <v>107</v>
      </c>
      <c r="D74" s="1535">
        <f t="shared" si="119"/>
        <v>107</v>
      </c>
      <c r="E74" s="1535">
        <v>105</v>
      </c>
      <c r="F74" s="1536">
        <v>102</v>
      </c>
      <c r="G74" s="3409">
        <v>2002</v>
      </c>
      <c r="H74" s="1479">
        <v>4</v>
      </c>
      <c r="I74" s="1531"/>
      <c r="J74" s="1531"/>
      <c r="K74" s="1531"/>
      <c r="L74" s="1531"/>
      <c r="N74" s="1532"/>
      <c r="O74" s="1531"/>
      <c r="P74" s="1531"/>
      <c r="Q74" s="1531"/>
      <c r="S74" s="1532"/>
      <c r="T74" s="1531"/>
      <c r="U74" s="1531"/>
      <c r="V74" s="1531"/>
      <c r="X74" s="1523"/>
      <c r="Y74" s="1523"/>
      <c r="Z74" s="1523"/>
    </row>
    <row r="75" spans="1:26">
      <c r="A75" s="1458" t="s">
        <v>1203</v>
      </c>
      <c r="B75" s="1533">
        <f t="shared" ref="B75:C77" si="157">B76+(B$74-B$78)/4</f>
        <v>105</v>
      </c>
      <c r="C75" s="1533">
        <f t="shared" si="157"/>
        <v>106</v>
      </c>
      <c r="D75" s="1533">
        <f t="shared" si="119"/>
        <v>106</v>
      </c>
      <c r="E75" s="1533">
        <f t="shared" ref="E75:F77" si="158">E76+(E$74-E$78)/4</f>
        <v>104.5</v>
      </c>
      <c r="F75" s="1533">
        <f t="shared" si="158"/>
        <v>101.5</v>
      </c>
      <c r="G75" s="3410">
        <v>2002</v>
      </c>
      <c r="H75" s="1484">
        <v>3</v>
      </c>
      <c r="I75" s="1531"/>
      <c r="J75" s="1531"/>
      <c r="K75" s="1531"/>
      <c r="L75" s="1531"/>
      <c r="X75" s="1523"/>
      <c r="Y75" s="1523"/>
      <c r="Z75" s="1523"/>
    </row>
    <row r="76" spans="1:26">
      <c r="A76" s="1458" t="s">
        <v>1204</v>
      </c>
      <c r="B76" s="1533">
        <f t="shared" si="157"/>
        <v>104</v>
      </c>
      <c r="C76" s="1533">
        <f t="shared" si="157"/>
        <v>105</v>
      </c>
      <c r="D76" s="1533">
        <f t="shared" si="119"/>
        <v>105</v>
      </c>
      <c r="E76" s="1533">
        <f t="shared" si="158"/>
        <v>104</v>
      </c>
      <c r="F76" s="1533">
        <f t="shared" si="158"/>
        <v>101</v>
      </c>
      <c r="G76" s="3410">
        <v>2002</v>
      </c>
      <c r="H76" s="1462">
        <v>2</v>
      </c>
      <c r="I76" s="1531"/>
      <c r="J76" s="1531"/>
      <c r="K76" s="1531"/>
      <c r="L76" s="1531"/>
      <c r="X76" s="1523"/>
      <c r="Y76" s="1523"/>
      <c r="Z76" s="1523"/>
    </row>
    <row r="77" spans="1:26" s="1495" customFormat="1" ht="13.5" thickBot="1">
      <c r="A77" s="1491" t="s">
        <v>1205</v>
      </c>
      <c r="B77" s="1537">
        <f t="shared" si="157"/>
        <v>103</v>
      </c>
      <c r="C77" s="1537">
        <f t="shared" si="157"/>
        <v>104</v>
      </c>
      <c r="D77" s="1537">
        <f t="shared" si="119"/>
        <v>104</v>
      </c>
      <c r="E77" s="1537">
        <f t="shared" si="158"/>
        <v>103.5</v>
      </c>
      <c r="F77" s="1537">
        <f t="shared" si="158"/>
        <v>100.5</v>
      </c>
      <c r="G77" s="3411">
        <v>2002</v>
      </c>
      <c r="H77" s="1538">
        <v>1</v>
      </c>
      <c r="I77" s="1539"/>
      <c r="J77" s="1539"/>
      <c r="K77" s="1539"/>
      <c r="L77" s="1539"/>
      <c r="N77" s="1540"/>
      <c r="S77" s="1540"/>
      <c r="X77" s="1541"/>
      <c r="Y77" s="1541"/>
      <c r="Z77" s="1541"/>
    </row>
    <row r="78" spans="1:26" ht="13.5" thickBot="1">
      <c r="B78" s="1542">
        <v>102</v>
      </c>
      <c r="C78" s="1543">
        <v>103</v>
      </c>
      <c r="D78" s="1543">
        <f t="shared" si="119"/>
        <v>103</v>
      </c>
      <c r="E78" s="1543">
        <v>103</v>
      </c>
      <c r="F78" s="1544">
        <v>100</v>
      </c>
      <c r="I78" s="1531"/>
      <c r="J78" s="1531"/>
      <c r="K78" s="1531"/>
      <c r="L78" s="1531"/>
      <c r="N78" s="1532"/>
      <c r="O78" s="1531"/>
      <c r="P78" s="1531"/>
      <c r="Q78" s="1531"/>
      <c r="S78" s="1532"/>
      <c r="T78" s="1531"/>
      <c r="U78" s="1531"/>
      <c r="V78" s="1531"/>
      <c r="X78" s="1473"/>
      <c r="Y78" s="1473"/>
      <c r="Z78" s="1473"/>
    </row>
    <row r="80" spans="1:26" s="1546" customFormat="1">
      <c r="A80" s="1545" t="s">
        <v>1206</v>
      </c>
      <c r="G80" s="1547"/>
      <c r="N80" s="1547"/>
      <c r="S80" s="1547"/>
    </row>
    <row r="81" spans="1:22" s="1546" customFormat="1">
      <c r="A81" s="1546" t="s">
        <v>1207</v>
      </c>
      <c r="G81" s="1547"/>
      <c r="N81" s="1547"/>
      <c r="S81" s="1547"/>
    </row>
    <row r="82" spans="1:22" s="1546" customFormat="1">
      <c r="A82" s="1546" t="s">
        <v>1208</v>
      </c>
      <c r="G82" s="1547"/>
      <c r="I82" s="1548"/>
      <c r="J82" s="1548"/>
      <c r="K82" s="1548"/>
      <c r="L82" s="1548"/>
      <c r="N82" s="1549"/>
      <c r="O82" s="1548"/>
      <c r="P82" s="1548"/>
      <c r="Q82" s="1548"/>
      <c r="S82" s="1549"/>
      <c r="T82" s="1548"/>
      <c r="U82" s="1548"/>
      <c r="V82" s="1548"/>
    </row>
    <row r="83" spans="1:22" s="1546" customFormat="1">
      <c r="A83" s="1546" t="s">
        <v>1209</v>
      </c>
      <c r="G83" s="1547"/>
      <c r="N83" s="1547"/>
      <c r="S83" s="1547"/>
    </row>
    <row r="90" spans="1:22" ht="13.5" thickBot="1"/>
    <row r="91" spans="1:22">
      <c r="G91" s="1468"/>
      <c r="S91" s="1550" t="s">
        <v>1210</v>
      </c>
      <c r="T91" s="1551" t="s">
        <v>1211</v>
      </c>
      <c r="U91" s="1551" t="s">
        <v>1212</v>
      </c>
      <c r="V91" s="1551" t="s">
        <v>1213</v>
      </c>
    </row>
    <row r="92" spans="1:22">
      <c r="G92" s="1468"/>
      <c r="N92" s="1472"/>
      <c r="O92" s="1473"/>
      <c r="P92" s="1473"/>
      <c r="Q92" s="1473"/>
      <c r="S92" s="1552">
        <v>2006</v>
      </c>
      <c r="T92" s="1553">
        <v>15.1</v>
      </c>
      <c r="U92" s="1553">
        <v>7.43</v>
      </c>
      <c r="V92" s="1553">
        <v>26.26</v>
      </c>
    </row>
    <row r="93" spans="1:22">
      <c r="G93" s="1468"/>
      <c r="N93" s="1472"/>
      <c r="O93" s="1473"/>
      <c r="P93" s="1473"/>
      <c r="Q93" s="1473"/>
      <c r="S93" s="1554">
        <v>2005</v>
      </c>
      <c r="T93" s="1555">
        <v>13.9</v>
      </c>
      <c r="U93" s="1555">
        <v>7.49</v>
      </c>
      <c r="V93" s="1555">
        <v>24.92</v>
      </c>
    </row>
    <row r="94" spans="1:22">
      <c r="G94" s="1468"/>
      <c r="N94" s="1472"/>
      <c r="O94" s="1473"/>
      <c r="P94" s="1473"/>
      <c r="Q94" s="1473"/>
      <c r="S94" s="1552">
        <v>2004</v>
      </c>
      <c r="T94" s="1553">
        <v>9.48</v>
      </c>
      <c r="U94" s="1553">
        <v>7.2</v>
      </c>
      <c r="V94" s="1553">
        <v>14.68</v>
      </c>
    </row>
    <row r="95" spans="1:22">
      <c r="G95" s="1468"/>
      <c r="N95" s="1472"/>
      <c r="O95" s="1473"/>
      <c r="P95" s="1473"/>
      <c r="Q95" s="1473"/>
      <c r="S95" s="1554">
        <v>2003</v>
      </c>
      <c r="T95" s="1555">
        <v>4.5</v>
      </c>
      <c r="U95" s="1555">
        <v>6.12</v>
      </c>
      <c r="V95" s="1555">
        <v>2.34</v>
      </c>
    </row>
    <row r="96" spans="1:22" ht="13.5" thickBot="1">
      <c r="G96" s="1468"/>
      <c r="N96" s="1472"/>
      <c r="O96" s="1473"/>
      <c r="P96" s="1473"/>
      <c r="Q96" s="1473"/>
      <c r="S96" s="1556">
        <v>2002</v>
      </c>
      <c r="T96" s="1557">
        <v>3.59</v>
      </c>
      <c r="U96" s="1557">
        <v>4.54</v>
      </c>
      <c r="V96" s="1557">
        <v>2.5499999999999998</v>
      </c>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row r="112" spans="7:19">
      <c r="G112" s="1468"/>
      <c r="N112" s="1472"/>
      <c r="O112" s="1473"/>
      <c r="P112" s="1473"/>
      <c r="Q112" s="1473"/>
      <c r="S112" s="1468"/>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2991</v>
      </c>
      <c r="C1" s="3419" t="s">
        <v>2992</v>
      </c>
      <c r="D1" s="3420"/>
      <c r="E1" s="3420"/>
      <c r="F1" s="3420"/>
      <c r="G1" s="3420"/>
      <c r="H1" s="3420"/>
      <c r="I1" s="3420"/>
      <c r="J1" s="3420"/>
      <c r="K1" s="3420"/>
      <c r="L1" s="3420"/>
      <c r="M1" s="3420"/>
      <c r="N1" s="3420"/>
      <c r="O1" s="3420"/>
      <c r="P1" s="3420"/>
      <c r="Q1" s="3420"/>
      <c r="R1" s="3420"/>
      <c r="S1" s="3421"/>
      <c r="T1" s="1201" t="s">
        <v>2993</v>
      </c>
    </row>
    <row r="2" spans="1:45" s="707" customFormat="1">
      <c r="A2" s="1202"/>
      <c r="B2" s="703" t="s">
        <v>2994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2995</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2996</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2997</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2998</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2999</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3000</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3001</v>
      </c>
      <c r="B17" s="2901" t="s">
        <v>3002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02" t="s">
        <v>3003</v>
      </c>
      <c r="E19" s="1789"/>
      <c r="F19" s="1789"/>
      <c r="G19" s="1789"/>
      <c r="H19" s="1277"/>
      <c r="I19" s="168"/>
      <c r="J19" s="168"/>
      <c r="K19" s="168"/>
      <c r="L19" s="168"/>
      <c r="M19" s="168"/>
      <c r="N19" s="168"/>
      <c r="O19" s="168"/>
      <c r="P19" s="168"/>
      <c r="Q19" s="168"/>
      <c r="R19" s="788"/>
      <c r="S19" s="138"/>
    </row>
    <row r="20" spans="1:45" ht="16.5" thickBot="1">
      <c r="A20" s="715" t="s">
        <v>3004</v>
      </c>
      <c r="B20" s="338" t="e">
        <f ca="1">IF(D20="——",S22,S22-F20)</f>
        <v>#REF!</v>
      </c>
      <c r="C20" s="168"/>
      <c r="D20" s="2903" t="s">
        <v>3005</v>
      </c>
      <c r="E20" s="1790"/>
      <c r="F20" s="1201" t="e">
        <f ca="1">SUMIF(INDIRECT("'"&amp;H20&amp;"'"&amp;"!A:A"),"承租人权益价值",INDIRECT("'"&amp;H20&amp;"'"&amp;"!c:c"))</f>
        <v>#REF!</v>
      </c>
      <c r="G20" s="1201" t="s">
        <v>3006</v>
      </c>
      <c r="H20" s="2904"/>
      <c r="I20" s="168"/>
      <c r="J20" s="168"/>
      <c r="K20" s="168"/>
      <c r="L20" s="168"/>
      <c r="M20" s="168"/>
      <c r="N20" s="168"/>
      <c r="O20" s="168"/>
      <c r="P20" s="168"/>
      <c r="Q20" s="168"/>
      <c r="R20" s="788"/>
      <c r="S20" s="138"/>
    </row>
    <row r="21" spans="1:45" ht="15.75">
      <c r="A21" s="715" t="s">
        <v>3007</v>
      </c>
      <c r="B21" s="338">
        <f>R22</f>
        <v>10000</v>
      </c>
      <c r="C21" s="168"/>
      <c r="D21" s="168"/>
      <c r="E21" s="168"/>
      <c r="F21" s="168"/>
      <c r="G21" s="168"/>
      <c r="H21" s="168"/>
      <c r="I21" s="168"/>
      <c r="J21" s="168"/>
      <c r="K21" s="168"/>
      <c r="L21" s="168"/>
      <c r="M21" s="168"/>
      <c r="N21" s="168"/>
      <c r="O21" s="168"/>
      <c r="P21" s="168"/>
      <c r="Q21" s="168"/>
      <c r="R21" s="788"/>
      <c r="S21" s="138"/>
    </row>
    <row r="22" spans="1:45">
      <c r="A22" s="361" t="s">
        <v>3008</v>
      </c>
      <c r="B22" s="24">
        <f>SUM(B24:B10000)</f>
        <v>100</v>
      </c>
      <c r="C22" s="3165" t="s">
        <v>33</v>
      </c>
      <c r="D22" s="3166"/>
      <c r="E22" s="3166"/>
      <c r="F22" s="3166"/>
      <c r="G22" s="3166"/>
      <c r="H22" s="3166"/>
      <c r="I22" s="3166"/>
      <c r="J22" s="3166"/>
      <c r="K22" s="3166"/>
      <c r="L22" s="3166"/>
      <c r="M22" s="3166"/>
      <c r="N22" s="3166"/>
      <c r="O22" s="3166"/>
      <c r="P22" s="3166"/>
      <c r="Q22" s="3418"/>
      <c r="R22" s="716">
        <f>ROUND(S22*10000/B22,0)</f>
        <v>10000</v>
      </c>
      <c r="S22" s="24">
        <f>SUM(S24:S10000)</f>
        <v>100</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7" t="s">
        <v>3012</v>
      </c>
      <c r="S23" s="11" t="s">
        <v>3013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60716</v>
      </c>
      <c r="C2" s="2" t="s">
        <v>133</v>
      </c>
      <c r="D2" s="243"/>
      <c r="E2" s="243"/>
      <c r="F2" s="243"/>
      <c r="G2" s="243"/>
    </row>
    <row r="3" spans="1:7" s="244" customFormat="1" ht="18" customHeight="1" thickBot="1">
      <c r="A3" s="247" t="s">
        <v>85</v>
      </c>
      <c r="B3" s="248">
        <f ca="1">ROUND(B2*10000/'数据-汇总表'!E3,0)</f>
        <v>5053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20810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810</v>
      </c>
      <c r="D7" s="264"/>
      <c r="E7" s="262"/>
      <c r="F7" s="265">
        <f>'数据-取费表'!B48+'数据-取费表'!B49</f>
        <v>4.0500000000000001E-2</v>
      </c>
      <c r="G7" s="263"/>
    </row>
    <row r="8" spans="1:7" s="267" customFormat="1">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435</v>
      </c>
      <c r="D9" s="1029">
        <f>'数据-汇总表'!E5</f>
        <v>25608.019999999997</v>
      </c>
      <c r="E9" s="269">
        <f>'数据-取费表'!B27</f>
        <v>170</v>
      </c>
      <c r="F9" s="265"/>
      <c r="G9" s="270"/>
    </row>
    <row r="10" spans="1:7" s="258" customFormat="1" ht="13.5" customHeight="1">
      <c r="A10" s="947" t="s">
        <v>801</v>
      </c>
      <c r="B10" s="268" t="s">
        <v>94</v>
      </c>
      <c r="C10" s="269">
        <f>ROUND(D10*E10/10000,0)</f>
        <v>1607</v>
      </c>
      <c r="D10" s="1029">
        <f>'数据-汇总表'!E6</f>
        <v>94556.359999999986</v>
      </c>
      <c r="E10" s="269">
        <f>'数据-取费表'!B28</f>
        <v>170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2403</v>
      </c>
      <c r="D19" s="1033">
        <f>'数据-汇总表'!E3</f>
        <v>120164.37999999998</v>
      </c>
      <c r="E19" s="255">
        <f>'数据-取费表'!B31</f>
        <v>200</v>
      </c>
      <c r="F19" s="275"/>
      <c r="G19" s="1" t="s">
        <v>1070</v>
      </c>
    </row>
    <row r="20" spans="1:7" s="258" customFormat="1" ht="13.5" customHeight="1">
      <c r="A20" s="945" t="s">
        <v>1053</v>
      </c>
      <c r="B20" s="254" t="s">
        <v>104</v>
      </c>
      <c r="C20" s="276">
        <f>ROUND((C5+C19)*F20,0)</f>
        <v>464</v>
      </c>
      <c r="D20" s="276"/>
      <c r="E20" s="276"/>
      <c r="F20" s="277">
        <f>'数据-取费表'!B37</f>
        <v>0.02</v>
      </c>
      <c r="G20" s="1286" t="s">
        <v>1064</v>
      </c>
    </row>
    <row r="21" spans="1:7" s="258" customFormat="1" ht="13.5" customHeight="1">
      <c r="A21" s="945" t="s">
        <v>1055</v>
      </c>
      <c r="B21" s="254" t="s">
        <v>105</v>
      </c>
      <c r="C21" s="279">
        <f>F21</f>
        <v>0.03</v>
      </c>
      <c r="D21" s="280" t="s">
        <v>126</v>
      </c>
      <c r="E21" s="276"/>
      <c r="F21" s="277">
        <f>'数据-取费表'!B38</f>
        <v>0.03</v>
      </c>
      <c r="G21" s="278" t="s">
        <v>106</v>
      </c>
    </row>
    <row r="22" spans="1:7" s="258" customFormat="1" ht="13.5" customHeight="1">
      <c r="A22" s="945" t="s">
        <v>786</v>
      </c>
      <c r="B22" s="254" t="s">
        <v>107</v>
      </c>
      <c r="C22" s="1351">
        <f ca="1">ROUND(SUM(C23:C25),0)</f>
        <v>2280</v>
      </c>
      <c r="D22" s="279">
        <f ca="1">C26</f>
        <v>1.4E-3</v>
      </c>
      <c r="E22" s="280" t="s">
        <v>126</v>
      </c>
      <c r="F22" s="281">
        <f ca="1">'数据-取费表'!B40</f>
        <v>4.7500000000000001E-2</v>
      </c>
      <c r="G22" s="1286" t="str">
        <f>IF('数据-取费表'!B22&lt;=1,"单利计息","复利计息")</f>
        <v>复利计息</v>
      </c>
    </row>
    <row r="23" spans="1:7" s="258" customFormat="1" ht="13.5" customHeight="1">
      <c r="A23" s="948" t="s">
        <v>794</v>
      </c>
      <c r="B23" s="259" t="s">
        <v>1057</v>
      </c>
      <c r="C23" s="1352">
        <f ca="1">ROUND(IF('数据-取费表'!B22&lt;=1,C5*F22*'数据-取费表'!B23,C5*(POWER((1+F22),'数据-取费表'!B23)-1)),0)</f>
        <v>2024</v>
      </c>
      <c r="D23" s="282"/>
      <c r="E23" s="282"/>
      <c r="F23" s="283"/>
      <c r="G23" s="284" t="s">
        <v>108</v>
      </c>
    </row>
    <row r="24" spans="1:7" s="258" customFormat="1" ht="13.5" customHeight="1">
      <c r="A24" s="948" t="s">
        <v>792</v>
      </c>
      <c r="B24" s="259" t="s">
        <v>1052</v>
      </c>
      <c r="C24" s="1352">
        <f ca="1">ROUND(IF('数据-取费表'!B22&lt;=1,C19*F22*('数据-取费表'!B19/2+'数据-取费表'!B21),C19*(POWER((1+F22),('数据-取费表'!B19/2+'数据-取费表'!B21))-1)),0)</f>
        <v>234</v>
      </c>
      <c r="D24" s="282"/>
      <c r="E24" s="282"/>
      <c r="F24" s="283"/>
      <c r="G24" s="284" t="s">
        <v>109</v>
      </c>
    </row>
    <row r="25" spans="1:7" s="258" customFormat="1" ht="24">
      <c r="A25" s="948" t="s">
        <v>793</v>
      </c>
      <c r="B25" s="259" t="s">
        <v>1054</v>
      </c>
      <c r="C25" s="1352">
        <f ca="1">ROUND(IF('数据-取费表'!B22&lt;=1,C20*F22*'数据-取费表'!B23/2,C20*(POWER((1+F22),'数据-取费表'!B23/2)-1)),0)</f>
        <v>22</v>
      </c>
      <c r="D25" s="282"/>
      <c r="E25" s="285"/>
      <c r="F25" s="283"/>
      <c r="G25" s="286" t="s">
        <v>110</v>
      </c>
    </row>
    <row r="26" spans="1:7" s="258" customFormat="1">
      <c r="A26" s="948" t="s">
        <v>795</v>
      </c>
      <c r="B26" s="259" t="s">
        <v>1056</v>
      </c>
      <c r="C26" s="282">
        <f ca="1">ROUND(IF('数据-取费表'!B22&lt;=1,F21*F22*'数据-取费表'!B23/2,F21*(POWER((1+F22),'数据-取费表'!B23/2)-1)),4)</f>
        <v>1.4E-3</v>
      </c>
      <c r="D26" s="282"/>
      <c r="E26" s="285"/>
      <c r="F26" s="283"/>
      <c r="G26" s="287"/>
    </row>
    <row r="27" spans="1:7" s="258" customFormat="1" ht="24.75">
      <c r="A27" s="945" t="s">
        <v>787</v>
      </c>
      <c r="B27" s="288" t="s">
        <v>112</v>
      </c>
      <c r="C27" s="289">
        <f>C28</f>
        <v>2210</v>
      </c>
      <c r="D27" s="279">
        <f>C29</f>
        <v>2.8E-3</v>
      </c>
      <c r="E27" s="280" t="s">
        <v>126</v>
      </c>
      <c r="F27" s="290">
        <f>'数据-取费表'!Q16</f>
        <v>0.14000000000000001</v>
      </c>
      <c r="G27" s="291" t="s">
        <v>1065</v>
      </c>
    </row>
    <row r="28" spans="1:7" s="258" customFormat="1" ht="13.5" customHeight="1">
      <c r="A28" s="948" t="s">
        <v>794</v>
      </c>
      <c r="B28" s="292" t="s">
        <v>1058</v>
      </c>
      <c r="C28" s="293">
        <f>ROUND((C5+C19+C20)*F27*'数据-取费表'!B21/'数据-取费表'!B20,0)</f>
        <v>2210</v>
      </c>
      <c r="D28" s="279"/>
      <c r="E28" s="280"/>
      <c r="F28" s="290"/>
      <c r="G28" s="291"/>
    </row>
    <row r="29" spans="1:7" s="258" customFormat="1" ht="13.5" customHeight="1">
      <c r="A29" s="948" t="s">
        <v>792</v>
      </c>
      <c r="B29" s="292" t="s">
        <v>1059</v>
      </c>
      <c r="C29" s="282">
        <f>ROUND(C21*F27*'数据-取费表'!B21/'数据-取费表'!B20,4)</f>
        <v>2.8E-3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30869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22451</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19727</v>
      </c>
      <c r="D34" s="261"/>
      <c r="E34" s="264"/>
      <c r="F34" s="301">
        <f>IF('数据-取费表'!B24=0,1,'数据-取费表'!N16)</f>
        <v>0.6</v>
      </c>
      <c r="G34" s="263" t="s">
        <v>116</v>
      </c>
    </row>
    <row r="35" spans="1:7" ht="13.5" customHeight="1">
      <c r="A35" s="948" t="s">
        <v>796</v>
      </c>
      <c r="B35" s="259" t="s">
        <v>60</v>
      </c>
      <c r="C35" s="264">
        <f>ROUND(C34*F35,0)</f>
        <v>986</v>
      </c>
      <c r="D35" s="264"/>
      <c r="E35" s="264"/>
      <c r="F35" s="303">
        <f>'数据-取费表'!B33</f>
        <v>0.05</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1442</v>
      </c>
      <c r="D37" s="261">
        <f>'数据-汇总表'!E3</f>
        <v>120164.37999999998</v>
      </c>
      <c r="E37" s="293">
        <f>'数据-取费表'!B35</f>
        <v>200</v>
      </c>
      <c r="F37" s="303"/>
      <c r="G37" s="305" t="s">
        <v>119</v>
      </c>
    </row>
    <row r="38" spans="1:7" ht="13.5" customHeight="1">
      <c r="A38" s="948" t="s">
        <v>799</v>
      </c>
      <c r="B38" s="259" t="s">
        <v>63</v>
      </c>
      <c r="C38" s="264">
        <f>ROUND(C34*F38,0)</f>
        <v>296</v>
      </c>
      <c r="D38" s="264"/>
      <c r="E38" s="264"/>
      <c r="F38" s="303">
        <f>'数据-取费表'!B36</f>
        <v>1.4999999999999999E-2</v>
      </c>
      <c r="G38" s="263" t="s">
        <v>117</v>
      </c>
    </row>
    <row r="39" spans="1:7" s="258" customFormat="1" ht="13.5" customHeight="1">
      <c r="A39" s="945" t="s">
        <v>783</v>
      </c>
      <c r="B39" s="254" t="s">
        <v>104</v>
      </c>
      <c r="C39" s="276">
        <f>ROUND(C33*F20,0)</f>
        <v>449</v>
      </c>
      <c r="D39" s="276"/>
      <c r="E39" s="276"/>
      <c r="F39" s="277"/>
      <c r="G39" s="1286" t="s">
        <v>1067</v>
      </c>
    </row>
    <row r="40" spans="1:7" s="258" customFormat="1" ht="13.5" customHeight="1">
      <c r="A40" s="945" t="s">
        <v>784</v>
      </c>
      <c r="B40" s="254" t="s">
        <v>105</v>
      </c>
      <c r="C40" s="306">
        <f>F21</f>
        <v>0.03</v>
      </c>
      <c r="D40" s="280" t="s">
        <v>129</v>
      </c>
      <c r="E40" s="276"/>
      <c r="F40" s="277"/>
      <c r="G40" s="278" t="s">
        <v>120</v>
      </c>
    </row>
    <row r="41" spans="1:7" s="258" customFormat="1" ht="13.5" customHeight="1">
      <c r="A41" s="945" t="s">
        <v>785</v>
      </c>
      <c r="B41" s="254" t="s">
        <v>107</v>
      </c>
      <c r="C41" s="276">
        <f ca="1">ROUND(SUM(C42:C43),0)</f>
        <v>1087</v>
      </c>
      <c r="D41" s="279">
        <f ca="1">C44</f>
        <v>1.4E-3</v>
      </c>
      <c r="E41" s="280" t="s">
        <v>129</v>
      </c>
      <c r="F41" s="281"/>
      <c r="G41" s="1286" t="str">
        <f>IF('数据-取费表'!B22&lt;=1,"单利计息","复利计息")</f>
        <v>复利计息</v>
      </c>
    </row>
    <row r="42" spans="1:7" ht="13.5" customHeight="1">
      <c r="A42" s="948" t="s">
        <v>794</v>
      </c>
      <c r="B42" s="259" t="s">
        <v>1057</v>
      </c>
      <c r="C42" s="282">
        <f ca="1">ROUND(IF('数据-取费表'!B22&lt;=1,C33*F22*'数据-取费表'!B21/2,C33*(POWER((1+F22),'数据-取费表'!B21/2)-1)),0)</f>
        <v>1066</v>
      </c>
      <c r="D42" s="282"/>
      <c r="E42" s="282"/>
      <c r="F42" s="283"/>
      <c r="G42" s="3276" t="s">
        <v>121</v>
      </c>
    </row>
    <row r="43" spans="1:7" ht="13.5" customHeight="1">
      <c r="A43" s="948" t="s">
        <v>792</v>
      </c>
      <c r="B43" s="259" t="s">
        <v>1060</v>
      </c>
      <c r="C43" s="282">
        <f ca="1">ROUND(IF('数据-取费表'!B22&lt;=1,C39*F22*'数据-取费表'!B21/2,C39*(POWER((1+F22),'数据-取费表'!B21/2)-1)),0)</f>
        <v>21</v>
      </c>
      <c r="D43" s="282"/>
      <c r="E43" s="282"/>
      <c r="F43" s="283"/>
      <c r="G43" s="3277"/>
    </row>
    <row r="44" spans="1:7" ht="13.5" customHeight="1">
      <c r="A44" s="948" t="s">
        <v>793</v>
      </c>
      <c r="B44" s="259" t="s">
        <v>1062</v>
      </c>
      <c r="C44" s="282">
        <f ca="1">ROUND(IF('数据-取费表'!B22&lt;=1,C40*F22*'数据-取费表'!B21/2,C40*(POWER((1+F22),'数据-取费表'!B21/2)-1)),4)</f>
        <v>1.4E-3</v>
      </c>
      <c r="D44" s="282"/>
      <c r="E44" s="282"/>
      <c r="F44" s="283"/>
      <c r="G44" s="3278"/>
    </row>
    <row r="45" spans="1:7" s="258" customFormat="1" ht="13.5" customHeight="1">
      <c r="A45" s="945" t="s">
        <v>786</v>
      </c>
      <c r="B45" s="288" t="s">
        <v>112</v>
      </c>
      <c r="C45" s="289">
        <f>C46</f>
        <v>3206</v>
      </c>
      <c r="D45" s="279">
        <f>C47</f>
        <v>4.1999999999999997E-3</v>
      </c>
      <c r="E45" s="280" t="s">
        <v>129</v>
      </c>
      <c r="F45" s="290"/>
      <c r="G45" s="291" t="s">
        <v>1068</v>
      </c>
    </row>
    <row r="46" spans="1:7" s="258" customFormat="1" ht="13.5" customHeight="1">
      <c r="A46" s="948" t="s">
        <v>794</v>
      </c>
      <c r="B46" s="292" t="s">
        <v>1061</v>
      </c>
      <c r="C46" s="293">
        <f>ROUND((C33+C39)*F27,0)</f>
        <v>3206</v>
      </c>
      <c r="D46" s="307"/>
      <c r="E46" s="280"/>
      <c r="F46" s="290"/>
      <c r="G46" s="291"/>
    </row>
    <row r="47" spans="1:7" s="258" customFormat="1" ht="13.5" customHeight="1">
      <c r="A47" s="948" t="s">
        <v>792</v>
      </c>
      <c r="B47" s="292" t="s">
        <v>1063</v>
      </c>
      <c r="C47" s="282">
        <f>ROUND(C40*F27,4)</f>
        <v>4.1999999999999997E-3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29847</v>
      </c>
      <c r="D49" s="276"/>
      <c r="E49" s="276"/>
      <c r="F49" s="308"/>
      <c r="G49" s="278" t="s">
        <v>1069</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29847</v>
      </c>
      <c r="D51" s="276"/>
      <c r="E51" s="276"/>
      <c r="F51" s="308"/>
      <c r="G51" s="278" t="s">
        <v>64</v>
      </c>
    </row>
    <row r="52" spans="1:7" s="252" customFormat="1" ht="16.5" thickBot="1">
      <c r="A52" s="309" t="s">
        <v>65</v>
      </c>
      <c r="B52" s="310"/>
      <c r="C52" s="311">
        <f ca="1">C31+C51</f>
        <v>60716</v>
      </c>
      <c r="D52" s="310"/>
      <c r="E52" s="310"/>
      <c r="F52" s="310"/>
      <c r="G52" s="312"/>
    </row>
    <row r="55" spans="1:7" ht="15">
      <c r="B55" s="314" t="s">
        <v>66</v>
      </c>
      <c r="C55" s="315"/>
    </row>
    <row r="56" spans="1:7">
      <c r="B56" s="317" t="s">
        <v>67</v>
      </c>
      <c r="C56" s="318">
        <f ca="1">ROUND(C51/C52,3)</f>
        <v>0.49199999999999999</v>
      </c>
    </row>
    <row r="57" spans="1:7">
      <c r="B57" s="317" t="s">
        <v>68</v>
      </c>
      <c r="C57" s="319">
        <f ca="1">1-C56</f>
        <v>0.50800000000000001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422" t="s">
        <v>156</v>
      </c>
      <c r="B1" s="3422"/>
      <c r="C1" s="3422"/>
      <c r="D1" s="3422"/>
      <c r="E1" s="3422"/>
      <c r="F1" s="3422"/>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423" t="s">
        <v>169</v>
      </c>
      <c r="B2" s="3423"/>
      <c r="C2" s="3423"/>
      <c r="D2" s="3423"/>
      <c r="E2" s="3423"/>
      <c r="F2" s="3423"/>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24"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25"/>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422" t="s">
        <v>867</v>
      </c>
      <c r="B1" s="3422"/>
    </row>
    <row r="2" spans="1:6" ht="14.25" thickBot="1">
      <c r="A2" s="1054"/>
      <c r="B2" s="1054"/>
    </row>
    <row r="3" spans="1:6" ht="14.25" thickBot="1">
      <c r="A3" s="1054"/>
      <c r="B3" s="1054"/>
      <c r="C3" s="1058" t="s">
        <v>870</v>
      </c>
      <c r="D3" s="1058" t="s">
        <v>871</v>
      </c>
      <c r="E3" s="1058" t="s">
        <v>872</v>
      </c>
      <c r="F3" s="1058" t="s">
        <v>873</v>
      </c>
    </row>
    <row r="4" spans="1:6" ht="14.25" thickBot="1">
      <c r="A4" s="1056" t="s">
        <v>868</v>
      </c>
      <c r="B4" s="1057" t="s">
        <v>869</v>
      </c>
      <c r="C4" s="1058"/>
      <c r="D4" s="1058"/>
      <c r="E4" s="1058"/>
      <c r="F4" s="1058"/>
    </row>
    <row r="5" spans="1:6" ht="14.25" thickBot="1">
      <c r="A5" s="837" t="s">
        <v>874</v>
      </c>
      <c r="B5" s="838" t="s">
        <v>875</v>
      </c>
      <c r="C5" s="1059">
        <v>8.8999999999999996E-2</v>
      </c>
      <c r="D5" s="1059">
        <v>7.3999999999999996E-2</v>
      </c>
      <c r="E5" s="1059">
        <v>7.4999999999999997E-2</v>
      </c>
      <c r="F5" s="1060">
        <v>0.1</v>
      </c>
    </row>
    <row r="6" spans="1:6" ht="14.25" thickBot="1">
      <c r="A6" s="837" t="s">
        <v>212</v>
      </c>
      <c r="B6" s="831" t="s">
        <v>876</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877</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878</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879</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880</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881</v>
      </c>
      <c r="C72" s="1074"/>
      <c r="D72" s="1074"/>
      <c r="E72" s="1074"/>
      <c r="F72" s="1062">
        <v>0.05</v>
      </c>
    </row>
    <row r="73" spans="1:6" ht="14.25" thickBot="1">
      <c r="A73" s="837" t="s">
        <v>137</v>
      </c>
      <c r="B73" s="831" t="s">
        <v>882</v>
      </c>
      <c r="C73" s="1074"/>
      <c r="D73" s="1074"/>
      <c r="E73" s="1074"/>
      <c r="F73" s="1062">
        <v>0.05</v>
      </c>
    </row>
    <row r="74" spans="1:6" ht="14.25" thickBot="1">
      <c r="A74" s="837" t="s">
        <v>137</v>
      </c>
      <c r="B74" s="831" t="s">
        <v>883</v>
      </c>
      <c r="C74" s="1074"/>
      <c r="D74" s="1074"/>
      <c r="E74" s="1074"/>
      <c r="F74" s="1062">
        <v>0.05</v>
      </c>
    </row>
    <row r="75" spans="1:6" ht="14.25" thickBot="1">
      <c r="A75" s="847" t="s">
        <v>137</v>
      </c>
      <c r="B75" s="843" t="s">
        <v>884</v>
      </c>
      <c r="C75" s="1071"/>
      <c r="D75" s="1071"/>
      <c r="E75" s="1071"/>
      <c r="F75" s="1064">
        <v>0.05</v>
      </c>
    </row>
    <row r="76" spans="1:6" ht="14.25" thickBot="1">
      <c r="A76" s="837" t="s">
        <v>523</v>
      </c>
      <c r="B76" s="838" t="s">
        <v>885</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886</v>
      </c>
      <c r="C102" s="1074"/>
      <c r="D102" s="1074"/>
      <c r="E102" s="1074"/>
      <c r="F102" s="1062">
        <v>0.05</v>
      </c>
    </row>
    <row r="103" spans="1:6" ht="24.75" thickBot="1">
      <c r="A103" s="837" t="s">
        <v>523</v>
      </c>
      <c r="B103" s="831" t="s">
        <v>887</v>
      </c>
      <c r="C103" s="1074"/>
      <c r="D103" s="1074"/>
      <c r="E103" s="1074"/>
      <c r="F103" s="1062">
        <v>0.05</v>
      </c>
    </row>
    <row r="104" spans="1:6" ht="14.25" thickBot="1">
      <c r="A104" s="837" t="s">
        <v>523</v>
      </c>
      <c r="B104" s="831" t="s">
        <v>888</v>
      </c>
      <c r="C104" s="1074"/>
      <c r="D104" s="1074"/>
      <c r="E104" s="1074"/>
      <c r="F104" s="1062">
        <v>0.05</v>
      </c>
    </row>
    <row r="105" spans="1:6" ht="14.25" thickBot="1">
      <c r="A105" s="837" t="s">
        <v>523</v>
      </c>
      <c r="B105" s="831" t="s">
        <v>889</v>
      </c>
      <c r="C105" s="1074"/>
      <c r="D105" s="1074"/>
      <c r="E105" s="1074"/>
      <c r="F105" s="1062">
        <v>0.05</v>
      </c>
    </row>
    <row r="106" spans="1:6" ht="14.25" thickBot="1">
      <c r="A106" s="837" t="s">
        <v>523</v>
      </c>
      <c r="B106" s="831" t="s">
        <v>890</v>
      </c>
      <c r="C106" s="1074"/>
      <c r="D106" s="1074"/>
      <c r="E106" s="1074"/>
      <c r="F106" s="1062">
        <v>0.05</v>
      </c>
    </row>
    <row r="107" spans="1:6" ht="24.75" thickBot="1">
      <c r="A107" s="837" t="s">
        <v>523</v>
      </c>
      <c r="B107" s="831" t="s">
        <v>891</v>
      </c>
      <c r="C107" s="1074"/>
      <c r="D107" s="1074"/>
      <c r="E107" s="1074"/>
      <c r="F107" s="1062">
        <v>0.05</v>
      </c>
    </row>
    <row r="108" spans="1:6" ht="24.75" thickBot="1">
      <c r="A108" s="837" t="s">
        <v>523</v>
      </c>
      <c r="B108" s="831" t="s">
        <v>892</v>
      </c>
      <c r="C108" s="1074"/>
      <c r="D108" s="1074"/>
      <c r="E108" s="1074"/>
      <c r="F108" s="1062">
        <v>0.05</v>
      </c>
    </row>
    <row r="109" spans="1:6" ht="24.75" thickBot="1">
      <c r="A109" s="847" t="s">
        <v>523</v>
      </c>
      <c r="B109" s="843" t="s">
        <v>893</v>
      </c>
      <c r="C109" s="1071"/>
      <c r="D109" s="1071"/>
      <c r="E109" s="1071"/>
      <c r="F109" s="1064">
        <v>0.05</v>
      </c>
    </row>
    <row r="110" spans="1:6" ht="14.25" thickBot="1">
      <c r="A110" s="837" t="s">
        <v>56</v>
      </c>
      <c r="B110" s="838" t="s">
        <v>894</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895</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896</v>
      </c>
      <c r="C138" s="1061">
        <v>0.105</v>
      </c>
      <c r="D138" s="1061">
        <v>0.125</v>
      </c>
      <c r="E138" s="1061">
        <v>0.112</v>
      </c>
      <c r="F138" s="1073"/>
    </row>
    <row r="139" spans="1:6" ht="14.25" thickBot="1">
      <c r="A139" s="837" t="s">
        <v>56</v>
      </c>
      <c r="B139" s="831" t="s">
        <v>897</v>
      </c>
      <c r="C139" s="1061">
        <v>0.127</v>
      </c>
      <c r="D139" s="1061">
        <v>0.127</v>
      </c>
      <c r="E139" s="1061">
        <v>0.122</v>
      </c>
      <c r="F139" s="1062">
        <v>0.13</v>
      </c>
    </row>
    <row r="140" spans="1:6" ht="14.25" thickBot="1">
      <c r="A140" s="837" t="s">
        <v>56</v>
      </c>
      <c r="B140" s="831" t="s">
        <v>898</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899</v>
      </c>
      <c r="C144" s="1066">
        <v>0.126</v>
      </c>
      <c r="D144" s="1066">
        <v>0.126</v>
      </c>
      <c r="E144" s="1066">
        <v>0.121</v>
      </c>
      <c r="F144" s="1073"/>
    </row>
    <row r="145" spans="1:6" ht="14.25" thickBot="1">
      <c r="A145" s="847" t="s">
        <v>56</v>
      </c>
      <c r="B145" s="1067" t="s">
        <v>900</v>
      </c>
      <c r="C145" s="1075"/>
      <c r="D145" s="1075"/>
      <c r="E145" s="1075"/>
      <c r="F145" s="1068">
        <v>0.05</v>
      </c>
    </row>
    <row r="146" spans="1:6" ht="24.75" thickBot="1">
      <c r="A146" s="1069" t="s">
        <v>56</v>
      </c>
      <c r="B146" s="841" t="s">
        <v>901</v>
      </c>
      <c r="C146" s="1074"/>
      <c r="D146" s="1074"/>
      <c r="E146" s="1074"/>
      <c r="F146" s="1070">
        <v>0.05</v>
      </c>
    </row>
    <row r="147" spans="1:6" ht="24.75" thickBot="1">
      <c r="A147" s="837" t="s">
        <v>56</v>
      </c>
      <c r="B147" s="831" t="s">
        <v>902</v>
      </c>
      <c r="C147" s="1074"/>
      <c r="D147" s="1074"/>
      <c r="E147" s="1074"/>
      <c r="F147" s="1062">
        <v>0.05</v>
      </c>
    </row>
    <row r="148" spans="1:6" ht="24.75" thickBot="1">
      <c r="A148" s="837" t="s">
        <v>56</v>
      </c>
      <c r="B148" s="831" t="s">
        <v>903</v>
      </c>
      <c r="C148" s="1074"/>
      <c r="D148" s="1074"/>
      <c r="E148" s="1074"/>
      <c r="F148" s="1062">
        <v>0.05</v>
      </c>
    </row>
    <row r="149" spans="1:6" ht="24.75" thickBot="1">
      <c r="A149" s="837" t="s">
        <v>56</v>
      </c>
      <c r="B149" s="831" t="s">
        <v>904</v>
      </c>
      <c r="C149" s="1074"/>
      <c r="D149" s="1074"/>
      <c r="E149" s="1074"/>
      <c r="F149" s="1062">
        <v>0.05</v>
      </c>
    </row>
    <row r="150" spans="1:6" ht="24.75" thickBot="1">
      <c r="A150" s="837" t="s">
        <v>56</v>
      </c>
      <c r="B150" s="831" t="s">
        <v>905</v>
      </c>
      <c r="C150" s="1074"/>
      <c r="D150" s="1074"/>
      <c r="E150" s="1074"/>
      <c r="F150" s="1062">
        <v>0.05</v>
      </c>
    </row>
    <row r="151" spans="1:6" ht="24.75" thickBot="1">
      <c r="A151" s="837" t="s">
        <v>56</v>
      </c>
      <c r="B151" s="831" t="s">
        <v>906</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907</v>
      </c>
      <c r="C153" s="1074"/>
      <c r="D153" s="1074"/>
      <c r="E153" s="1074"/>
      <c r="F153" s="1062">
        <v>0.05</v>
      </c>
    </row>
    <row r="154" spans="1:6" ht="14.25" thickBot="1">
      <c r="A154" s="837" t="s">
        <v>56</v>
      </c>
      <c r="B154" s="831" t="s">
        <v>908</v>
      </c>
      <c r="C154" s="1074"/>
      <c r="D154" s="1074"/>
      <c r="E154" s="1074"/>
      <c r="F154" s="1062">
        <v>0.05</v>
      </c>
    </row>
    <row r="155" spans="1:6" ht="24.75" thickBot="1">
      <c r="A155" s="837" t="s">
        <v>56</v>
      </c>
      <c r="B155" s="831" t="s">
        <v>909</v>
      </c>
      <c r="C155" s="1074"/>
      <c r="D155" s="1074"/>
      <c r="E155" s="1074"/>
      <c r="F155" s="1062">
        <v>0.05</v>
      </c>
    </row>
    <row r="156" spans="1:6" ht="24.75" thickBot="1">
      <c r="A156" s="837" t="s">
        <v>56</v>
      </c>
      <c r="B156" s="831" t="s">
        <v>910</v>
      </c>
      <c r="C156" s="1074"/>
      <c r="D156" s="1074"/>
      <c r="E156" s="1074"/>
      <c r="F156" s="1062">
        <v>0.05</v>
      </c>
    </row>
    <row r="157" spans="1:6" ht="14.25" thickBot="1">
      <c r="A157" s="847" t="s">
        <v>56</v>
      </c>
      <c r="B157" s="843" t="s">
        <v>911</v>
      </c>
      <c r="C157" s="1071"/>
      <c r="D157" s="1071"/>
      <c r="E157" s="1071"/>
      <c r="F157" s="1064">
        <v>0.05</v>
      </c>
    </row>
    <row r="158" spans="1:6" ht="14.25" thickBot="1">
      <c r="A158" s="837" t="s">
        <v>526</v>
      </c>
      <c r="B158" s="838" t="s">
        <v>912</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913</v>
      </c>
      <c r="C171" s="1061">
        <v>0.127</v>
      </c>
      <c r="D171" s="1061">
        <v>0.126</v>
      </c>
      <c r="E171" s="1061">
        <v>0.126</v>
      </c>
      <c r="F171" s="1062">
        <v>0.11799999999999999</v>
      </c>
    </row>
    <row r="172" spans="1:6" ht="14.25" thickBot="1">
      <c r="A172" s="837" t="s">
        <v>526</v>
      </c>
      <c r="B172" s="831" t="s">
        <v>914</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915</v>
      </c>
      <c r="C174" s="1061">
        <v>0.13</v>
      </c>
      <c r="D174" s="1061">
        <v>0.13</v>
      </c>
      <c r="E174" s="1061">
        <v>0.13</v>
      </c>
      <c r="F174" s="1062">
        <v>0.13</v>
      </c>
    </row>
    <row r="175" spans="1:6" ht="14.25" thickBot="1">
      <c r="A175" s="837" t="s">
        <v>526</v>
      </c>
      <c r="B175" s="831" t="s">
        <v>916</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917</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918</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919</v>
      </c>
      <c r="C185" s="1061">
        <v>0.127</v>
      </c>
      <c r="D185" s="1061">
        <v>0.127</v>
      </c>
      <c r="E185" s="1061">
        <v>0.128</v>
      </c>
      <c r="F185" s="1062">
        <v>0.13</v>
      </c>
    </row>
    <row r="186" spans="1:6" ht="24.75" thickBot="1">
      <c r="A186" s="837" t="s">
        <v>526</v>
      </c>
      <c r="B186" s="831" t="s">
        <v>920</v>
      </c>
      <c r="C186" s="1074"/>
      <c r="D186" s="1074"/>
      <c r="E186" s="1074"/>
      <c r="F186" s="1062">
        <v>0.05</v>
      </c>
    </row>
    <row r="187" spans="1:6" ht="14.25" thickBot="1">
      <c r="A187" s="837" t="s">
        <v>526</v>
      </c>
      <c r="B187" s="831" t="s">
        <v>921</v>
      </c>
      <c r="C187" s="1074"/>
      <c r="D187" s="1074"/>
      <c r="E187" s="1074"/>
      <c r="F187" s="1062">
        <v>0.05</v>
      </c>
    </row>
    <row r="188" spans="1:6" ht="14.25" thickBot="1">
      <c r="A188" s="837" t="s">
        <v>526</v>
      </c>
      <c r="B188" s="831" t="s">
        <v>922</v>
      </c>
      <c r="C188" s="1074"/>
      <c r="D188" s="1074"/>
      <c r="E188" s="1074"/>
      <c r="F188" s="1062">
        <v>0.05</v>
      </c>
    </row>
    <row r="189" spans="1:6" ht="24.75" thickBot="1">
      <c r="A189" s="837" t="s">
        <v>526</v>
      </c>
      <c r="B189" s="831" t="s">
        <v>923</v>
      </c>
      <c r="C189" s="1074"/>
      <c r="D189" s="1074"/>
      <c r="E189" s="1074"/>
      <c r="F189" s="1062">
        <v>0.05</v>
      </c>
    </row>
    <row r="190" spans="1:6" ht="24.75" thickBot="1">
      <c r="A190" s="837" t="s">
        <v>526</v>
      </c>
      <c r="B190" s="831" t="s">
        <v>924</v>
      </c>
      <c r="C190" s="1074"/>
      <c r="D190" s="1074"/>
      <c r="E190" s="1074"/>
      <c r="F190" s="1062">
        <v>0.05</v>
      </c>
    </row>
    <row r="191" spans="1:6" ht="24.75" thickBot="1">
      <c r="A191" s="837" t="s">
        <v>526</v>
      </c>
      <c r="B191" s="831" t="s">
        <v>925</v>
      </c>
      <c r="C191" s="1074"/>
      <c r="D191" s="1074"/>
      <c r="E191" s="1074"/>
      <c r="F191" s="1062">
        <v>0.05</v>
      </c>
    </row>
    <row r="192" spans="1:6" ht="24.75" thickBot="1">
      <c r="A192" s="837" t="s">
        <v>526</v>
      </c>
      <c r="B192" s="831" t="s">
        <v>926</v>
      </c>
      <c r="C192" s="1074"/>
      <c r="D192" s="1074"/>
      <c r="E192" s="1074"/>
      <c r="F192" s="1062">
        <v>0.05</v>
      </c>
    </row>
    <row r="193" spans="1:6" ht="24.75" thickBot="1">
      <c r="A193" s="837" t="s">
        <v>526</v>
      </c>
      <c r="B193" s="831" t="s">
        <v>927</v>
      </c>
      <c r="C193" s="1074"/>
      <c r="D193" s="1074"/>
      <c r="E193" s="1074"/>
      <c r="F193" s="1062">
        <v>0.05</v>
      </c>
    </row>
    <row r="194" spans="1:6" ht="24.75" thickBot="1">
      <c r="A194" s="837" t="s">
        <v>526</v>
      </c>
      <c r="B194" s="831" t="s">
        <v>928</v>
      </c>
      <c r="C194" s="1074"/>
      <c r="D194" s="1074"/>
      <c r="E194" s="1074"/>
      <c r="F194" s="1062">
        <v>0.05</v>
      </c>
    </row>
    <row r="195" spans="1:6" ht="14.25" thickBot="1">
      <c r="A195" s="837" t="s">
        <v>526</v>
      </c>
      <c r="B195" s="831" t="s">
        <v>929</v>
      </c>
      <c r="C195" s="1074"/>
      <c r="D195" s="1074"/>
      <c r="E195" s="1074"/>
      <c r="F195" s="1062">
        <v>0.05</v>
      </c>
    </row>
    <row r="196" spans="1:6" ht="24.75" thickBot="1">
      <c r="A196" s="837" t="s">
        <v>526</v>
      </c>
      <c r="B196" s="831" t="s">
        <v>930</v>
      </c>
      <c r="C196" s="1074"/>
      <c r="D196" s="1074"/>
      <c r="E196" s="1074"/>
      <c r="F196" s="1062">
        <v>0.05</v>
      </c>
    </row>
    <row r="197" spans="1:6" ht="24.75" thickBot="1">
      <c r="A197" s="837" t="s">
        <v>526</v>
      </c>
      <c r="B197" s="831" t="s">
        <v>931</v>
      </c>
      <c r="C197" s="1074"/>
      <c r="D197" s="1074"/>
      <c r="E197" s="1074"/>
      <c r="F197" s="1062">
        <v>0.05</v>
      </c>
    </row>
    <row r="198" spans="1:6" ht="24.75" thickBot="1">
      <c r="A198" s="837" t="s">
        <v>526</v>
      </c>
      <c r="B198" s="831" t="s">
        <v>932</v>
      </c>
      <c r="C198" s="1074"/>
      <c r="D198" s="1074"/>
      <c r="E198" s="1074"/>
      <c r="F198" s="1062">
        <v>0.05</v>
      </c>
    </row>
    <row r="199" spans="1:6" ht="24.75" thickBot="1">
      <c r="A199" s="837" t="s">
        <v>526</v>
      </c>
      <c r="B199" s="831" t="s">
        <v>933</v>
      </c>
      <c r="C199" s="1074"/>
      <c r="D199" s="1074"/>
      <c r="E199" s="1074"/>
      <c r="F199" s="1062">
        <v>0.05</v>
      </c>
    </row>
    <row r="200" spans="1:6" ht="24.75" thickBot="1">
      <c r="A200" s="837" t="s">
        <v>526</v>
      </c>
      <c r="B200" s="831" t="s">
        <v>934</v>
      </c>
      <c r="C200" s="1074"/>
      <c r="D200" s="1074"/>
      <c r="E200" s="1074"/>
      <c r="F200" s="1062">
        <v>0.05</v>
      </c>
    </row>
    <row r="201" spans="1:6" ht="24.75" thickBot="1">
      <c r="A201" s="837" t="s">
        <v>526</v>
      </c>
      <c r="B201" s="831" t="s">
        <v>935</v>
      </c>
      <c r="C201" s="1074"/>
      <c r="D201" s="1074"/>
      <c r="E201" s="1074"/>
      <c r="F201" s="1062">
        <v>0.05</v>
      </c>
    </row>
    <row r="202" spans="1:6" ht="24.75" thickBot="1">
      <c r="A202" s="837" t="s">
        <v>526</v>
      </c>
      <c r="B202" s="831" t="s">
        <v>936</v>
      </c>
      <c r="C202" s="1074"/>
      <c r="D202" s="1074"/>
      <c r="E202" s="1074"/>
      <c r="F202" s="1062">
        <v>0.05</v>
      </c>
    </row>
    <row r="203" spans="1:6" ht="24.75" thickBot="1">
      <c r="A203" s="837" t="s">
        <v>526</v>
      </c>
      <c r="B203" s="831" t="s">
        <v>937</v>
      </c>
      <c r="C203" s="1074"/>
      <c r="D203" s="1074"/>
      <c r="E203" s="1074"/>
      <c r="F203" s="1062">
        <v>0.05</v>
      </c>
    </row>
    <row r="204" spans="1:6" ht="14.25" thickBot="1">
      <c r="A204" s="837" t="s">
        <v>526</v>
      </c>
      <c r="B204" s="831" t="s">
        <v>938</v>
      </c>
      <c r="C204" s="1074"/>
      <c r="D204" s="1074"/>
      <c r="E204" s="1074"/>
      <c r="F204" s="1062">
        <v>0.05</v>
      </c>
    </row>
    <row r="205" spans="1:6" ht="14.25" thickBot="1">
      <c r="A205" s="847" t="s">
        <v>526</v>
      </c>
      <c r="B205" s="843" t="s">
        <v>939</v>
      </c>
      <c r="C205" s="1071"/>
      <c r="D205" s="1071"/>
      <c r="E205" s="1071"/>
      <c r="F205" s="1064">
        <v>0.05</v>
      </c>
    </row>
    <row r="206" spans="1:6" ht="14.25" thickBot="1">
      <c r="A206" s="837" t="s">
        <v>528</v>
      </c>
      <c r="B206" s="838" t="s">
        <v>940</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941</v>
      </c>
      <c r="C210" s="1061">
        <v>0.15</v>
      </c>
      <c r="D210" s="1061">
        <v>0.15</v>
      </c>
      <c r="E210" s="1061">
        <v>0.15</v>
      </c>
      <c r="F210" s="1062">
        <v>0.13800000000000001</v>
      </c>
    </row>
    <row r="211" spans="1:6" ht="14.25" thickBot="1">
      <c r="A211" s="837" t="s">
        <v>528</v>
      </c>
      <c r="B211" s="831" t="s">
        <v>942</v>
      </c>
      <c r="C211" s="1061">
        <v>0.13700000000000001</v>
      </c>
      <c r="D211" s="1061">
        <v>0.13500000000000001</v>
      </c>
      <c r="E211" s="1061">
        <v>0.13600000000000001</v>
      </c>
      <c r="F211" s="1062">
        <v>0.1</v>
      </c>
    </row>
    <row r="212" spans="1:6" ht="14.25" thickBot="1">
      <c r="A212" s="837" t="s">
        <v>528</v>
      </c>
      <c r="B212" s="831" t="s">
        <v>943</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944</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945</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946</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947</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948</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949</v>
      </c>
      <c r="C231" s="1061">
        <v>0.128</v>
      </c>
      <c r="D231" s="1061">
        <v>0.125</v>
      </c>
      <c r="E231" s="1061">
        <v>0.13200000000000001</v>
      </c>
      <c r="F231" s="1073"/>
    </row>
    <row r="232" spans="1:6" ht="14.25" thickBot="1">
      <c r="A232" s="837" t="s">
        <v>528</v>
      </c>
      <c r="B232" s="831" t="s">
        <v>950</v>
      </c>
      <c r="C232" s="1061">
        <v>0.14499999999999999</v>
      </c>
      <c r="D232" s="1061">
        <v>0.14399999999999999</v>
      </c>
      <c r="E232" s="1061">
        <v>0.14599999999999999</v>
      </c>
      <c r="F232" s="1062">
        <v>0.13800000000000001</v>
      </c>
    </row>
    <row r="233" spans="1:6" ht="14.25" thickBot="1">
      <c r="A233" s="837" t="s">
        <v>528</v>
      </c>
      <c r="B233" s="831" t="s">
        <v>951</v>
      </c>
      <c r="C233" s="1061">
        <v>0.14499999999999999</v>
      </c>
      <c r="D233" s="1061">
        <v>0.14299999999999999</v>
      </c>
      <c r="E233" s="1061">
        <v>0.14199999999999999</v>
      </c>
      <c r="F233" s="1073"/>
    </row>
    <row r="234" spans="1:6" ht="14.25" thickBot="1">
      <c r="A234" s="837" t="s">
        <v>528</v>
      </c>
      <c r="B234" s="831" t="s">
        <v>952</v>
      </c>
      <c r="C234" s="1061">
        <v>0.14000000000000001</v>
      </c>
      <c r="D234" s="1061">
        <v>0.14000000000000001</v>
      </c>
      <c r="E234" s="1061">
        <v>0.14399999999999999</v>
      </c>
      <c r="F234" s="1073"/>
    </row>
    <row r="235" spans="1:6" ht="14.25" thickBot="1">
      <c r="A235" s="837" t="s">
        <v>528</v>
      </c>
      <c r="B235" s="831" t="s">
        <v>953</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954</v>
      </c>
      <c r="C237" s="1074"/>
      <c r="D237" s="1074"/>
      <c r="E237" s="1074"/>
      <c r="F237" s="1062">
        <v>0.05</v>
      </c>
    </row>
    <row r="238" spans="1:6" ht="24.75" thickBot="1">
      <c r="A238" s="837" t="s">
        <v>528</v>
      </c>
      <c r="B238" s="831" t="s">
        <v>955</v>
      </c>
      <c r="C238" s="1074"/>
      <c r="D238" s="1074"/>
      <c r="E238" s="1074"/>
      <c r="F238" s="1062">
        <v>0.05</v>
      </c>
    </row>
    <row r="239" spans="1:6" ht="24.75" thickBot="1">
      <c r="A239" s="837" t="s">
        <v>528</v>
      </c>
      <c r="B239" s="831" t="s">
        <v>956</v>
      </c>
      <c r="C239" s="1074"/>
      <c r="D239" s="1074"/>
      <c r="E239" s="1074"/>
      <c r="F239" s="1062">
        <v>0.05</v>
      </c>
    </row>
    <row r="240" spans="1:6" ht="24.75" thickBot="1">
      <c r="A240" s="837" t="s">
        <v>528</v>
      </c>
      <c r="B240" s="831" t="s">
        <v>957</v>
      </c>
      <c r="C240" s="1074"/>
      <c r="D240" s="1074"/>
      <c r="E240" s="1074"/>
      <c r="F240" s="1062">
        <v>0.05</v>
      </c>
    </row>
    <row r="241" spans="1:6" ht="24.75" thickBot="1">
      <c r="A241" s="837" t="s">
        <v>528</v>
      </c>
      <c r="B241" s="831" t="s">
        <v>958</v>
      </c>
      <c r="C241" s="1074"/>
      <c r="D241" s="1074"/>
      <c r="E241" s="1074"/>
      <c r="F241" s="1062">
        <v>0.05</v>
      </c>
    </row>
    <row r="242" spans="1:6" ht="24.75" thickBot="1">
      <c r="A242" s="837" t="s">
        <v>528</v>
      </c>
      <c r="B242" s="831" t="s">
        <v>959</v>
      </c>
      <c r="C242" s="1074"/>
      <c r="D242" s="1074"/>
      <c r="E242" s="1074"/>
      <c r="F242" s="1062">
        <v>0.05</v>
      </c>
    </row>
    <row r="243" spans="1:6" ht="24.75" thickBot="1">
      <c r="A243" s="837" t="s">
        <v>528</v>
      </c>
      <c r="B243" s="831" t="s">
        <v>960</v>
      </c>
      <c r="C243" s="1074"/>
      <c r="D243" s="1074"/>
      <c r="E243" s="1074"/>
      <c r="F243" s="1062">
        <v>0.05</v>
      </c>
    </row>
    <row r="244" spans="1:6" ht="24.75" thickBot="1">
      <c r="A244" s="847" t="s">
        <v>528</v>
      </c>
      <c r="B244" s="843" t="s">
        <v>961</v>
      </c>
      <c r="C244" s="1071"/>
      <c r="D244" s="1071"/>
      <c r="E244" s="1071"/>
      <c r="F244" s="1064">
        <v>0.05</v>
      </c>
    </row>
    <row r="245" spans="1:6" ht="14.25" thickBot="1">
      <c r="A245" s="837" t="s">
        <v>530</v>
      </c>
      <c r="B245" s="838" t="s">
        <v>962</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963</v>
      </c>
      <c r="C247" s="1061">
        <v>0.15</v>
      </c>
      <c r="D247" s="1061">
        <v>0.15</v>
      </c>
      <c r="E247" s="1061">
        <v>0.15</v>
      </c>
      <c r="F247" s="1062">
        <v>0.15</v>
      </c>
    </row>
    <row r="248" spans="1:6" ht="14.25" thickBot="1">
      <c r="A248" s="837" t="s">
        <v>530</v>
      </c>
      <c r="B248" s="831" t="s">
        <v>964</v>
      </c>
      <c r="C248" s="1061">
        <v>0.15</v>
      </c>
      <c r="D248" s="1061">
        <v>0.15</v>
      </c>
      <c r="E248" s="1061">
        <v>0.15</v>
      </c>
      <c r="F248" s="1062">
        <v>0.14000000000000001</v>
      </c>
    </row>
    <row r="249" spans="1:6" ht="14.25" thickBot="1">
      <c r="A249" s="837" t="s">
        <v>530</v>
      </c>
      <c r="B249" s="831" t="s">
        <v>965</v>
      </c>
      <c r="C249" s="1061">
        <v>0.15</v>
      </c>
      <c r="D249" s="1061">
        <v>0.14899999999999999</v>
      </c>
      <c r="E249" s="1061">
        <v>0.15</v>
      </c>
      <c r="F249" s="1062">
        <v>0.1</v>
      </c>
    </row>
    <row r="250" spans="1:6" ht="14.25" thickBot="1">
      <c r="A250" s="837" t="s">
        <v>530</v>
      </c>
      <c r="B250" s="831" t="s">
        <v>966</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967</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968</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969</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970</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971</v>
      </c>
      <c r="C273" s="1061">
        <v>0.14199999999999999</v>
      </c>
      <c r="D273" s="1061">
        <v>0.14299999999999999</v>
      </c>
      <c r="E273" s="1061">
        <v>0.15</v>
      </c>
      <c r="F273" s="1062">
        <v>0.1</v>
      </c>
    </row>
    <row r="274" spans="1:6" ht="14.25" thickBot="1">
      <c r="A274" s="837" t="s">
        <v>530</v>
      </c>
      <c r="B274" s="831" t="s">
        <v>972</v>
      </c>
      <c r="C274" s="1061">
        <v>0.14799999999999999</v>
      </c>
      <c r="D274" s="1061">
        <v>0.14799999999999999</v>
      </c>
      <c r="E274" s="1061">
        <v>0.15</v>
      </c>
      <c r="F274" s="1062">
        <v>6.7000000000000004E-2</v>
      </c>
    </row>
    <row r="275" spans="1:6" ht="14.25" thickBot="1">
      <c r="A275" s="837" t="s">
        <v>530</v>
      </c>
      <c r="B275" s="831" t="s">
        <v>973</v>
      </c>
      <c r="C275" s="1061">
        <v>0.15</v>
      </c>
      <c r="D275" s="1061">
        <v>0.15</v>
      </c>
      <c r="E275" s="1061">
        <v>0.15</v>
      </c>
      <c r="F275" s="1062">
        <v>0.15</v>
      </c>
    </row>
    <row r="276" spans="1:6" ht="14.25" thickBot="1">
      <c r="A276" s="837" t="s">
        <v>530</v>
      </c>
      <c r="B276" s="831" t="s">
        <v>974</v>
      </c>
      <c r="C276" s="1061">
        <v>0.14499999999999999</v>
      </c>
      <c r="D276" s="1061">
        <v>0.14299999999999999</v>
      </c>
      <c r="E276" s="1061">
        <v>0.15</v>
      </c>
      <c r="F276" s="1062">
        <v>5.8999999999999997E-2</v>
      </c>
    </row>
    <row r="277" spans="1:6" ht="14.25" thickBot="1">
      <c r="A277" s="837" t="s">
        <v>530</v>
      </c>
      <c r="B277" s="831" t="s">
        <v>975</v>
      </c>
      <c r="C277" s="1061">
        <v>0.15</v>
      </c>
      <c r="D277" s="1061">
        <v>0.15</v>
      </c>
      <c r="E277" s="1061">
        <v>0.15</v>
      </c>
      <c r="F277" s="1062">
        <v>0.121</v>
      </c>
    </row>
    <row r="278" spans="1:6" ht="14.25" thickBot="1">
      <c r="A278" s="837" t="s">
        <v>530</v>
      </c>
      <c r="B278" s="831" t="s">
        <v>976</v>
      </c>
      <c r="C278" s="1061">
        <v>0.15</v>
      </c>
      <c r="D278" s="1061">
        <v>0.15</v>
      </c>
      <c r="E278" s="1061">
        <v>0.15</v>
      </c>
      <c r="F278" s="1062">
        <v>0.13800000000000001</v>
      </c>
    </row>
    <row r="279" spans="1:6" ht="24.75" thickBot="1">
      <c r="A279" s="837" t="s">
        <v>530</v>
      </c>
      <c r="B279" s="831" t="s">
        <v>977</v>
      </c>
      <c r="C279" s="1074"/>
      <c r="D279" s="1074"/>
      <c r="E279" s="1074"/>
      <c r="F279" s="1062">
        <v>0.05</v>
      </c>
    </row>
    <row r="280" spans="1:6" ht="24.75" thickBot="1">
      <c r="A280" s="837" t="s">
        <v>530</v>
      </c>
      <c r="B280" s="831" t="s">
        <v>978</v>
      </c>
      <c r="C280" s="1074"/>
      <c r="D280" s="1074"/>
      <c r="E280" s="1074"/>
      <c r="F280" s="1062">
        <v>0.05</v>
      </c>
    </row>
    <row r="281" spans="1:6" ht="24.75" thickBot="1">
      <c r="A281" s="837" t="s">
        <v>530</v>
      </c>
      <c r="B281" s="831" t="s">
        <v>979</v>
      </c>
      <c r="C281" s="1074"/>
      <c r="D281" s="1074"/>
      <c r="E281" s="1074"/>
      <c r="F281" s="1062">
        <v>0.05</v>
      </c>
    </row>
    <row r="282" spans="1:6" ht="24.75" thickBot="1">
      <c r="A282" s="837" t="s">
        <v>530</v>
      </c>
      <c r="B282" s="831" t="s">
        <v>980</v>
      </c>
      <c r="C282" s="1074"/>
      <c r="D282" s="1074"/>
      <c r="E282" s="1074"/>
      <c r="F282" s="1062">
        <v>0.05</v>
      </c>
    </row>
    <row r="283" spans="1:6" ht="24.75" thickBot="1">
      <c r="A283" s="837" t="s">
        <v>530</v>
      </c>
      <c r="B283" s="831" t="s">
        <v>981</v>
      </c>
      <c r="C283" s="1074"/>
      <c r="D283" s="1074"/>
      <c r="E283" s="1074"/>
      <c r="F283" s="1062">
        <v>0.05</v>
      </c>
    </row>
    <row r="284" spans="1:6" ht="24.75" thickBot="1">
      <c r="A284" s="837" t="s">
        <v>530</v>
      </c>
      <c r="B284" s="831" t="s">
        <v>982</v>
      </c>
      <c r="C284" s="1074"/>
      <c r="D284" s="1074"/>
      <c r="E284" s="1074"/>
      <c r="F284" s="1062">
        <v>0.05</v>
      </c>
    </row>
    <row r="285" spans="1:6" ht="24.75" thickBot="1">
      <c r="A285" s="837" t="s">
        <v>530</v>
      </c>
      <c r="B285" s="831" t="s">
        <v>983</v>
      </c>
      <c r="C285" s="1074"/>
      <c r="D285" s="1074"/>
      <c r="E285" s="1074"/>
      <c r="F285" s="1062">
        <v>0.05</v>
      </c>
    </row>
    <row r="286" spans="1:6" ht="24.75" thickBot="1">
      <c r="A286" s="837" t="s">
        <v>530</v>
      </c>
      <c r="B286" s="831" t="s">
        <v>984</v>
      </c>
      <c r="C286" s="1074"/>
      <c r="D286" s="1074"/>
      <c r="E286" s="1074"/>
      <c r="F286" s="1062">
        <v>0.05</v>
      </c>
    </row>
    <row r="287" spans="1:6" ht="24.75" thickBot="1">
      <c r="A287" s="837" t="s">
        <v>530</v>
      </c>
      <c r="B287" s="831" t="s">
        <v>985</v>
      </c>
      <c r="C287" s="1074"/>
      <c r="D287" s="1074"/>
      <c r="E287" s="1074"/>
      <c r="F287" s="1062">
        <v>0.05</v>
      </c>
    </row>
    <row r="288" spans="1:6" ht="24.75" thickBot="1">
      <c r="A288" s="837" t="s">
        <v>530</v>
      </c>
      <c r="B288" s="831" t="s">
        <v>986</v>
      </c>
      <c r="C288" s="1074"/>
      <c r="D288" s="1074"/>
      <c r="E288" s="1074"/>
      <c r="F288" s="1062">
        <v>0.05</v>
      </c>
    </row>
    <row r="289" spans="1:6" ht="24.75" thickBot="1">
      <c r="A289" s="847" t="s">
        <v>530</v>
      </c>
      <c r="B289" s="843" t="s">
        <v>987</v>
      </c>
      <c r="C289" s="1071"/>
      <c r="D289" s="1071"/>
      <c r="E289" s="1071"/>
      <c r="F289" s="1064">
        <v>0.05</v>
      </c>
    </row>
    <row r="290" spans="1:6" ht="14.25" thickBot="1">
      <c r="A290" s="837" t="s">
        <v>534</v>
      </c>
      <c r="B290" s="838" t="s">
        <v>988</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989</v>
      </c>
      <c r="C292" s="1061">
        <v>0.15</v>
      </c>
      <c r="D292" s="1061">
        <v>0.15</v>
      </c>
      <c r="E292" s="1061">
        <v>0.15</v>
      </c>
      <c r="F292" s="1062">
        <v>0.14699999999999999</v>
      </c>
    </row>
    <row r="293" spans="1:6" ht="14.25" thickBot="1">
      <c r="A293" s="837" t="s">
        <v>534</v>
      </c>
      <c r="B293" s="831" t="s">
        <v>990</v>
      </c>
      <c r="C293" s="1074"/>
      <c r="D293" s="1074"/>
      <c r="E293" s="1074"/>
      <c r="F293" s="1062">
        <v>0.1</v>
      </c>
    </row>
    <row r="294" spans="1:6" ht="14.25" thickBot="1">
      <c r="A294" s="837" t="s">
        <v>534</v>
      </c>
      <c r="B294" s="831" t="s">
        <v>991</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992</v>
      </c>
      <c r="C296" s="1061">
        <v>0.15</v>
      </c>
      <c r="D296" s="1061">
        <v>0.15</v>
      </c>
      <c r="E296" s="1061">
        <v>0.15</v>
      </c>
      <c r="F296" s="1062">
        <v>0.15</v>
      </c>
    </row>
    <row r="297" spans="1:6" ht="14.25" thickBot="1">
      <c r="A297" s="837" t="s">
        <v>534</v>
      </c>
      <c r="B297" s="831" t="s">
        <v>993</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994</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995</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996</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997</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998</v>
      </c>
      <c r="C310" s="1061">
        <v>0.15</v>
      </c>
      <c r="D310" s="1061">
        <v>0.15</v>
      </c>
      <c r="E310" s="1061">
        <v>0.15</v>
      </c>
      <c r="F310" s="1062">
        <v>0.13700000000000001</v>
      </c>
    </row>
    <row r="311" spans="1:6" ht="14.25" thickBot="1">
      <c r="A311" s="837" t="s">
        <v>534</v>
      </c>
      <c r="B311" s="831" t="s">
        <v>999</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1000</v>
      </c>
      <c r="C313" s="1061">
        <v>0.15</v>
      </c>
      <c r="D313" s="1061">
        <v>0.15</v>
      </c>
      <c r="E313" s="1061">
        <v>0.15</v>
      </c>
      <c r="F313" s="1062">
        <v>0.15</v>
      </c>
    </row>
    <row r="314" spans="1:6" ht="24.75" thickBot="1">
      <c r="A314" s="837" t="s">
        <v>534</v>
      </c>
      <c r="B314" s="831" t="s">
        <v>1001</v>
      </c>
      <c r="C314" s="1074"/>
      <c r="D314" s="1074"/>
      <c r="E314" s="1074"/>
      <c r="F314" s="1062">
        <v>0.05</v>
      </c>
    </row>
    <row r="315" spans="1:6" ht="24.75" thickBot="1">
      <c r="A315" s="837" t="s">
        <v>534</v>
      </c>
      <c r="B315" s="831" t="s">
        <v>1002</v>
      </c>
      <c r="C315" s="1074"/>
      <c r="D315" s="1074"/>
      <c r="E315" s="1074"/>
      <c r="F315" s="1062">
        <v>0.05</v>
      </c>
    </row>
    <row r="316" spans="1:6" ht="24.75" thickBot="1">
      <c r="A316" s="847" t="s">
        <v>534</v>
      </c>
      <c r="B316" s="843" t="s">
        <v>1003</v>
      </c>
      <c r="C316" s="1071"/>
      <c r="D316" s="1071"/>
      <c r="E316" s="1071"/>
      <c r="F316" s="1064">
        <v>0.05</v>
      </c>
    </row>
    <row r="317" spans="1:6" ht="14.25" thickBot="1">
      <c r="A317" s="837" t="s">
        <v>1004</v>
      </c>
      <c r="B317" s="838" t="s">
        <v>1005</v>
      </c>
      <c r="C317" s="1059">
        <v>0.15</v>
      </c>
      <c r="D317" s="1059">
        <v>0.15</v>
      </c>
      <c r="E317" s="1059">
        <v>0.15</v>
      </c>
      <c r="F317" s="1060">
        <v>0.15</v>
      </c>
    </row>
    <row r="318" spans="1:6" ht="14.25" thickBot="1">
      <c r="A318" s="837" t="s">
        <v>1004</v>
      </c>
      <c r="B318" s="831" t="s">
        <v>1006</v>
      </c>
      <c r="C318" s="1061">
        <v>0.107</v>
      </c>
      <c r="D318" s="1061">
        <v>0.11</v>
      </c>
      <c r="E318" s="1061">
        <v>0.112</v>
      </c>
      <c r="F318" s="1073"/>
    </row>
    <row r="319" spans="1:6" ht="14.25" thickBot="1">
      <c r="A319" s="837" t="s">
        <v>1004</v>
      </c>
      <c r="B319" s="831" t="s">
        <v>1007</v>
      </c>
      <c r="C319" s="1061">
        <v>0.15</v>
      </c>
      <c r="D319" s="1061">
        <v>0.15</v>
      </c>
      <c r="E319" s="1061">
        <v>0.15</v>
      </c>
      <c r="F319" s="1062">
        <v>0.15</v>
      </c>
    </row>
    <row r="320" spans="1:6" ht="14.25" thickBot="1">
      <c r="A320" s="837" t="s">
        <v>1004</v>
      </c>
      <c r="B320" s="831" t="s">
        <v>223</v>
      </c>
      <c r="C320" s="1061">
        <v>0.15</v>
      </c>
      <c r="D320" s="1061">
        <v>0.15</v>
      </c>
      <c r="E320" s="1061">
        <v>0.15</v>
      </c>
      <c r="F320" s="1073"/>
    </row>
    <row r="321" spans="1:6" ht="14.25" thickBot="1">
      <c r="A321" s="837" t="s">
        <v>1004</v>
      </c>
      <c r="B321" s="831" t="s">
        <v>1008</v>
      </c>
      <c r="C321" s="1061">
        <v>0.15</v>
      </c>
      <c r="D321" s="1061">
        <v>0.15</v>
      </c>
      <c r="E321" s="1061">
        <v>0.15</v>
      </c>
      <c r="F321" s="1073"/>
    </row>
    <row r="322" spans="1:6" ht="14.25" thickBot="1">
      <c r="A322" s="837" t="s">
        <v>1004</v>
      </c>
      <c r="B322" s="831" t="s">
        <v>1009</v>
      </c>
      <c r="C322" s="1061">
        <v>0.15</v>
      </c>
      <c r="D322" s="1061">
        <v>0.15</v>
      </c>
      <c r="E322" s="1061">
        <v>0.15</v>
      </c>
      <c r="F322" s="1062">
        <v>0.15</v>
      </c>
    </row>
    <row r="323" spans="1:6" ht="14.25" thickBot="1">
      <c r="A323" s="837" t="s">
        <v>1004</v>
      </c>
      <c r="B323" s="831" t="s">
        <v>1010</v>
      </c>
      <c r="C323" s="1061">
        <v>0.15</v>
      </c>
      <c r="D323" s="1061">
        <v>0.15</v>
      </c>
      <c r="E323" s="1061">
        <v>0.15</v>
      </c>
      <c r="F323" s="1073"/>
    </row>
    <row r="324" spans="1:6" ht="14.25" thickBot="1">
      <c r="A324" s="837" t="s">
        <v>1004</v>
      </c>
      <c r="B324" s="831" t="s">
        <v>1011</v>
      </c>
      <c r="C324" s="1061">
        <v>0.15</v>
      </c>
      <c r="D324" s="1061">
        <v>0.15</v>
      </c>
      <c r="E324" s="1061">
        <v>0.15</v>
      </c>
      <c r="F324" s="1073"/>
    </row>
    <row r="325" spans="1:6" ht="14.25" thickBot="1">
      <c r="A325" s="837" t="s">
        <v>1004</v>
      </c>
      <c r="B325" s="831" t="s">
        <v>1012</v>
      </c>
      <c r="C325" s="1061">
        <v>0.15</v>
      </c>
      <c r="D325" s="1061">
        <v>0.15</v>
      </c>
      <c r="E325" s="1061">
        <v>0.15</v>
      </c>
      <c r="F325" s="1062">
        <v>0.14699999999999999</v>
      </c>
    </row>
    <row r="326" spans="1:6" ht="14.25" thickBot="1">
      <c r="A326" s="837" t="s">
        <v>1004</v>
      </c>
      <c r="B326" s="831" t="s">
        <v>290</v>
      </c>
      <c r="C326" s="1061">
        <v>0.15</v>
      </c>
      <c r="D326" s="1061">
        <v>0.15</v>
      </c>
      <c r="E326" s="1061">
        <v>0.15</v>
      </c>
      <c r="F326" s="1073"/>
    </row>
    <row r="327" spans="1:6" ht="14.25" thickBot="1">
      <c r="A327" s="837" t="s">
        <v>1004</v>
      </c>
      <c r="B327" s="831" t="s">
        <v>1013</v>
      </c>
      <c r="C327" s="1061">
        <v>0.15</v>
      </c>
      <c r="D327" s="1061">
        <v>0.15</v>
      </c>
      <c r="E327" s="1061">
        <v>0.15</v>
      </c>
      <c r="F327" s="1062">
        <v>0.15</v>
      </c>
    </row>
    <row r="328" spans="1:6" ht="14.25" thickBot="1">
      <c r="A328" s="837" t="s">
        <v>1004</v>
      </c>
      <c r="B328" s="831" t="s">
        <v>310</v>
      </c>
      <c r="C328" s="1061">
        <v>0.15</v>
      </c>
      <c r="D328" s="1061">
        <v>0.15</v>
      </c>
      <c r="E328" s="1061">
        <v>0.15</v>
      </c>
      <c r="F328" s="1062">
        <v>0.14099999999999999</v>
      </c>
    </row>
    <row r="329" spans="1:6" ht="14.25" thickBot="1">
      <c r="A329" s="837" t="s">
        <v>1004</v>
      </c>
      <c r="B329" s="831" t="s">
        <v>320</v>
      </c>
      <c r="C329" s="1061">
        <v>0.15</v>
      </c>
      <c r="D329" s="1061">
        <v>0.15</v>
      </c>
      <c r="E329" s="1061">
        <v>0.15</v>
      </c>
      <c r="F329" s="1062">
        <v>0.15</v>
      </c>
    </row>
    <row r="330" spans="1:6" ht="14.25" thickBot="1">
      <c r="A330" s="837" t="s">
        <v>1004</v>
      </c>
      <c r="B330" s="831" t="s">
        <v>331</v>
      </c>
      <c r="C330" s="1061">
        <v>0.15</v>
      </c>
      <c r="D330" s="1061">
        <v>0.15</v>
      </c>
      <c r="E330" s="1061">
        <v>0.15</v>
      </c>
      <c r="F330" s="1073"/>
    </row>
    <row r="331" spans="1:6" ht="14.25" thickBot="1">
      <c r="A331" s="837" t="s">
        <v>1004</v>
      </c>
      <c r="B331" s="831" t="s">
        <v>1014</v>
      </c>
      <c r="C331" s="1061">
        <v>0.15</v>
      </c>
      <c r="D331" s="1061">
        <v>0.15</v>
      </c>
      <c r="E331" s="1061">
        <v>0.15</v>
      </c>
      <c r="F331" s="1062">
        <v>0.15</v>
      </c>
    </row>
    <row r="332" spans="1:6" ht="14.25" thickBot="1">
      <c r="A332" s="837" t="s">
        <v>1004</v>
      </c>
      <c r="B332" s="831" t="s">
        <v>352</v>
      </c>
      <c r="C332" s="1061">
        <v>0.15</v>
      </c>
      <c r="D332" s="1061">
        <v>0.15</v>
      </c>
      <c r="E332" s="1061">
        <v>0.15</v>
      </c>
      <c r="F332" s="1062">
        <v>0.15</v>
      </c>
    </row>
    <row r="333" spans="1:6" ht="14.25" thickBot="1">
      <c r="A333" s="837" t="s">
        <v>1004</v>
      </c>
      <c r="B333" s="831" t="s">
        <v>1015</v>
      </c>
      <c r="C333" s="1061">
        <v>0.15</v>
      </c>
      <c r="D333" s="1061">
        <v>0.15</v>
      </c>
      <c r="E333" s="1061">
        <v>0.15</v>
      </c>
      <c r="F333" s="1062">
        <v>0.14099999999999999</v>
      </c>
    </row>
    <row r="334" spans="1:6" ht="14.25" thickBot="1">
      <c r="A334" s="837" t="s">
        <v>1004</v>
      </c>
      <c r="B334" s="831" t="s">
        <v>372</v>
      </c>
      <c r="C334" s="1061">
        <v>0.15</v>
      </c>
      <c r="D334" s="1061">
        <v>0.15</v>
      </c>
      <c r="E334" s="1061">
        <v>0.15</v>
      </c>
      <c r="F334" s="1062">
        <v>0.15</v>
      </c>
    </row>
    <row r="335" spans="1:6" ht="14.25" thickBot="1">
      <c r="A335" s="837" t="s">
        <v>1004</v>
      </c>
      <c r="B335" s="831" t="s">
        <v>382</v>
      </c>
      <c r="C335" s="1061">
        <v>0.15</v>
      </c>
      <c r="D335" s="1061">
        <v>0.15</v>
      </c>
      <c r="E335" s="1061">
        <v>0.15</v>
      </c>
      <c r="F335" s="1073"/>
    </row>
    <row r="336" spans="1:6" ht="14.25" thickBot="1">
      <c r="A336" s="837" t="s">
        <v>1004</v>
      </c>
      <c r="B336" s="831" t="s">
        <v>1016</v>
      </c>
      <c r="C336" s="1061">
        <v>0.15</v>
      </c>
      <c r="D336" s="1061">
        <v>0.15</v>
      </c>
      <c r="E336" s="1061">
        <v>0.15</v>
      </c>
      <c r="F336" s="1062">
        <v>0.11799999999999999</v>
      </c>
    </row>
    <row r="337" spans="1:6" ht="14.25" thickBot="1">
      <c r="A337" s="847" t="s">
        <v>1004</v>
      </c>
      <c r="B337" s="843" t="s">
        <v>400</v>
      </c>
      <c r="C337" s="1071"/>
      <c r="D337" s="1071"/>
      <c r="E337" s="1071"/>
      <c r="F337" s="1064">
        <v>0.14299999999999999</v>
      </c>
    </row>
    <row r="338" spans="1:6" ht="14.25" thickBot="1">
      <c r="A338" s="837" t="s">
        <v>1017</v>
      </c>
      <c r="B338" s="838" t="s">
        <v>1018</v>
      </c>
      <c r="C338" s="1059">
        <v>0.15</v>
      </c>
      <c r="D338" s="1059">
        <v>0.15</v>
      </c>
      <c r="E338" s="1059">
        <v>0.15</v>
      </c>
      <c r="F338" s="1076"/>
    </row>
    <row r="339" spans="1:6" ht="14.25" thickBot="1">
      <c r="A339" s="837" t="s">
        <v>1017</v>
      </c>
      <c r="B339" s="831" t="s">
        <v>1019</v>
      </c>
      <c r="C339" s="1061">
        <v>0.15</v>
      </c>
      <c r="D339" s="1061">
        <v>0.15</v>
      </c>
      <c r="E339" s="1061">
        <v>0.15</v>
      </c>
      <c r="F339" s="1073"/>
    </row>
    <row r="340" spans="1:6" ht="14.25" thickBot="1">
      <c r="A340" s="837" t="s">
        <v>1017</v>
      </c>
      <c r="B340" s="831" t="s">
        <v>1020</v>
      </c>
      <c r="C340" s="1061">
        <v>0.15</v>
      </c>
      <c r="D340" s="1061">
        <v>0.15</v>
      </c>
      <c r="E340" s="1061">
        <v>0.15</v>
      </c>
      <c r="F340" s="1073"/>
    </row>
    <row r="341" spans="1:6" ht="14.25" thickBot="1">
      <c r="A341" s="837" t="s">
        <v>1017</v>
      </c>
      <c r="B341" s="831" t="s">
        <v>1021</v>
      </c>
      <c r="C341" s="1061">
        <v>0.15</v>
      </c>
      <c r="D341" s="1061">
        <v>0.15</v>
      </c>
      <c r="E341" s="1061">
        <v>0.15</v>
      </c>
      <c r="F341" s="1062">
        <v>0.15</v>
      </c>
    </row>
    <row r="342" spans="1:6" ht="14.25" thickBot="1">
      <c r="A342" s="837" t="s">
        <v>1017</v>
      </c>
      <c r="B342" s="831" t="s">
        <v>1022</v>
      </c>
      <c r="C342" s="1061">
        <v>0.15</v>
      </c>
      <c r="D342" s="1061">
        <v>0.15</v>
      </c>
      <c r="E342" s="1061">
        <v>0.15</v>
      </c>
      <c r="F342" s="1062">
        <v>0.15</v>
      </c>
    </row>
    <row r="343" spans="1:6" ht="14.25" thickBot="1">
      <c r="A343" s="837" t="s">
        <v>1017</v>
      </c>
      <c r="B343" s="831" t="s">
        <v>1023</v>
      </c>
      <c r="C343" s="1061">
        <v>0.15</v>
      </c>
      <c r="D343" s="1061">
        <v>0.15</v>
      </c>
      <c r="E343" s="1061">
        <v>0.15</v>
      </c>
      <c r="F343" s="1062">
        <v>0.15</v>
      </c>
    </row>
    <row r="344" spans="1:6" ht="14.2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1295</v>
      </c>
      <c r="C1" s="1691">
        <f>项目基本情况!D3</f>
        <v>43951</v>
      </c>
      <c r="D1" s="1697" t="s">
        <v>1296</v>
      </c>
      <c r="E1" s="1692">
        <f>'数据-取费表'!B22</f>
        <v>3</v>
      </c>
      <c r="F1" s="1697" t="s">
        <v>1297</v>
      </c>
      <c r="G1" s="1693">
        <f ca="1">INDIRECT("d"&amp;$K$1)/100</f>
        <v>4.7500000000000001E-2</v>
      </c>
      <c r="H1" s="1697" t="s">
        <v>1327</v>
      </c>
      <c r="I1" s="1693">
        <f ca="1">F4/100</f>
        <v>1.4999999999999999E-2</v>
      </c>
      <c r="J1" s="1698">
        <f>IF(C1&gt;C13,0,MATCH(C1,C$13:C$100,-1))+IF(SUMIF(C13:C100,C1,D13:D100)=0,13,12)</f>
        <v>13</v>
      </c>
      <c r="K1" s="1698">
        <f ca="1">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70" t="str">
        <f>IF(项目基本情况!B9="房地产市场价值","估价结果一览表","结果表-2")</f>
        <v>结果表-2</v>
      </c>
      <c r="B1" s="3070"/>
      <c r="C1" s="3070"/>
      <c r="D1" s="3070"/>
      <c r="E1" s="3070"/>
      <c r="F1" s="3070"/>
      <c r="G1" s="3070"/>
      <c r="H1" s="3070"/>
      <c r="I1" s="3070"/>
    </row>
    <row r="2" spans="1:9" ht="30" customHeight="1" thickTop="1">
      <c r="A2" s="3071" t="s">
        <v>1635</v>
      </c>
      <c r="B2" s="3071" t="s">
        <v>1636</v>
      </c>
      <c r="C2" s="3071" t="s">
        <v>1637</v>
      </c>
      <c r="D2" s="3071" t="str">
        <f>结果表!D116</f>
        <v>出让国有建设用地使用权价值</v>
      </c>
      <c r="E2" s="3071"/>
      <c r="F2" s="3071" t="str">
        <f>结果表!F116</f>
        <v>在建建筑物价值</v>
      </c>
      <c r="G2" s="3071"/>
      <c r="H2" s="3071" t="str">
        <f>IF(项目基本情况!B9="房地产市场价值","房地产市场价值","房地产价值")</f>
        <v>房地产价值</v>
      </c>
      <c r="I2" s="3071"/>
    </row>
    <row r="3" spans="1:9" ht="15">
      <c r="A3" s="3072"/>
      <c r="B3" s="3072"/>
      <c r="C3" s="3072"/>
      <c r="D3" s="1041" t="s">
        <v>1632</v>
      </c>
      <c r="E3" s="1041" t="s">
        <v>1638</v>
      </c>
      <c r="F3" s="1041" t="s">
        <v>1632</v>
      </c>
      <c r="G3" s="1041" t="s">
        <v>1633</v>
      </c>
      <c r="H3" s="1041" t="s">
        <v>1632</v>
      </c>
      <c r="I3" s="1041" t="s">
        <v>1633</v>
      </c>
    </row>
    <row r="4" spans="1:9" ht="75">
      <c r="A4" s="1969" t="str">
        <f>项目基本情况!S2</f>
        <v>河南省郑州市金水区红旗路北、经七路东“恒祥百悦城一号院”项目局部住宅、办公（公寓）、商业用房出让国有建设用地使用权及在建建筑物房地产</v>
      </c>
      <c r="B4" s="1041">
        <f>项目基本情况!C17</f>
        <v>120164.37999999998</v>
      </c>
      <c r="C4" s="1041">
        <f>项目基本情况!C18</f>
        <v>20565.18</v>
      </c>
      <c r="D4" s="1041">
        <f ca="1">结果表!D118</f>
        <v>128152</v>
      </c>
      <c r="E4" s="1041">
        <f ca="1">结果表!E118</f>
        <v>10665</v>
      </c>
      <c r="F4" s="1041">
        <f ca="1">结果表!F118</f>
        <v>27372</v>
      </c>
      <c r="G4" s="1041">
        <f ca="1">结果表!G118</f>
        <v>2278</v>
      </c>
      <c r="H4" s="1041">
        <f ca="1">结果表!H118</f>
        <v>155524</v>
      </c>
      <c r="I4" s="1041">
        <f ca="1">结果表!I118</f>
        <v>12943</v>
      </c>
    </row>
    <row r="5" spans="1:9" ht="30" customHeight="1">
      <c r="A5" s="3072" t="s">
        <v>1634</v>
      </c>
      <c r="B5" s="3072"/>
      <c r="C5" s="3072"/>
      <c r="D5" s="3073" t="str">
        <f ca="1">结果表!D119</f>
        <v>壹拾贰亿捌仟壹佰伍拾贰万元整</v>
      </c>
      <c r="E5" s="3073"/>
      <c r="F5" s="3073" t="str">
        <f ca="1">结果表!F119</f>
        <v>贰亿柒仟叁佰柒拾贰万元整</v>
      </c>
      <c r="G5" s="3073"/>
      <c r="H5" s="3073" t="str">
        <f ca="1">结果表!H119</f>
        <v>壹拾伍亿伍仟伍佰贰拾肆万元整</v>
      </c>
      <c r="I5" s="3073"/>
    </row>
    <row r="6" spans="1:9" ht="15.75">
      <c r="A6" s="3074" t="str">
        <f>结果表!A120</f>
        <v>估价师知悉的法定优先受偿款</v>
      </c>
      <c r="B6" s="3074"/>
      <c r="C6" s="3074"/>
      <c r="D6" s="3074">
        <f>结果表!D120</f>
        <v>20754</v>
      </c>
      <c r="E6" s="3074"/>
      <c r="F6" s="3074"/>
      <c r="G6" s="3074"/>
      <c r="H6" s="3074"/>
      <c r="I6" s="3074"/>
    </row>
    <row r="7" spans="1:9" ht="15">
      <c r="A7" s="3072" t="s">
        <v>1634</v>
      </c>
      <c r="B7" s="3072"/>
      <c r="C7" s="3072"/>
      <c r="D7" s="3075" t="str">
        <f>结果表!D121</f>
        <v>贰亿零柒佰伍拾肆万元整</v>
      </c>
      <c r="E7" s="3076"/>
      <c r="F7" s="3076"/>
      <c r="G7" s="3076"/>
      <c r="H7" s="3076"/>
      <c r="I7" s="3077"/>
    </row>
    <row r="8" spans="1:9" ht="15.75">
      <c r="A8" s="3074" t="str">
        <f>结果表!A122</f>
        <v>房地产抵押价值</v>
      </c>
      <c r="B8" s="3074"/>
      <c r="C8" s="3074"/>
      <c r="D8" s="3074">
        <f ca="1">结果表!D122</f>
        <v>134770</v>
      </c>
      <c r="E8" s="3074"/>
      <c r="F8" s="3074"/>
      <c r="G8" s="3074"/>
      <c r="H8" s="3074"/>
      <c r="I8" s="3074"/>
    </row>
    <row r="9" spans="1:9" ht="15">
      <c r="A9" s="3072" t="s">
        <v>1634</v>
      </c>
      <c r="B9" s="3072"/>
      <c r="C9" s="3072"/>
      <c r="D9" s="3073" t="str">
        <f ca="1">结果表!D123</f>
        <v>壹拾叁亿肆仟柒佰柒拾万元整</v>
      </c>
      <c r="E9" s="3073"/>
      <c r="F9" s="3073"/>
      <c r="G9" s="3073"/>
      <c r="H9" s="3073"/>
      <c r="I9" s="3073"/>
    </row>
    <row r="10" spans="1:9" ht="15.75">
      <c r="A10" s="3074" t="str">
        <f>结果表!A124</f>
        <v/>
      </c>
      <c r="B10" s="3074"/>
      <c r="C10" s="3074"/>
      <c r="D10" s="3074" t="str">
        <f>结果表!D124</f>
        <v>——</v>
      </c>
      <c r="E10" s="3074"/>
      <c r="F10" s="3074"/>
      <c r="G10" s="3074"/>
      <c r="H10" s="3074"/>
      <c r="I10" s="3074"/>
    </row>
    <row r="11" spans="1:9" ht="15">
      <c r="A11" s="3072" t="s">
        <v>1634</v>
      </c>
      <c r="B11" s="3072"/>
      <c r="C11" s="3072"/>
      <c r="D11" s="3073" t="e">
        <f>结果表!D125</f>
        <v>#VALUE!</v>
      </c>
      <c r="E11" s="3073"/>
      <c r="F11" s="3073"/>
      <c r="G11" s="3073"/>
      <c r="H11" s="3073"/>
      <c r="I11" s="3073"/>
    </row>
    <row r="12" spans="1:9" ht="15.75">
      <c r="A12" s="3074" t="str">
        <f>结果表!A126</f>
        <v/>
      </c>
      <c r="B12" s="3074"/>
      <c r="C12" s="3074"/>
      <c r="D12" s="3074" t="str">
        <f>结果表!D126</f>
        <v>——</v>
      </c>
      <c r="E12" s="3074"/>
      <c r="F12" s="3074"/>
      <c r="G12" s="3074"/>
      <c r="H12" s="3074"/>
      <c r="I12" s="3074"/>
    </row>
    <row r="13" spans="1:9" ht="15.75" thickBot="1">
      <c r="A13" s="3078" t="s">
        <v>1634</v>
      </c>
      <c r="B13" s="3078"/>
      <c r="C13" s="3078"/>
      <c r="D13" s="3079" t="e">
        <f>结果表!D127</f>
        <v>#VALUE!</v>
      </c>
      <c r="E13" s="3079"/>
      <c r="F13" s="3079"/>
      <c r="G13" s="3079"/>
      <c r="H13" s="3079"/>
      <c r="I13" s="3079"/>
    </row>
    <row r="14" spans="1:9" ht="15" thickTop="1">
      <c r="A14" s="3080" t="s">
        <v>1639</v>
      </c>
      <c r="B14" s="3080"/>
      <c r="C14" s="3080"/>
      <c r="D14" s="3080"/>
      <c r="E14" s="3080"/>
      <c r="F14" s="3080"/>
      <c r="G14" s="3080"/>
      <c r="H14" s="3080"/>
      <c r="I14" s="3080"/>
    </row>
    <row r="16" spans="1:9" ht="18.75">
      <c r="A16" s="1970" t="s">
        <v>1622</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1367</v>
      </c>
      <c r="E1" s="1773" t="s">
        <v>1371</v>
      </c>
      <c r="F1" s="1774" t="s">
        <v>1375</v>
      </c>
    </row>
    <row r="2" spans="1:13" ht="20.25">
      <c r="A2" s="1780" t="s">
        <v>1368</v>
      </c>
    </row>
    <row r="3" spans="1:13" ht="16.5">
      <c r="A3" s="1781" t="s">
        <v>1369</v>
      </c>
    </row>
    <row r="4" spans="1:13" ht="14.25">
      <c r="A4" s="1771" t="s">
        <v>1370</v>
      </c>
      <c r="B4" s="1776" t="s">
        <v>1372</v>
      </c>
      <c r="C4" s="1777"/>
      <c r="D4" s="1778"/>
      <c r="E4" s="1776" t="s">
        <v>27</v>
      </c>
      <c r="F4" s="1777"/>
      <c r="G4" s="1778"/>
      <c r="H4" s="1776" t="s">
        <v>1373</v>
      </c>
      <c r="I4" s="1777"/>
      <c r="J4" s="1778"/>
      <c r="K4" s="1776" t="s">
        <v>6</v>
      </c>
      <c r="L4" s="1777"/>
      <c r="M4" s="1778"/>
    </row>
    <row r="5" spans="1:13" ht="14.25">
      <c r="A5" s="1772" t="s">
        <v>1374</v>
      </c>
      <c r="B5" s="1771" t="s">
        <v>1376</v>
      </c>
      <c r="C5" s="1771" t="s">
        <v>1377</v>
      </c>
      <c r="D5" s="1771" t="s">
        <v>1378</v>
      </c>
      <c r="E5" s="1771" t="s">
        <v>1376</v>
      </c>
      <c r="F5" s="1771" t="s">
        <v>1377</v>
      </c>
      <c r="G5" s="1771" t="s">
        <v>1378</v>
      </c>
      <c r="H5" s="1771" t="s">
        <v>1376</v>
      </c>
      <c r="I5" s="1771" t="s">
        <v>1377</v>
      </c>
      <c r="J5" s="1771" t="s">
        <v>1378</v>
      </c>
      <c r="K5" s="1771" t="s">
        <v>1376</v>
      </c>
      <c r="L5" s="1771" t="s">
        <v>1377</v>
      </c>
      <c r="M5" s="1771" t="s">
        <v>1378</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2:V55"/>
  <sheetViews>
    <sheetView tabSelected="1" topLeftCell="G31" workbookViewId="0">
      <selection activeCell="O41" sqref="O41"/>
    </sheetView>
  </sheetViews>
  <sheetFormatPr defaultRowHeight="13.5"/>
  <cols>
    <col min="9" max="9" width="5.25" bestFit="1" customWidth="1"/>
    <col min="10" max="10" width="25" customWidth="1"/>
    <col min="11" max="11" width="13" bestFit="1" customWidth="1"/>
    <col min="12" max="12" width="15.125" bestFit="1" customWidth="1"/>
    <col min="13" max="13" width="9" bestFit="1" customWidth="1"/>
    <col min="14" max="14" width="15.125" bestFit="1" customWidth="1"/>
  </cols>
  <sheetData>
    <row r="22" spans="9:15">
      <c r="I22" s="3019" t="s">
        <v>3320</v>
      </c>
      <c r="J22" s="3019" t="s">
        <v>3325</v>
      </c>
      <c r="K22" s="3019" t="s">
        <v>3326</v>
      </c>
      <c r="L22" s="3019" t="s">
        <v>3327</v>
      </c>
      <c r="M22" s="3019" t="s">
        <v>3328</v>
      </c>
      <c r="N22" s="3019" t="s">
        <v>3324</v>
      </c>
      <c r="O22" s="3019" t="s">
        <v>3328</v>
      </c>
    </row>
    <row r="23" spans="9:15">
      <c r="I23" s="3019">
        <v>1</v>
      </c>
      <c r="J23" s="3019" t="s">
        <v>3329</v>
      </c>
      <c r="K23" s="3019">
        <v>25608.02</v>
      </c>
      <c r="L23" s="3019">
        <f>ROUND(M23*K23/10000,0)</f>
        <v>33144</v>
      </c>
      <c r="M23" s="3019">
        <v>12943</v>
      </c>
      <c r="N23" s="3019">
        <f>ROUND(O23*K23/10000,0)</f>
        <v>28719</v>
      </c>
      <c r="O23" s="3019">
        <v>11215</v>
      </c>
    </row>
    <row r="24" spans="9:15">
      <c r="I24" s="3019">
        <v>2</v>
      </c>
      <c r="J24" s="3019" t="s">
        <v>3322</v>
      </c>
      <c r="K24" s="3019">
        <v>5457.62</v>
      </c>
      <c r="L24" s="3019">
        <f t="shared" ref="L24:L27" si="0">ROUND(M24*K24/10000,0)</f>
        <v>7064</v>
      </c>
      <c r="M24" s="3019">
        <v>12943</v>
      </c>
      <c r="N24" s="3019">
        <f t="shared" ref="N24:N27" si="1">ROUND(O24*K24/10000,0)</f>
        <v>6121</v>
      </c>
      <c r="O24" s="3019">
        <v>11215</v>
      </c>
    </row>
    <row r="25" spans="9:15">
      <c r="I25" s="3019">
        <v>3</v>
      </c>
      <c r="J25" s="3019" t="s">
        <v>3323</v>
      </c>
      <c r="K25" s="3019">
        <v>70205.22</v>
      </c>
      <c r="L25" s="3019">
        <v>90071</v>
      </c>
      <c r="M25" s="3019">
        <v>12830</v>
      </c>
      <c r="N25" s="3019">
        <v>77946</v>
      </c>
      <c r="O25" s="3019">
        <v>11103</v>
      </c>
    </row>
    <row r="26" spans="9:15">
      <c r="I26" s="3019">
        <v>4</v>
      </c>
      <c r="J26" s="3019" t="s">
        <v>3330</v>
      </c>
      <c r="K26" s="3019">
        <f>89098.74-K27</f>
        <v>45956.630000000005</v>
      </c>
      <c r="L26" s="3019">
        <f t="shared" si="0"/>
        <v>59482</v>
      </c>
      <c r="M26" s="3019">
        <v>12943</v>
      </c>
      <c r="N26" s="3019">
        <f t="shared" si="1"/>
        <v>51540</v>
      </c>
      <c r="O26" s="3019">
        <v>11215</v>
      </c>
    </row>
    <row r="27" spans="9:15">
      <c r="I27" s="3019">
        <v>5</v>
      </c>
      <c r="J27" s="3019" t="s">
        <v>3330</v>
      </c>
      <c r="K27" s="3019">
        <v>43142.11</v>
      </c>
      <c r="L27" s="3019">
        <f t="shared" si="0"/>
        <v>55839</v>
      </c>
      <c r="M27" s="3019">
        <v>12943</v>
      </c>
      <c r="N27" s="3019">
        <f t="shared" si="1"/>
        <v>48384</v>
      </c>
      <c r="O27" s="3019">
        <v>11215</v>
      </c>
    </row>
    <row r="28" spans="9:15">
      <c r="I28" s="3019"/>
      <c r="J28" s="3019" t="s">
        <v>3331</v>
      </c>
      <c r="K28" s="3019">
        <f>SUM(K23:K27)</f>
        <v>190369.59999999998</v>
      </c>
      <c r="L28" s="3019">
        <f>SUM(L23:L27)</f>
        <v>245600</v>
      </c>
      <c r="M28" s="3019" t="s">
        <v>3332</v>
      </c>
      <c r="N28" s="3019">
        <f>SUM(N23:N27)</f>
        <v>212710</v>
      </c>
      <c r="O28" s="3019" t="s">
        <v>3333</v>
      </c>
    </row>
    <row r="45" spans="9:22" ht="14.25" thickBot="1"/>
    <row r="46" spans="9:22" ht="15" thickBot="1">
      <c r="I46" s="3054" t="s">
        <v>3319</v>
      </c>
      <c r="J46" s="3058" t="s">
        <v>1370</v>
      </c>
      <c r="K46" s="3058" t="s">
        <v>3273</v>
      </c>
      <c r="L46" s="3058" t="s">
        <v>3321</v>
      </c>
      <c r="M46" s="3426" t="s">
        <v>3278</v>
      </c>
      <c r="T46" s="3433"/>
      <c r="U46" s="3433"/>
      <c r="V46" s="3433"/>
    </row>
    <row r="47" spans="9:22" ht="15.75" thickBot="1">
      <c r="I47" s="3055">
        <v>1</v>
      </c>
      <c r="J47" s="3056" t="s">
        <v>3334</v>
      </c>
      <c r="K47" s="3057">
        <v>25608.02</v>
      </c>
      <c r="L47" s="3057">
        <v>38060</v>
      </c>
      <c r="M47" s="3427">
        <v>14863</v>
      </c>
      <c r="N47">
        <f>L47+L48+L50</f>
        <v>142136</v>
      </c>
      <c r="P47" s="993"/>
      <c r="Q47" s="3434" t="s">
        <v>3343</v>
      </c>
      <c r="R47" s="993"/>
      <c r="S47" s="993"/>
      <c r="T47" s="3434" t="s">
        <v>3344</v>
      </c>
      <c r="U47" s="993"/>
      <c r="V47" s="993"/>
    </row>
    <row r="48" spans="9:22" ht="15.75" thickBot="1">
      <c r="I48" s="3055">
        <v>2</v>
      </c>
      <c r="J48" s="3056" t="s">
        <v>3335</v>
      </c>
      <c r="K48" s="3057">
        <v>5457.62</v>
      </c>
      <c r="L48" s="3057">
        <f t="shared" ref="L48:L49" si="2">ROUND(M48*K48/10000,0)</f>
        <v>14005</v>
      </c>
      <c r="M48" s="3427">
        <v>25661</v>
      </c>
      <c r="N48">
        <f>L54-N47</f>
        <v>103459</v>
      </c>
      <c r="P48" s="993"/>
      <c r="Q48" s="2546" t="s">
        <v>3068</v>
      </c>
      <c r="R48" s="2546" t="s">
        <v>3141</v>
      </c>
      <c r="S48" s="2546" t="s">
        <v>3142</v>
      </c>
      <c r="T48" s="2546" t="s">
        <v>3068</v>
      </c>
      <c r="U48" s="2546" t="s">
        <v>3141</v>
      </c>
      <c r="V48" s="2546" t="s">
        <v>3142</v>
      </c>
    </row>
    <row r="49" spans="9:22" ht="15.75" thickBot="1">
      <c r="I49" s="3055">
        <v>3</v>
      </c>
      <c r="J49" s="3056" t="s">
        <v>3336</v>
      </c>
      <c r="K49" s="3057">
        <v>45956.63</v>
      </c>
      <c r="L49" s="3057">
        <v>53363</v>
      </c>
      <c r="M49" s="3427">
        <v>11612</v>
      </c>
      <c r="N49">
        <f>N48/(K49+K52)*10000</f>
        <v>11611.724251094911</v>
      </c>
      <c r="O49">
        <f>ROUND(K49*N49/10000,0)</f>
        <v>53364</v>
      </c>
      <c r="P49" s="993" t="s">
        <v>3341</v>
      </c>
      <c r="Q49" s="959">
        <v>18562</v>
      </c>
      <c r="R49" s="959">
        <v>14502</v>
      </c>
      <c r="S49" s="959">
        <v>32049</v>
      </c>
      <c r="T49" s="959">
        <f ca="1">ROUND(T51/T50*10000,0)</f>
        <v>14863</v>
      </c>
      <c r="U49" s="959">
        <f ca="1">ROUND(U51/U50*10000,0)</f>
        <v>11612</v>
      </c>
      <c r="V49" s="959">
        <f ca="1">ROUND(V51/V50*10000,0)</f>
        <v>25661</v>
      </c>
    </row>
    <row r="50" spans="9:22" ht="15.75" thickBot="1">
      <c r="I50" s="3055">
        <v>4</v>
      </c>
      <c r="J50" s="3056" t="s">
        <v>3337</v>
      </c>
      <c r="K50" s="3057">
        <v>70205.22</v>
      </c>
      <c r="L50" s="3057">
        <v>90071</v>
      </c>
      <c r="M50" s="3427">
        <v>12830</v>
      </c>
      <c r="P50" s="993" t="s">
        <v>3340</v>
      </c>
      <c r="Q50" s="321">
        <v>25608.019999999997</v>
      </c>
      <c r="R50" s="321">
        <v>89098.739999999991</v>
      </c>
      <c r="S50" s="321">
        <v>5457.62</v>
      </c>
      <c r="T50" s="321">
        <v>25608.019999999997</v>
      </c>
      <c r="U50" s="321">
        <v>89098.739999999991</v>
      </c>
      <c r="V50" s="321">
        <v>5457.62</v>
      </c>
    </row>
    <row r="51" spans="9:22" ht="16.5" thickBot="1">
      <c r="I51" s="3430" t="s">
        <v>40</v>
      </c>
      <c r="J51" s="3431"/>
      <c r="K51" s="3432"/>
      <c r="L51" s="3428">
        <f>SUM(L47:L50)</f>
        <v>195499</v>
      </c>
      <c r="M51" s="3429" t="s">
        <v>70</v>
      </c>
      <c r="P51" s="993" t="s">
        <v>3342</v>
      </c>
      <c r="Q51" s="959">
        <v>47534</v>
      </c>
      <c r="R51" s="959">
        <v>129211</v>
      </c>
      <c r="S51" s="959">
        <v>17491</v>
      </c>
      <c r="T51" s="959">
        <f ca="1">ROUND(Q51/P53*P55,0)</f>
        <v>38060</v>
      </c>
      <c r="U51" s="959">
        <f ca="1">ROUND(R51/P53*P55,0)</f>
        <v>103459</v>
      </c>
      <c r="V51" s="959">
        <f ca="1">ROUND(S51/P53*P55,0)</f>
        <v>14005</v>
      </c>
    </row>
    <row r="52" spans="9:22" ht="15.75" thickBot="1">
      <c r="I52" s="3055">
        <v>5</v>
      </c>
      <c r="J52" s="3056" t="s">
        <v>3336</v>
      </c>
      <c r="K52" s="3057">
        <v>43142.11</v>
      </c>
      <c r="L52" s="3057">
        <f>L54-L51</f>
        <v>50096</v>
      </c>
      <c r="M52" s="3427">
        <v>11612</v>
      </c>
      <c r="O52">
        <f>ROUND(N49*K52/10000,0)</f>
        <v>50095</v>
      </c>
      <c r="P52" s="993" t="s">
        <v>3338</v>
      </c>
    </row>
    <row r="53" spans="9:22" ht="16.5" thickBot="1">
      <c r="I53" s="3430" t="s">
        <v>40</v>
      </c>
      <c r="J53" s="3431"/>
      <c r="K53" s="3432"/>
      <c r="L53" s="3428">
        <f>L52</f>
        <v>50096</v>
      </c>
      <c r="M53" s="3429" t="s">
        <v>70</v>
      </c>
      <c r="P53" s="993">
        <v>194236</v>
      </c>
    </row>
    <row r="54" spans="9:22" ht="16.5" thickBot="1">
      <c r="I54" s="3430" t="s">
        <v>37</v>
      </c>
      <c r="J54" s="3432"/>
      <c r="K54" s="3428">
        <v>190369.6</v>
      </c>
      <c r="L54" s="3428">
        <v>245595</v>
      </c>
      <c r="M54" s="3429" t="s">
        <v>70</v>
      </c>
      <c r="P54" s="993" t="s">
        <v>3339</v>
      </c>
    </row>
    <row r="55" spans="9:22" ht="15">
      <c r="P55" s="993">
        <f ca="1">结果表!G19</f>
        <v>155524</v>
      </c>
    </row>
  </sheetData>
  <mergeCells count="3">
    <mergeCell ref="I51:K51"/>
    <mergeCell ref="I53:K53"/>
    <mergeCell ref="I54:J54"/>
  </mergeCells>
  <phoneticPr fontId="14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81" t="s">
        <v>1656</v>
      </c>
      <c r="B1" s="3081"/>
      <c r="C1" s="3081"/>
      <c r="D1" s="3081"/>
    </row>
    <row r="2" spans="1:4" ht="18">
      <c r="A2" s="3082" t="s">
        <v>1640</v>
      </c>
      <c r="B2" s="3082"/>
      <c r="C2" s="3082"/>
      <c r="D2" s="3082"/>
    </row>
    <row r="3" spans="1:4" ht="18.75">
      <c r="A3" s="1973" t="s">
        <v>1641</v>
      </c>
      <c r="B3" s="1973" t="s">
        <v>1642</v>
      </c>
      <c r="C3" s="1973" t="s">
        <v>1643</v>
      </c>
      <c r="D3" s="1973" t="s">
        <v>1644</v>
      </c>
    </row>
    <row r="4" spans="1:4" ht="56.25" customHeight="1">
      <c r="A4" s="1974" t="str">
        <f>项目基本情况!B4</f>
        <v>王鹏</v>
      </c>
      <c r="B4" s="1975">
        <f ca="1">项目基本情况!C4</f>
        <v>0</v>
      </c>
      <c r="C4" s="1976"/>
      <c r="D4" s="1977" t="s">
        <v>1645</v>
      </c>
    </row>
    <row r="5" spans="1:4" ht="56.25" customHeight="1">
      <c r="A5" s="1974" t="str">
        <f>项目基本情况!D4</f>
        <v>郑燚</v>
      </c>
      <c r="B5" s="1975">
        <f ca="1">项目基本情况!E4</f>
        <v>1120070131</v>
      </c>
      <c r="C5" s="1978"/>
      <c r="D5" s="1977" t="s">
        <v>1645</v>
      </c>
    </row>
    <row r="6" spans="1:4" ht="18">
      <c r="A6" s="3082" t="s">
        <v>1646</v>
      </c>
      <c r="B6" s="3082"/>
      <c r="C6" s="3082"/>
      <c r="D6" s="3082"/>
    </row>
    <row r="7" spans="1:4" ht="18.75">
      <c r="A7" s="1973" t="s">
        <v>1641</v>
      </c>
      <c r="B7" s="1975" t="s">
        <v>1647</v>
      </c>
      <c r="C7" s="1973" t="s">
        <v>1643</v>
      </c>
      <c r="D7" s="1973" t="s">
        <v>1644</v>
      </c>
    </row>
    <row r="8" spans="1:4" ht="56.25" customHeight="1">
      <c r="A8" s="1979" t="s">
        <v>865</v>
      </c>
      <c r="B8" s="1979" t="s">
        <v>1</v>
      </c>
      <c r="C8" s="1976"/>
      <c r="D8" s="1977" t="s">
        <v>1645</v>
      </c>
    </row>
    <row r="9" spans="1:4">
      <c r="A9" s="728"/>
      <c r="B9" s="728"/>
      <c r="C9" s="728"/>
      <c r="D9" s="728"/>
    </row>
    <row r="10" spans="1:4" ht="18.75">
      <c r="A10" s="1980" t="s">
        <v>1648</v>
      </c>
      <c r="B10" s="728"/>
      <c r="C10" s="728"/>
      <c r="D10" s="728"/>
    </row>
    <row r="11" spans="1:4" ht="30" customHeight="1">
      <c r="A11" s="3083" t="s">
        <v>1649</v>
      </c>
      <c r="B11" s="3084"/>
      <c r="C11" s="3084"/>
      <c r="D11" s="3084"/>
    </row>
    <row r="12" spans="1:4" ht="15.75">
      <c r="A12" s="30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5"/>
      <c r="C12" s="3085"/>
      <c r="D12" s="3085"/>
    </row>
    <row r="13" spans="1:4" ht="30" customHeight="1">
      <c r="A13" s="30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5"/>
      <c r="C13" s="3085"/>
      <c r="D13" s="3085"/>
    </row>
    <row r="14" spans="1:4" ht="15.75" customHeight="1">
      <c r="A14" s="3084" t="str">
        <f>IF(项目基本情况!B8="抵押","4.本次评估估价师所知悉的法定优先受偿款情况说明如下：","——")</f>
        <v>4.本次评估估价师所知悉的法定优先受偿款情况说明如下：</v>
      </c>
      <c r="B14" s="3085"/>
      <c r="C14" s="3085"/>
      <c r="D14" s="3085"/>
    </row>
    <row r="15" spans="1:4" ht="42" customHeight="1">
      <c r="A15" s="3084" t="str">
        <f>IF(项目基本情况!B8="抵押","（1）"&amp;CONCATENATE(项目基本情况!L20,项目基本情况!L21,项目基本情况!L22),"——")</f>
        <v>（1）根据估价对象《房屋所有权证》原件、《国有土地使用权》复印件，截至价值时点，估价对象抵押权未见登记。</v>
      </c>
      <c r="B15" s="3084"/>
      <c r="C15" s="3084"/>
      <c r="D15" s="3084"/>
    </row>
    <row r="16" spans="1:4" ht="30" customHeight="1">
      <c r="A16" s="3087" t="s">
        <v>1650</v>
      </c>
      <c r="B16" s="3087"/>
      <c r="C16" s="3087"/>
      <c r="D16" s="3087"/>
    </row>
    <row r="17" spans="1:4" ht="144" customHeight="1">
      <c r="A17" s="3087" t="s">
        <v>1651</v>
      </c>
      <c r="B17" s="3087"/>
      <c r="C17" s="3087"/>
      <c r="D17" s="3087"/>
    </row>
    <row r="18" spans="1:4" ht="15.75" customHeight="1">
      <c r="A18" s="3084" t="str">
        <f>IF(项目基本情况!B8="抵押",结果表!K120,"——")</f>
        <v>故，本次评估估价师知悉的法定优先受偿款为人民币20754万元整。</v>
      </c>
      <c r="B18" s="3084"/>
      <c r="C18" s="3084"/>
      <c r="D18" s="3084"/>
    </row>
    <row r="19" spans="1:4" ht="46.5" customHeight="1">
      <c r="A19" s="30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4"/>
      <c r="C19" s="3084"/>
      <c r="D19" s="3084"/>
    </row>
    <row r="20" spans="1:4" ht="57.75" customHeight="1">
      <c r="A20" s="30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4"/>
      <c r="C20" s="3084"/>
      <c r="D20" s="3084"/>
    </row>
    <row r="21" spans="1:4" ht="57.75" customHeight="1">
      <c r="A21" s="30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8"/>
      <c r="C21" s="3088"/>
      <c r="D21" s="3088"/>
    </row>
    <row r="22" spans="1:4" ht="18.75" customHeight="1">
      <c r="A22" s="3089" t="s">
        <v>1652</v>
      </c>
      <c r="B22" s="3089"/>
      <c r="C22" s="3089"/>
      <c r="D22" s="3089"/>
    </row>
    <row r="23" spans="1:4">
      <c r="A23" s="1981"/>
      <c r="B23" s="1953"/>
      <c r="C23" s="1953"/>
      <c r="D23" s="1953"/>
    </row>
    <row r="24" spans="1:4">
      <c r="A24" s="1981"/>
      <c r="B24" s="1953"/>
      <c r="C24" s="1953"/>
      <c r="D24" s="1953"/>
    </row>
    <row r="25" spans="1:4" ht="18.75">
      <c r="A25" s="1982" t="s">
        <v>1653</v>
      </c>
    </row>
    <row r="26" spans="1:4" ht="18">
      <c r="A26" s="1951"/>
    </row>
    <row r="27" spans="1:4" ht="18.75">
      <c r="A27" s="1951" t="s">
        <v>1654</v>
      </c>
    </row>
    <row r="30" spans="1:4" ht="18.75">
      <c r="D30" s="1982" t="s">
        <v>1655</v>
      </c>
    </row>
    <row r="31" spans="1:4" ht="13.5" customHeight="1">
      <c r="C31" s="3086">
        <v>42551</v>
      </c>
      <c r="D31" s="30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866</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3" sqref="E23"/>
      <selection pane="bottomLeft" activeCell="E23" sqref="E23"/>
    </sheetView>
  </sheetViews>
  <sheetFormatPr defaultColWidth="14.5" defaultRowHeight="14.25"/>
  <cols>
    <col min="1" max="1" width="14.5" style="1989" customWidth="1"/>
    <col min="2" max="16384" width="14.5" style="1971"/>
  </cols>
  <sheetData>
    <row r="1" spans="1:7" s="1986" customFormat="1" ht="18.75">
      <c r="A1" s="1985" t="s">
        <v>1657</v>
      </c>
    </row>
    <row r="3" spans="1:7">
      <c r="A3" s="1987" t="s">
        <v>82</v>
      </c>
      <c r="B3" s="1971" t="s">
        <v>1658</v>
      </c>
      <c r="G3" s="1988"/>
    </row>
    <row r="4" spans="1:7">
      <c r="G4" s="1988"/>
    </row>
    <row r="5" spans="1:7">
      <c r="A5" s="1990" t="s">
        <v>73</v>
      </c>
      <c r="B5" s="1971" t="s">
        <v>1659</v>
      </c>
      <c r="G5" s="1988"/>
    </row>
    <row r="6" spans="1:7">
      <c r="G6" s="1988"/>
    </row>
    <row r="7" spans="1:7">
      <c r="A7" s="1991" t="s">
        <v>135</v>
      </c>
      <c r="B7" s="1971" t="s">
        <v>1660</v>
      </c>
      <c r="G7" s="1988"/>
    </row>
    <row r="8" spans="1:7">
      <c r="G8" s="1988"/>
    </row>
    <row r="9" spans="1:7">
      <c r="A9" s="1992" t="s">
        <v>74</v>
      </c>
      <c r="B9" s="1971" t="s">
        <v>1661</v>
      </c>
    </row>
    <row r="11" spans="1:7">
      <c r="A11" s="1993" t="s">
        <v>75</v>
      </c>
      <c r="B11" s="1994" t="s">
        <v>72</v>
      </c>
    </row>
    <row r="13" spans="1:7">
      <c r="A13" s="1995" t="s">
        <v>1662</v>
      </c>
    </row>
    <row r="15" spans="1:7" ht="13.5">
      <c r="A15" s="3095" t="s">
        <v>1663</v>
      </c>
      <c r="B15" s="3090" t="s">
        <v>136</v>
      </c>
      <c r="C15" s="3091"/>
    </row>
    <row r="16" spans="1:7" ht="13.5">
      <c r="A16" s="3096"/>
      <c r="B16" s="3090" t="s">
        <v>69</v>
      </c>
      <c r="C16" s="3091"/>
    </row>
    <row r="17" spans="1:3" ht="13.5">
      <c r="A17" s="3096"/>
      <c r="B17" s="3093" t="s">
        <v>1664</v>
      </c>
      <c r="C17" s="1996" t="s">
        <v>1663</v>
      </c>
    </row>
    <row r="18" spans="1:3" ht="13.5">
      <c r="A18" s="3096"/>
      <c r="B18" s="3093"/>
      <c r="C18" s="1996" t="s">
        <v>1665</v>
      </c>
    </row>
    <row r="19" spans="1:3" ht="13.5">
      <c r="A19" s="3096"/>
      <c r="B19" s="3093"/>
      <c r="C19" s="1996" t="s">
        <v>1666</v>
      </c>
    </row>
    <row r="20" spans="1:3" ht="13.5">
      <c r="A20" s="3097"/>
      <c r="B20" s="3092" t="s">
        <v>1667</v>
      </c>
      <c r="C20" s="3091"/>
    </row>
    <row r="21" spans="1:3" ht="13.5">
      <c r="A21" s="1997" t="s">
        <v>1668</v>
      </c>
      <c r="B21" s="1998"/>
      <c r="C21" s="1999"/>
    </row>
    <row r="22" spans="1:3" ht="13.5">
      <c r="A22" s="3094" t="s">
        <v>1669</v>
      </c>
      <c r="B22" s="3092" t="s">
        <v>1670</v>
      </c>
      <c r="C22" s="3091"/>
    </row>
    <row r="23" spans="1:3" ht="13.5">
      <c r="A23" s="3094"/>
      <c r="B23" s="3092" t="s">
        <v>1671</v>
      </c>
      <c r="C23" s="3091"/>
    </row>
    <row r="24" spans="1:3" ht="13.5">
      <c r="A24" s="3094"/>
      <c r="B24" s="3092" t="s">
        <v>1672</v>
      </c>
      <c r="C24" s="3091"/>
    </row>
    <row r="25" spans="1:3" ht="13.5">
      <c r="A25" s="3094"/>
      <c r="B25" s="3093" t="s">
        <v>1673</v>
      </c>
      <c r="C25" s="1996" t="s">
        <v>1674</v>
      </c>
    </row>
    <row r="26" spans="1:3" ht="13.5">
      <c r="A26" s="3094"/>
      <c r="B26" s="3093"/>
      <c r="C26" s="1996" t="s">
        <v>1675</v>
      </c>
    </row>
    <row r="27" spans="1:3" ht="13.5">
      <c r="A27" s="3094"/>
      <c r="B27" s="3093"/>
      <c r="C27" s="1996" t="s">
        <v>1676</v>
      </c>
    </row>
    <row r="28" spans="1:3" ht="13.5">
      <c r="A28" s="3094"/>
      <c r="B28" s="3093"/>
      <c r="C28" s="1996" t="s">
        <v>1677</v>
      </c>
    </row>
    <row r="29" spans="1:3" ht="13.5">
      <c r="A29" s="3094"/>
      <c r="B29" s="3093"/>
      <c r="C29" s="1996" t="s">
        <v>1678</v>
      </c>
    </row>
    <row r="30" spans="1:3" ht="13.5">
      <c r="A30" s="3094"/>
      <c r="B30" s="3093"/>
      <c r="C30" s="1996" t="s">
        <v>1679</v>
      </c>
    </row>
    <row r="31" spans="1:3" ht="13.5">
      <c r="A31" s="3094"/>
      <c r="B31" s="3093"/>
      <c r="C31" s="1996" t="s">
        <v>1680</v>
      </c>
    </row>
    <row r="32" spans="1:3" ht="13.5">
      <c r="A32" s="3094"/>
      <c r="B32" s="3093"/>
      <c r="C32" s="1996" t="s">
        <v>1681</v>
      </c>
    </row>
    <row r="33" spans="1:3" ht="13.5">
      <c r="A33" s="3094"/>
      <c r="B33" s="3093"/>
      <c r="C33" s="1996" t="s">
        <v>1682</v>
      </c>
    </row>
    <row r="34" spans="1:3">
      <c r="A34" s="2000" t="s">
        <v>76</v>
      </c>
    </row>
    <row r="37" spans="1:3">
      <c r="A37" s="2000" t="s">
        <v>1683</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44586</v>
      </c>
      <c r="C2" s="1016" t="s">
        <v>826</v>
      </c>
      <c r="D2" s="1016"/>
    </row>
    <row r="3" spans="1:6" ht="24" customHeight="1">
      <c r="A3" s="1017" t="s">
        <v>827</v>
      </c>
      <c r="B3" s="1018" t="s">
        <v>828</v>
      </c>
      <c r="C3" s="2338" t="s">
        <v>829</v>
      </c>
      <c r="D3" s="2341" t="s">
        <v>830</v>
      </c>
      <c r="E3" s="1019" t="s">
        <v>831</v>
      </c>
      <c r="F3" s="1018" t="s">
        <v>829</v>
      </c>
    </row>
    <row r="4" spans="1:6" ht="24" customHeight="1">
      <c r="A4" s="1699" t="s">
        <v>832</v>
      </c>
      <c r="B4" s="1019">
        <f ca="1">IF(C4&lt;B2,"已过期",1119970066)</f>
        <v>1119970066</v>
      </c>
      <c r="C4" s="2920">
        <v>44876</v>
      </c>
      <c r="D4" s="2342" t="s">
        <v>832</v>
      </c>
      <c r="E4" s="1019">
        <f ca="1">IF(F4&lt;B2,"已过期",96010014)</f>
        <v>96010014</v>
      </c>
      <c r="F4" s="1027">
        <v>47118</v>
      </c>
    </row>
    <row r="5" spans="1:6" ht="24" customHeight="1">
      <c r="A5" s="1699"/>
      <c r="B5" s="1019"/>
      <c r="C5" s="2339"/>
      <c r="D5" s="2342"/>
      <c r="E5" s="1019"/>
      <c r="F5" s="1027"/>
    </row>
    <row r="6" spans="1:6" ht="24" customHeight="1">
      <c r="A6" s="1699" t="s">
        <v>833</v>
      </c>
      <c r="B6" s="1019">
        <f ca="1">IF(C6&lt;B2,"已过期",1119970111)</f>
        <v>1119970111</v>
      </c>
      <c r="C6" s="2339">
        <v>44876</v>
      </c>
      <c r="D6" s="2342" t="s">
        <v>833</v>
      </c>
      <c r="E6" s="1019">
        <f ca="1">IF(F6&lt;B2,"已过期",94010078)</f>
        <v>94010078</v>
      </c>
      <c r="F6" s="1027">
        <v>46387</v>
      </c>
    </row>
    <row r="7" spans="1:6" ht="24" customHeight="1">
      <c r="A7" s="1699" t="s">
        <v>834</v>
      </c>
      <c r="B7" s="1019" t="str">
        <f ca="1">IF(C7&lt;B2,"已过期",1120050019)</f>
        <v>已过期</v>
      </c>
      <c r="C7" s="2339">
        <v>44395</v>
      </c>
      <c r="D7" s="2342" t="s">
        <v>834</v>
      </c>
      <c r="E7" s="1019">
        <f ca="1">IF(F7&lt;B2,"已过期",2002110030)</f>
        <v>2002110030</v>
      </c>
      <c r="F7" s="1027">
        <v>46387</v>
      </c>
    </row>
    <row r="8" spans="1:6" ht="24" customHeight="1">
      <c r="A8" s="1699" t="s">
        <v>835</v>
      </c>
      <c r="B8" s="1019">
        <f ca="1">IF(C8&lt;B2,"已过期",1120000080)</f>
        <v>1120000080</v>
      </c>
      <c r="C8" s="2920">
        <v>44876</v>
      </c>
      <c r="D8" s="2342" t="s">
        <v>835</v>
      </c>
      <c r="E8" s="1019">
        <f ca="1">IF(F8&lt;B2,"已过期",2000110082)</f>
        <v>2000110082</v>
      </c>
      <c r="F8" s="1027">
        <v>46387</v>
      </c>
    </row>
    <row r="9" spans="1:6" ht="24" customHeight="1">
      <c r="A9" s="1699" t="s">
        <v>836</v>
      </c>
      <c r="B9" s="1019">
        <f ca="1">IF(C9&lt;B2,"已过期",1419970001)</f>
        <v>1419970001</v>
      </c>
      <c r="C9" s="2920">
        <v>44899</v>
      </c>
      <c r="D9" s="2342" t="s">
        <v>836</v>
      </c>
      <c r="E9" s="1019">
        <f ca="1">IF(F9&lt;B2,"已过期",2002110125)</f>
        <v>2002110125</v>
      </c>
      <c r="F9" s="1027">
        <v>47118</v>
      </c>
    </row>
    <row r="10" spans="1:6" ht="24" customHeight="1">
      <c r="A10" s="1699" t="s">
        <v>837</v>
      </c>
      <c r="B10" s="1019" t="str">
        <f ca="1">IF(C10&lt;B2,"已过期",1120060040)</f>
        <v>已过期</v>
      </c>
      <c r="C10" s="2339">
        <v>44554</v>
      </c>
      <c r="D10" s="2342" t="s">
        <v>837</v>
      </c>
      <c r="E10" s="1019">
        <f ca="1">IF(F10&lt;B2,"已过期",2004110096)</f>
        <v>2004110096</v>
      </c>
      <c r="F10" s="1027">
        <v>47118</v>
      </c>
    </row>
    <row r="11" spans="1:6" ht="24" customHeight="1">
      <c r="A11" s="1699" t="s">
        <v>838</v>
      </c>
      <c r="B11" s="1019">
        <f ca="1">IF(C11&lt;B2,"已过期",1120100036)</f>
        <v>1120100036</v>
      </c>
      <c r="C11" s="2339">
        <v>44675</v>
      </c>
      <c r="D11" s="2342" t="s">
        <v>838</v>
      </c>
      <c r="E11" s="1019">
        <f ca="1">IF(F11&lt;B2,"已过期",2010110070)</f>
        <v>2010110070</v>
      </c>
      <c r="F11" s="1027">
        <v>47907</v>
      </c>
    </row>
    <row r="12" spans="1:6" ht="24" customHeight="1">
      <c r="A12" s="1699"/>
      <c r="B12" s="1019"/>
      <c r="C12" s="2920"/>
      <c r="D12" s="1699"/>
      <c r="E12" s="1019"/>
      <c r="F12" s="1027"/>
    </row>
    <row r="13" spans="1:6" ht="24" customHeight="1">
      <c r="A13" s="1699" t="s">
        <v>839</v>
      </c>
      <c r="B13" s="1019">
        <f ca="1">IF(C13&lt;B2,"已过期",1120070131)</f>
        <v>1120070131</v>
      </c>
      <c r="C13" s="2339">
        <v>44849</v>
      </c>
      <c r="D13" s="2342" t="s">
        <v>839</v>
      </c>
      <c r="E13" s="1019">
        <f ca="1">IF(F13&lt;B2,"已过期",2014110011)</f>
        <v>2014110011</v>
      </c>
      <c r="F13" s="1027">
        <v>49302</v>
      </c>
    </row>
    <row r="14" spans="1:6" ht="24" customHeight="1">
      <c r="A14" s="1699" t="s">
        <v>3032</v>
      </c>
      <c r="B14" s="1019">
        <f ca="1">IF(C14&lt;B2,"已过期",1120040230)</f>
        <v>1120040230</v>
      </c>
      <c r="C14" s="2339">
        <v>44864</v>
      </c>
      <c r="D14" s="2342" t="s">
        <v>3032</v>
      </c>
      <c r="E14" s="1019">
        <f ca="1">IF(F14&lt;B2,"已过期",98030020)</f>
        <v>98030020</v>
      </c>
      <c r="F14" s="1027">
        <v>47118</v>
      </c>
    </row>
    <row r="15" spans="1:6" ht="24" customHeight="1">
      <c r="A15" s="1700"/>
      <c r="B15" s="1019"/>
      <c r="C15" s="2339"/>
      <c r="D15" s="2343"/>
      <c r="E15" s="1019"/>
      <c r="F15" s="1020"/>
    </row>
    <row r="16" spans="1:6" ht="24" customHeight="1">
      <c r="A16" s="1699"/>
      <c r="B16" s="1019"/>
      <c r="C16" s="2920"/>
      <c r="D16" s="2342"/>
      <c r="E16" s="1019"/>
      <c r="F16" s="1027"/>
    </row>
    <row r="17" spans="1:7" ht="24" customHeight="1">
      <c r="A17" s="1699"/>
      <c r="B17" s="1019"/>
      <c r="C17" s="2339"/>
      <c r="D17" s="2342"/>
      <c r="E17" s="1019"/>
      <c r="F17" s="1027"/>
    </row>
    <row r="18" spans="1:7" ht="24" customHeight="1">
      <c r="A18" s="1699" t="s">
        <v>3039</v>
      </c>
      <c r="B18" s="1019">
        <v>1120190079</v>
      </c>
      <c r="C18" s="2920">
        <v>44826</v>
      </c>
      <c r="D18" s="2342"/>
      <c r="E18" s="1019"/>
      <c r="F18" s="1027"/>
    </row>
    <row r="19" spans="1:7" ht="24" customHeight="1">
      <c r="A19" s="1699"/>
      <c r="B19" s="1019"/>
      <c r="C19" s="2339"/>
      <c r="D19" s="2342"/>
      <c r="E19" s="1019"/>
      <c r="F19" s="1019"/>
    </row>
    <row r="20" spans="1:7" ht="24" customHeight="1">
      <c r="A20" s="1699"/>
      <c r="B20" s="1019"/>
      <c r="C20" s="2339"/>
      <c r="D20" s="2342"/>
      <c r="E20" s="1019"/>
      <c r="F20" s="1019"/>
    </row>
    <row r="21" spans="1:7" ht="24" customHeight="1">
      <c r="A21" s="1699"/>
      <c r="B21" s="1019"/>
      <c r="C21" s="2339"/>
      <c r="D21" s="2342" t="s">
        <v>840</v>
      </c>
      <c r="E21" s="1019">
        <f ca="1">IF(F21&lt;B2,"已过期",2011110090)</f>
        <v>2011110090</v>
      </c>
      <c r="F21" s="1027">
        <v>48302</v>
      </c>
    </row>
    <row r="22" spans="1:7" ht="24" customHeight="1">
      <c r="A22" s="1699" t="s">
        <v>841</v>
      </c>
      <c r="B22" s="1019" t="str">
        <f ca="1">IF(C22&lt;B2,"已过期",1120020033)</f>
        <v>已过期</v>
      </c>
      <c r="C22" s="2920">
        <v>44339</v>
      </c>
      <c r="D22" s="2342" t="s">
        <v>841</v>
      </c>
      <c r="E22" s="1019">
        <f ca="1">IF(F22&lt;B2,"已过期",2000110137)</f>
        <v>2000110137</v>
      </c>
      <c r="F22" s="1027">
        <v>46387</v>
      </c>
    </row>
    <row r="23" spans="1:7" ht="24" customHeight="1">
      <c r="A23" s="1699" t="s">
        <v>3041</v>
      </c>
      <c r="B23" s="1019">
        <v>1119980106</v>
      </c>
      <c r="C23" s="2339">
        <v>43916</v>
      </c>
      <c r="D23" s="1699" t="s">
        <v>3044</v>
      </c>
      <c r="E23" s="1019">
        <v>96010063</v>
      </c>
      <c r="F23" s="1027">
        <v>47118</v>
      </c>
    </row>
    <row r="24" spans="1:7" s="1021" customFormat="1" ht="24" customHeight="1">
      <c r="A24" s="1700" t="s">
        <v>1328</v>
      </c>
      <c r="B24" s="1700" t="s">
        <v>1328</v>
      </c>
      <c r="C24" s="2340" t="s">
        <v>1328</v>
      </c>
      <c r="D24" s="2343" t="s">
        <v>1328</v>
      </c>
      <c r="E24" s="1700" t="s">
        <v>1328</v>
      </c>
      <c r="F24" s="1700" t="s">
        <v>1328</v>
      </c>
    </row>
    <row r="25" spans="1:7" ht="24" customHeight="1">
      <c r="A25" s="3098" t="s">
        <v>842</v>
      </c>
      <c r="B25" s="3098"/>
      <c r="C25" s="3098"/>
      <c r="D25" s="3098"/>
      <c r="E25" s="3098"/>
      <c r="F25" s="3098"/>
      <c r="G25" s="3098"/>
    </row>
    <row r="26" spans="1:7" s="1022" customFormat="1" ht="24" customHeight="1">
      <c r="A26" s="3099" t="s">
        <v>843</v>
      </c>
      <c r="B26" s="3099"/>
      <c r="C26" s="3100"/>
      <c r="D26" s="3101" t="s">
        <v>844</v>
      </c>
      <c r="E26" s="3099"/>
      <c r="F26" s="3099"/>
    </row>
    <row r="27" spans="1:7" s="1024" customFormat="1" ht="24" customHeight="1">
      <c r="A27" s="1023" t="s">
        <v>845</v>
      </c>
      <c r="B27" s="1018" t="s">
        <v>846</v>
      </c>
      <c r="C27" s="2338" t="s">
        <v>847</v>
      </c>
      <c r="D27" s="2345" t="s">
        <v>845</v>
      </c>
      <c r="E27" s="1018" t="s">
        <v>846</v>
      </c>
      <c r="F27" s="1018" t="s">
        <v>847</v>
      </c>
    </row>
    <row r="28" spans="1:7" s="1024" customFormat="1" ht="24" customHeight="1">
      <c r="A28" s="1025" t="s">
        <v>848</v>
      </c>
      <c r="B28" s="1026" t="s">
        <v>849</v>
      </c>
      <c r="C28" s="1027">
        <v>44820</v>
      </c>
      <c r="D28" s="2346" t="s">
        <v>850</v>
      </c>
      <c r="E28" s="1025" t="s">
        <v>851</v>
      </c>
      <c r="F28" s="1055">
        <v>44377</v>
      </c>
    </row>
    <row r="29" spans="1:7" s="1024" customFormat="1" ht="24" customHeight="1">
      <c r="A29" s="1025"/>
      <c r="B29" s="1025"/>
      <c r="C29" s="2344"/>
      <c r="D29" s="2346" t="s">
        <v>852</v>
      </c>
      <c r="E29" s="1199" t="s">
        <v>3040</v>
      </c>
      <c r="F29" s="1200">
        <v>44012</v>
      </c>
    </row>
    <row r="30" spans="1:7" ht="24" customHeight="1">
      <c r="C30" s="1028"/>
      <c r="D30" s="1028"/>
    </row>
  </sheetData>
  <sheetProtection sheet="1" objects="1" scenarios="1"/>
  <mergeCells count="3">
    <mergeCell ref="A25:G25"/>
    <mergeCell ref="A26:C26"/>
    <mergeCell ref="D26:F26"/>
  </mergeCells>
  <phoneticPr fontId="87" type="noConversion"/>
  <conditionalFormatting sqref="F4">
    <cfRule type="cellIs" dxfId="233" priority="105" stopIfTrue="1" operator="lessThan">
      <formula>$B$2</formula>
    </cfRule>
  </conditionalFormatting>
  <conditionalFormatting sqref="C5">
    <cfRule type="expression" dxfId="232" priority="100">
      <formula>AND($C5-TODAY()&lt;30,TODAY()&lt;$C5)</formula>
    </cfRule>
  </conditionalFormatting>
  <conditionalFormatting sqref="C5 F5">
    <cfRule type="cellIs" dxfId="231" priority="101" stopIfTrue="1" operator="lessThan">
      <formula>$B$2</formula>
    </cfRule>
  </conditionalFormatting>
  <conditionalFormatting sqref="F6 F8 F10">
    <cfRule type="cellIs" dxfId="230" priority="99" stopIfTrue="1" operator="lessThan">
      <formula>$B$2</formula>
    </cfRule>
  </conditionalFormatting>
  <conditionalFormatting sqref="C5:C7 C13 C23 C17 C19:C21 C10:C11">
    <cfRule type="expression" dxfId="229" priority="97">
      <formula>AND($C5-TODAY()&lt;30,TODAY()&lt;$C5)</formula>
    </cfRule>
  </conditionalFormatting>
  <conditionalFormatting sqref="F7 F9 F11 C5:C7 C13 C23 C17 C19:C21 C10:C11">
    <cfRule type="cellIs" dxfId="228" priority="98" stopIfTrue="1" operator="lessThan">
      <formula>$B$2</formula>
    </cfRule>
  </conditionalFormatting>
  <conditionalFormatting sqref="C20">
    <cfRule type="expression" dxfId="227" priority="85">
      <formula>AND($C20-TODAY()&lt;30,TODAY()&lt;$C20)</formula>
    </cfRule>
  </conditionalFormatting>
  <conditionalFormatting sqref="C20">
    <cfRule type="cellIs" dxfId="226" priority="86" stopIfTrue="1" operator="lessThan">
      <formula>$B$2</formula>
    </cfRule>
  </conditionalFormatting>
  <conditionalFormatting sqref="C17">
    <cfRule type="expression" dxfId="225" priority="79">
      <formula>AND($C17-TODAY()&lt;30,TODAY()&lt;$C17)</formula>
    </cfRule>
  </conditionalFormatting>
  <conditionalFormatting sqref="C17">
    <cfRule type="cellIs" dxfId="224" priority="80" stopIfTrue="1" operator="lessThan">
      <formula>$B$2</formula>
    </cfRule>
  </conditionalFormatting>
  <conditionalFormatting sqref="C19">
    <cfRule type="expression" dxfId="223" priority="77">
      <formula>AND($C19-TODAY()&lt;30,TODAY()&lt;$C19)</formula>
    </cfRule>
  </conditionalFormatting>
  <conditionalFormatting sqref="C19">
    <cfRule type="cellIs" dxfId="222" priority="78" stopIfTrue="1" operator="lessThan">
      <formula>$B$2</formula>
    </cfRule>
  </conditionalFormatting>
  <conditionalFormatting sqref="C21">
    <cfRule type="expression" dxfId="221" priority="75">
      <formula>AND($C21-TODAY()&lt;30,TODAY()&lt;$C21)</formula>
    </cfRule>
  </conditionalFormatting>
  <conditionalFormatting sqref="C21">
    <cfRule type="cellIs" dxfId="220" priority="76" stopIfTrue="1" operator="lessThan">
      <formula>$B$2</formula>
    </cfRule>
  </conditionalFormatting>
  <conditionalFormatting sqref="C23">
    <cfRule type="expression" dxfId="219" priority="73">
      <formula>AND($C23-TODAY()&lt;30,TODAY()&lt;$C23)</formula>
    </cfRule>
  </conditionalFormatting>
  <conditionalFormatting sqref="C23">
    <cfRule type="cellIs" dxfId="218" priority="74" stopIfTrue="1" operator="lessThan">
      <formula>$B$2</formula>
    </cfRule>
  </conditionalFormatting>
  <conditionalFormatting sqref="F18">
    <cfRule type="cellIs" dxfId="217" priority="70" stopIfTrue="1" operator="lessThan">
      <formula>$B$2</formula>
    </cfRule>
  </conditionalFormatting>
  <conditionalFormatting sqref="F22">
    <cfRule type="cellIs" dxfId="216" priority="69" stopIfTrue="1" operator="lessThan">
      <formula>$B$2</formula>
    </cfRule>
  </conditionalFormatting>
  <conditionalFormatting sqref="F21">
    <cfRule type="cellIs" dxfId="215" priority="68" stopIfTrue="1" operator="lessThan">
      <formula>$B$2</formula>
    </cfRule>
  </conditionalFormatting>
  <conditionalFormatting sqref="B4:B11 E4:E11 B17 E18:E22 B13 E13 B19:B23">
    <cfRule type="cellIs" dxfId="214" priority="66" stopIfTrue="1" operator="equal">
      <formula>"已过期"</formula>
    </cfRule>
  </conditionalFormatting>
  <conditionalFormatting sqref="A24:F24">
    <cfRule type="cellIs" dxfId="213" priority="62" stopIfTrue="1" operator="equal">
      <formula>"已过期"</formula>
    </cfRule>
  </conditionalFormatting>
  <conditionalFormatting sqref="F28">
    <cfRule type="expression" dxfId="212" priority="60">
      <formula>AND($E28-TODAY()&lt;30,TODAY()&lt;$E28)</formula>
    </cfRule>
  </conditionalFormatting>
  <conditionalFormatting sqref="F28">
    <cfRule type="cellIs" dxfId="211" priority="61" stopIfTrue="1" operator="lessThan">
      <formula>$B$2</formula>
    </cfRule>
  </conditionalFormatting>
  <conditionalFormatting sqref="F29">
    <cfRule type="expression" dxfId="210" priority="56" stopIfTrue="1">
      <formula>AND($E29-TODAY()&lt;30,TODAY()&lt;$E29)</formula>
    </cfRule>
  </conditionalFormatting>
  <conditionalFormatting sqref="F29">
    <cfRule type="cellIs" dxfId="209" priority="57" stopIfTrue="1" operator="lessThan">
      <formula>$B$2</formula>
    </cfRule>
  </conditionalFormatting>
  <conditionalFormatting sqref="F13">
    <cfRule type="cellIs" dxfId="208" priority="49" stopIfTrue="1" operator="lessThan">
      <formula>$B$2</formula>
    </cfRule>
  </conditionalFormatting>
  <conditionalFormatting sqref="C12">
    <cfRule type="expression" dxfId="207" priority="47">
      <formula>AND($C12-TODAY()&lt;30,TODAY()&lt;$C12)</formula>
    </cfRule>
  </conditionalFormatting>
  <conditionalFormatting sqref="C12">
    <cfRule type="cellIs" dxfId="206" priority="48" stopIfTrue="1" operator="lessThan">
      <formula>$B$2</formula>
    </cfRule>
  </conditionalFormatting>
  <conditionalFormatting sqref="C12">
    <cfRule type="expression" dxfId="205" priority="45">
      <formula>AND($C12-TODAY()&lt;30,TODAY()&lt;$C12)</formula>
    </cfRule>
  </conditionalFormatting>
  <conditionalFormatting sqref="C12">
    <cfRule type="cellIs" dxfId="204" priority="46" stopIfTrue="1" operator="lessThan">
      <formula>$B$2</formula>
    </cfRule>
  </conditionalFormatting>
  <conditionalFormatting sqref="B12">
    <cfRule type="cellIs" dxfId="203" priority="44" stopIfTrue="1" operator="equal">
      <formula>"已过期"</formula>
    </cfRule>
  </conditionalFormatting>
  <conditionalFormatting sqref="E12">
    <cfRule type="cellIs" dxfId="202" priority="43" stopIfTrue="1" operator="equal">
      <formula>"已过期"</formula>
    </cfRule>
  </conditionalFormatting>
  <conditionalFormatting sqref="F12">
    <cfRule type="cellIs" dxfId="201" priority="42" stopIfTrue="1" operator="lessThan">
      <formula>$B$2</formula>
    </cfRule>
  </conditionalFormatting>
  <conditionalFormatting sqref="C22">
    <cfRule type="expression" dxfId="200" priority="40">
      <formula>AND($C22-TODAY()&lt;30,TODAY()&lt;$C22)</formula>
    </cfRule>
  </conditionalFormatting>
  <conditionalFormatting sqref="C22">
    <cfRule type="cellIs" dxfId="199" priority="41" stopIfTrue="1" operator="lessThan">
      <formula>$B$2</formula>
    </cfRule>
  </conditionalFormatting>
  <conditionalFormatting sqref="C22">
    <cfRule type="expression" dxfId="198" priority="38">
      <formula>AND($C22-TODAY()&lt;30,TODAY()&lt;$C22)</formula>
    </cfRule>
  </conditionalFormatting>
  <conditionalFormatting sqref="C22">
    <cfRule type="cellIs" dxfId="197" priority="39" stopIfTrue="1" operator="lessThan">
      <formula>$B$2</formula>
    </cfRule>
  </conditionalFormatting>
  <conditionalFormatting sqref="C16">
    <cfRule type="expression" dxfId="196" priority="36">
      <formula>AND($C16-TODAY()&lt;30,TODAY()&lt;$C16)</formula>
    </cfRule>
  </conditionalFormatting>
  <conditionalFormatting sqref="C16">
    <cfRule type="cellIs" dxfId="195" priority="37" stopIfTrue="1" operator="lessThan">
      <formula>$B$2</formula>
    </cfRule>
  </conditionalFormatting>
  <conditionalFormatting sqref="C16">
    <cfRule type="expression" dxfId="194" priority="34">
      <formula>AND($C16-TODAY()&lt;30,TODAY()&lt;$C16)</formula>
    </cfRule>
  </conditionalFormatting>
  <conditionalFormatting sqref="C16">
    <cfRule type="cellIs" dxfId="193" priority="35" stopIfTrue="1" operator="lessThan">
      <formula>$B$2</formula>
    </cfRule>
  </conditionalFormatting>
  <conditionalFormatting sqref="B16">
    <cfRule type="cellIs" dxfId="192" priority="33" stopIfTrue="1" operator="equal">
      <formula>"已过期"</formula>
    </cfRule>
  </conditionalFormatting>
  <conditionalFormatting sqref="C14:C15">
    <cfRule type="expression" dxfId="191" priority="31">
      <formula>AND($C14-TODAY()&lt;30,TODAY()&lt;$C14)</formula>
    </cfRule>
  </conditionalFormatting>
  <conditionalFormatting sqref="C14:C15">
    <cfRule type="cellIs" dxfId="190" priority="32" stopIfTrue="1" operator="lessThan">
      <formula>$B$2</formula>
    </cfRule>
  </conditionalFormatting>
  <conditionalFormatting sqref="C14">
    <cfRule type="expression" dxfId="189" priority="29">
      <formula>AND($C14-TODAY()&lt;30,TODAY()&lt;$C14)</formula>
    </cfRule>
  </conditionalFormatting>
  <conditionalFormatting sqref="C14">
    <cfRule type="cellIs" dxfId="188" priority="30" stopIfTrue="1" operator="lessThan">
      <formula>$B$2</formula>
    </cfRule>
  </conditionalFormatting>
  <conditionalFormatting sqref="C15">
    <cfRule type="expression" dxfId="187" priority="27">
      <formula>AND($C15-TODAY()&lt;30,TODAY()&lt;$C15)</formula>
    </cfRule>
  </conditionalFormatting>
  <conditionalFormatting sqref="C15">
    <cfRule type="cellIs" dxfId="186" priority="28" stopIfTrue="1" operator="lessThan">
      <formula>$B$2</formula>
    </cfRule>
  </conditionalFormatting>
  <conditionalFormatting sqref="B14">
    <cfRule type="cellIs" dxfId="185" priority="26" stopIfTrue="1" operator="equal">
      <formula>"已过期"</formula>
    </cfRule>
  </conditionalFormatting>
  <conditionalFormatting sqref="B15">
    <cfRule type="cellIs" dxfId="184" priority="25" stopIfTrue="1" operator="equal">
      <formula>"已过期"</formula>
    </cfRule>
  </conditionalFormatting>
  <conditionalFormatting sqref="A15">
    <cfRule type="cellIs" dxfId="183" priority="24" stopIfTrue="1" operator="equal">
      <formula>"已过期"</formula>
    </cfRule>
  </conditionalFormatting>
  <conditionalFormatting sqref="C15">
    <cfRule type="expression" dxfId="182" priority="23">
      <formula>AND($C15-TODAY()&lt;30,TODAY()&lt;$C15)</formula>
    </cfRule>
  </conditionalFormatting>
  <conditionalFormatting sqref="F16">
    <cfRule type="cellIs" dxfId="181" priority="22" stopIfTrue="1" operator="lessThan">
      <formula>$B$2</formula>
    </cfRule>
  </conditionalFormatting>
  <conditionalFormatting sqref="E16 E14">
    <cfRule type="cellIs" dxfId="180" priority="21" stopIfTrue="1" operator="equal">
      <formula>"已过期"</formula>
    </cfRule>
  </conditionalFormatting>
  <conditionalFormatting sqref="E15">
    <cfRule type="cellIs" dxfId="179" priority="20" stopIfTrue="1" operator="equal">
      <formula>"已过期"</formula>
    </cfRule>
  </conditionalFormatting>
  <conditionalFormatting sqref="D15">
    <cfRule type="cellIs" dxfId="178" priority="19" stopIfTrue="1" operator="equal">
      <formula>"已过期"</formula>
    </cfRule>
  </conditionalFormatting>
  <conditionalFormatting sqref="F17">
    <cfRule type="cellIs" dxfId="177" priority="18" stopIfTrue="1" operator="lessThan">
      <formula>$B$2</formula>
    </cfRule>
  </conditionalFormatting>
  <conditionalFormatting sqref="E17">
    <cfRule type="cellIs" dxfId="176" priority="17" stopIfTrue="1" operator="equal">
      <formula>"已过期"</formula>
    </cfRule>
  </conditionalFormatting>
  <conditionalFormatting sqref="F14">
    <cfRule type="cellIs" dxfId="175" priority="16" stopIfTrue="1" operator="lessThan">
      <formula>$B$2</formula>
    </cfRule>
  </conditionalFormatting>
  <conditionalFormatting sqref="C18">
    <cfRule type="expression" dxfId="174" priority="14">
      <formula>AND($C18-TODAY()&lt;30,TODAY()&lt;$C18)</formula>
    </cfRule>
  </conditionalFormatting>
  <conditionalFormatting sqref="C18">
    <cfRule type="cellIs" dxfId="173" priority="15" stopIfTrue="1" operator="lessThan">
      <formula>$B$2</formula>
    </cfRule>
  </conditionalFormatting>
  <conditionalFormatting sqref="C18">
    <cfRule type="expression" dxfId="172" priority="12">
      <formula>AND($C18-TODAY()&lt;30,TODAY()&lt;$C18)</formula>
    </cfRule>
  </conditionalFormatting>
  <conditionalFormatting sqref="C18">
    <cfRule type="cellIs" dxfId="171" priority="13" stopIfTrue="1" operator="lessThan">
      <formula>$B$2</formula>
    </cfRule>
  </conditionalFormatting>
  <conditionalFormatting sqref="B18">
    <cfRule type="cellIs" dxfId="170" priority="11" stopIfTrue="1" operator="equal">
      <formula>"已过期"</formula>
    </cfRule>
  </conditionalFormatting>
  <conditionalFormatting sqref="C28">
    <cfRule type="expression" dxfId="169" priority="9">
      <formula>AND($C28-TODAY()&lt;30,TODAY()&lt;$C28)</formula>
    </cfRule>
  </conditionalFormatting>
  <conditionalFormatting sqref="C28">
    <cfRule type="cellIs" dxfId="168" priority="10" stopIfTrue="1" operator="lessThan">
      <formula>$B$2</formula>
    </cfRule>
  </conditionalFormatting>
  <conditionalFormatting sqref="C4">
    <cfRule type="expression" dxfId="167" priority="7">
      <formula>AND($C4-TODAY()&lt;30,TODAY()&lt;$C4)</formula>
    </cfRule>
  </conditionalFormatting>
  <conditionalFormatting sqref="C4">
    <cfRule type="cellIs" dxfId="166" priority="8" stopIfTrue="1" operator="lessThan">
      <formula>$B$2</formula>
    </cfRule>
  </conditionalFormatting>
  <conditionalFormatting sqref="C8">
    <cfRule type="expression" dxfId="165" priority="5">
      <formula>AND($C8-TODAY()&lt;30,TODAY()&lt;$C8)</formula>
    </cfRule>
  </conditionalFormatting>
  <conditionalFormatting sqref="C8">
    <cfRule type="cellIs" dxfId="164" priority="6" stopIfTrue="1" operator="lessThan">
      <formula>$B$2</formula>
    </cfRule>
  </conditionalFormatting>
  <conditionalFormatting sqref="C9">
    <cfRule type="expression" dxfId="163" priority="3">
      <formula>AND($C9-TODAY()&lt;30,TODAY()&lt;$C9)</formula>
    </cfRule>
  </conditionalFormatting>
  <conditionalFormatting sqref="C9">
    <cfRule type="cellIs" dxfId="162" priority="4" stopIfTrue="1" operator="lessThan">
      <formula>$B$2</formula>
    </cfRule>
  </conditionalFormatting>
  <conditionalFormatting sqref="F23">
    <cfRule type="cellIs" dxfId="161" priority="2" stopIfTrue="1" operator="lessThan">
      <formula>$B$2</formula>
    </cfRule>
  </conditionalFormatting>
  <conditionalFormatting sqref="E23">
    <cfRule type="cellIs" dxfId="160"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147</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面积</vt:lpstr>
      <vt:lpstr>抵押物清单（分楼）</vt:lpstr>
      <vt:lpstr>数据-汇总表</vt:lpstr>
      <vt:lpstr>数据-取费表</vt:lpstr>
      <vt:lpstr>估价对象房地状况</vt:lpstr>
      <vt:lpstr>系统读取表</vt:lpstr>
      <vt:lpstr>结果表</vt:lpstr>
      <vt:lpstr>优先受偿</vt:lpstr>
      <vt:lpstr>成本计算</vt:lpstr>
      <vt:lpstr>成本法</vt:lpstr>
      <vt:lpstr>成本法 (元)</vt:lpstr>
      <vt:lpstr>土地比较法-住宅、综合</vt:lpstr>
      <vt:lpstr>土地案例</vt:lpstr>
      <vt:lpstr>假设开发法</vt:lpstr>
      <vt:lpstr>比较法-住宅</vt:lpstr>
      <vt:lpstr>比较法-公寓</vt:lpstr>
      <vt:lpstr>案例</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拆分方法</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2022-01-25T08:00:29Z</dcterms:modified>
</cp:coreProperties>
</file>