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补技术报告\"/>
    </mc:Choice>
  </mc:AlternateContent>
  <xr:revisionPtr revIDLastSave="0" documentId="13_ncr:1_{631AEAFA-0BDC-4C05-9BAA-EE1C867D765D}" xr6:coauthVersionLast="47" xr6:coauthVersionMax="47" xr10:uidLastSave="{00000000-0000-0000-0000-000000000000}"/>
  <bookViews>
    <workbookView xWindow="0" yWindow="0" windowWidth="12804" windowHeight="12132" tabRatio="899" firstSheet="12"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收益法-试测算车间已出租" sheetId="89" state="hidden" r:id="rId17"/>
    <sheet name="收益法-车间未出租" sheetId="90" state="hidden" r:id="rId18"/>
    <sheet name="系统读取表" sheetId="74" r:id="rId19"/>
    <sheet name="结果表" sheetId="9" r:id="rId20"/>
    <sheet name="成本法" sheetId="68" r:id="rId21"/>
    <sheet name="土地比较法-工业" sheetId="40" r:id="rId22"/>
    <sheet name="土地案例" sheetId="82" r:id="rId23"/>
    <sheet name="成本法 (元)" sheetId="69" state="hidden" r:id="rId24"/>
    <sheet name="假设开发法" sheetId="12" state="hidden" r:id="rId25"/>
    <sheet name="收益法（汇总）" sheetId="70" r:id="rId26"/>
    <sheet name="收益法-办公" sheetId="83" r:id="rId27"/>
    <sheet name="收益法-已出租车间" sheetId="15" r:id="rId28"/>
    <sheet name="收益法-未出租车间" sheetId="91" r:id="rId29"/>
    <sheet name="租赁合同整理" sheetId="81" r:id="rId30"/>
    <sheet name="租金平均增长率计算表" sheetId="88" r:id="rId31"/>
    <sheet name="收益法 (元)" sheetId="67" state="hidden" r:id="rId32"/>
    <sheet name="收益法-酒店模型" sheetId="77" state="hidden" r:id="rId33"/>
    <sheet name="比较法-住宅" sheetId="21" state="hidden" r:id="rId34"/>
    <sheet name="比较法-商业" sheetId="33" state="hidden" r:id="rId35"/>
    <sheet name="比较法-办公" sheetId="34" state="hidden" r:id="rId36"/>
    <sheet name="比较法-工业租金" sheetId="37" r:id="rId37"/>
    <sheet name="比较法-车位" sheetId="35" state="hidden" r:id="rId38"/>
    <sheet name="比较法-仓储" sheetId="36" state="hidden" r:id="rId39"/>
    <sheet name="土地比较法-住宅、综合" sheetId="39" state="hidden" r:id="rId40"/>
    <sheet name="典型户型修正" sheetId="31" state="hidden" r:id="rId41"/>
    <sheet name="基准地价（汇总）" sheetId="76" state="hidden" r:id="rId42"/>
    <sheet name="比较法-厂房租金" sheetId="86" r:id="rId43"/>
    <sheet name="基准地价修正" sheetId="43"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案例" sheetId="84" r:id="rId54"/>
    <sheet name="Sheet1" sheetId="87" r:id="rId55"/>
  </sheets>
  <externalReferences>
    <externalReference r:id="rId56"/>
    <externalReference r:id="rId57"/>
    <externalReference r:id="rId58"/>
    <externalReference r:id="rId59"/>
  </externalReferences>
  <definedNames>
    <definedName name="_xlnm._FilterDatabase" localSheetId="35" hidden="1">'比较法-办公'!$A$1:$L$50</definedName>
    <definedName name="_xlnm._FilterDatabase" localSheetId="38" hidden="1">'比较法-仓储'!$A$1:$L$37</definedName>
    <definedName name="_xlnm._FilterDatabase" localSheetId="42" hidden="1">'比较法-厂房租金'!$A$1:$L$43</definedName>
    <definedName name="_xlnm._FilterDatabase" localSheetId="37" hidden="1">'比较法-车位'!$A$1:$L$39</definedName>
    <definedName name="_xlnm._FilterDatabase" localSheetId="36" hidden="1">'比较法-工业租金'!$A$1:$L$43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22" hidden="1">土地案例!$A$1:$Y$76</definedName>
    <definedName name="_xlnm._FilterDatabase" localSheetId="21"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42">'比较法-厂房租金'!$A$1:$K$48,'比较法-厂房租金'!$A$51:$M$113</definedName>
    <definedName name="_xlnm.Print_Area" localSheetId="37">'比较法-车位'!$A$1:$K$44,'比较法-车位'!$A$47:$M$102</definedName>
    <definedName name="_xlnm.Print_Area" localSheetId="36">'比较法-工业租金'!$A$1:$K$48,'比较法-工业租金'!$A$51:$M$113</definedName>
    <definedName name="_xlnm.Print_Area" localSheetId="34">'比较法-商业'!$A$1:$K$54,'比较法-商业'!$A$57:$M$131</definedName>
    <definedName name="_xlnm.Print_Area" localSheetId="33">'比较法-住宅'!$A$1:$K$54,'比较法-住宅'!$A$57:$M$131</definedName>
    <definedName name="_xlnm.Print_Area" localSheetId="20">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3">基准地价修正!$A$1:$J$44,基准地价修正!$A$47:$H$101,基准地价修正!$R$1:$V$16</definedName>
    <definedName name="_xlnm.Print_Area" localSheetId="24">假设开发法!$A$1:$K$32</definedName>
    <definedName name="_xlnm.Print_Area" localSheetId="19">结果表!$A$1:$I$127</definedName>
    <definedName name="_xlnm.Print_Area" localSheetId="31">'收益法 (元)'!$A$1:$F$43,'收益法 (元)'!$H$3:$M$29,'收益法 (元)'!$A$45:$F$71,'收益法 (元)'!$I$46:$N$65</definedName>
    <definedName name="_xlnm.Print_Area" localSheetId="25">'收益法（汇总）'!$A$1:$F$13</definedName>
    <definedName name="_xlnm.Print_Area" localSheetId="26">'收益法-办公'!$A$1:$F$43,'收益法-办公'!$H$3:$M$29,'收益法-办公'!$A$46:$F$71,'收益法-办公'!$I$46:$N$65</definedName>
    <definedName name="_xlnm.Print_Area" localSheetId="17">'收益法-车间未出租'!$A$1:$F$43,'收益法-车间未出租'!$H$3:$M$29,'收益法-车间未出租'!$A$46:$F$71,'收益法-车间未出租'!$I$46:$N$65</definedName>
    <definedName name="_xlnm.Print_Area" localSheetId="16">'收益法-试测算车间已出租'!$A$1:$F$43,'收益法-试测算车间已出租'!$H$3:$M$29,'收益法-试测算车间已出租'!$A$46:$F$71,'收益法-试测算车间已出租'!$I$46:$N$65</definedName>
    <definedName name="_xlnm.Print_Area" localSheetId="28">'收益法-未出租车间'!$A$1:$F$43,'收益法-未出租车间'!$H$3:$M$29,'收益法-未出租车间'!$A$46:$F$71,'收益法-未出租车间'!$I$46:$N$65</definedName>
    <definedName name="_xlnm.Print_Area" localSheetId="27">'收益法-已出租车间'!$A$1:$F$43,'收益法-已出租车间'!$H$3:$M$29,'收益法-已出租车间'!$A$46:$F$71,'收益法-已出租车间'!$I$46:$N$65</definedName>
    <definedName name="_xlnm.Print_Area" localSheetId="13">'数据-汇总表'!$A$1:$P$32</definedName>
    <definedName name="_xlnm.Print_Area" localSheetId="21">'土地比较法-工业'!$A$1:$K$61,'土地比较法-工业'!$A$64:$M$121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2">'[1]比较法-租金'!$B$119:$M$119</definedName>
    <definedName name="办公层高" localSheetId="30">'[2]比较法-办公'!$B$119:$M$119</definedName>
    <definedName name="办公层高">'比较法-办公'!$B$119:$M$119</definedName>
    <definedName name="办公朝向" localSheetId="22">'[1]比较法-租金'!$B$91:$M$91</definedName>
    <definedName name="办公朝向" localSheetId="30">'[2]比较法-办公'!$B$91:$M$91</definedName>
    <definedName name="办公朝向">'比较法-办公'!$B$91:$M$91</definedName>
    <definedName name="办公道路级别" localSheetId="22">'[1]比较法-租金'!$B$87:$M$87</definedName>
    <definedName name="办公道路级别" localSheetId="30">'[2]比较法-办公'!$B$87:$M$87</definedName>
    <definedName name="办公道路级别">'比较法-办公'!$B$87:$M$87</definedName>
    <definedName name="办公公共部分装修" localSheetId="22">'[1]比较法-租金'!$B$108:$M$108</definedName>
    <definedName name="办公公共部分装修" localSheetId="30">'[2]比较法-办公'!$B$108:$M$108</definedName>
    <definedName name="办公公共部分装修">'比较法-办公'!$B$108:$M$108</definedName>
    <definedName name="办公基础设施水平" localSheetId="22">'[1]比较法-租金'!$B$117:$M$117</definedName>
    <definedName name="办公基础设施水平" localSheetId="30">'[2]比较法-办公'!$B$117:$M$117</definedName>
    <definedName name="办公基础设施水平">'比较法-办公'!$B$117:$M$117</definedName>
    <definedName name="办公集聚程度" localSheetId="22">[1]定义!$M$1:$M$6</definedName>
    <definedName name="办公集聚程度" localSheetId="30">[2]定义!$M$1:$M$6</definedName>
    <definedName name="办公集聚程度">定义!$M$1:$M$6</definedName>
    <definedName name="办公建筑结构" localSheetId="22">'[1]比较法-租金'!$B$106:$M$106</definedName>
    <definedName name="办公建筑结构" localSheetId="30">'[2]比较法-办公'!$B$106:$M$106</definedName>
    <definedName name="办公建筑结构">'比较法-办公'!$B$106:$M$106</definedName>
    <definedName name="办公建筑类型" localSheetId="22">'[1]比较法-租金'!$B$101:$M$101</definedName>
    <definedName name="办公建筑类型" localSheetId="30">'[2]比较法-办公'!$B$101:$M$101</definedName>
    <definedName name="办公建筑类型">'比较法-办公'!$B$101:$M$101</definedName>
    <definedName name="办公交易情况" localSheetId="22">'[1]比较法-租金'!$A$62:$M$62</definedName>
    <definedName name="办公交易情况" localSheetId="30">'[2]比较法-办公'!$A$62:$M$62</definedName>
    <definedName name="办公交易情况">'比较法-办公'!$A$62:$M$62</definedName>
    <definedName name="办公楼层" localSheetId="22">'[1]比较法-租金'!$B$89:$M$89</definedName>
    <definedName name="办公楼层" localSheetId="30">'[2]比较法-办公'!$B$89:$M$89</definedName>
    <definedName name="办公楼层">'比较法-办公'!$B$89:$M$89</definedName>
    <definedName name="办公内部装修" localSheetId="22">'[1]比较法-租金'!$B$123:$M$123</definedName>
    <definedName name="办公内部装修" localSheetId="30">'[2]比较法-办公'!$B$123:$M$123</definedName>
    <definedName name="办公内部装修">'比较法-办公'!$B$123:$M$123</definedName>
    <definedName name="办公物业管理" localSheetId="22">'[1]比较法-租金'!$B$115:$M$115</definedName>
    <definedName name="办公物业管理" localSheetId="30">'[2]比较法-办公'!$B$115:$M$115</definedName>
    <definedName name="办公物业管理">'比较法-办公'!$B$115:$M$115</definedName>
    <definedName name="办公用途" localSheetId="22">'[1]比较法-租金'!$B$64:$M$64</definedName>
    <definedName name="办公用途" localSheetId="30">'[2]比较法-办公'!$B$64:$M$64</definedName>
    <definedName name="办公用途">'比较法-办公'!$B$64:$M$64</definedName>
    <definedName name="仓储公共部分装修" localSheetId="22">'[1]比较法-仓储'!$B$77:$M$77</definedName>
    <definedName name="仓储公共部分装修" localSheetId="30">'[2]比较法-仓储'!$B$77:$M$77</definedName>
    <definedName name="仓储公共部分装修">'比较法-仓储'!$B$77:$M$77</definedName>
    <definedName name="仓储交易情况" localSheetId="22">'[1]比较法-仓储'!$A$49:$M$49</definedName>
    <definedName name="仓储交易情况" localSheetId="30">'[2]比较法-仓储'!$A$49:$M$49</definedName>
    <definedName name="仓储交易情况">'比较法-仓储'!$A$49:$M$49</definedName>
    <definedName name="仓储楼层" localSheetId="22">'[1]比较法-仓储'!$B$69:$M$69</definedName>
    <definedName name="仓储楼层" localSheetId="30">'[2]比较法-仓储'!$B$69:$M$69</definedName>
    <definedName name="仓储楼层">'比较法-仓储'!$B$69:$M$69</definedName>
    <definedName name="仓储物业等级" localSheetId="22">'[1]比较法-仓储'!$B$82:$M$82</definedName>
    <definedName name="仓储物业等级" localSheetId="30">'[2]比较法-仓储'!$B$82:$M$82</definedName>
    <definedName name="仓储物业等级">'比较法-仓储'!$B$82:$M$82</definedName>
    <definedName name="仓储用途" localSheetId="22">'[1]比较法-仓储'!$B$51:$M$51</definedName>
    <definedName name="仓储用途" localSheetId="30">'[2]比较法-仓储'!$B$51:$M$51</definedName>
    <definedName name="仓储用途">'比较法-仓储'!$B$51:$M$51</definedName>
    <definedName name="产业集聚程度" localSheetId="22">[1]定义!$N$1:$N$6</definedName>
    <definedName name="产业集聚程度" localSheetId="30">[2]定义!$N$1:$N$6</definedName>
    <definedName name="产业集聚程度">定义!$N$1:$N$6</definedName>
    <definedName name="车位公共部分装修" localSheetId="22">'[1]比较法-车位'!$B$83:$M$83</definedName>
    <definedName name="车位公共部分装修" localSheetId="30">'[2]比较法-车位'!$B$83:$M$83</definedName>
    <definedName name="车位公共部分装修">'比较法-车位'!$B$83:$M$83</definedName>
    <definedName name="车位交易情况" localSheetId="22">'[1]比较法-车位'!$A$51:$M$51</definedName>
    <definedName name="车位交易情况" localSheetId="30">'[2]比较法-车位'!$A$51:$M$51</definedName>
    <definedName name="车位交易情况">'比较法-车位'!$A$51:$M$51</definedName>
    <definedName name="车位类型" localSheetId="22">'[1]比较法-车位'!$B$93:$M$93</definedName>
    <definedName name="车位类型" localSheetId="30">'[2]比较法-车位'!$B$93:$M$93</definedName>
    <definedName name="车位类型">'比较法-车位'!$B$93:$M$93</definedName>
    <definedName name="车位楼层" localSheetId="22">'[1]比较法-车位'!$B$71:$M$71</definedName>
    <definedName name="车位楼层" localSheetId="30">'[2]比较法-车位'!$B$71:$M$71</definedName>
    <definedName name="车位楼层">'比较法-车位'!$B$71:$M$71</definedName>
    <definedName name="车位配套类型" localSheetId="22">'[1]比较法-车位'!$B$79:$M$79</definedName>
    <definedName name="车位配套类型" localSheetId="30">'[2]比较法-车位'!$B$79:$M$79</definedName>
    <definedName name="车位配套类型">'比较法-车位'!$B$79:$M$79</definedName>
    <definedName name="车位物业等级" localSheetId="22">'[1]比较法-车位'!$B$88:$M$88</definedName>
    <definedName name="车位物业等级" localSheetId="30">'[2]比较法-车位'!$B$88:$M$88</definedName>
    <definedName name="车位物业等级">'比较法-车位'!$B$88:$M$88</definedName>
    <definedName name="车位用途" localSheetId="22">'[1]比较法-车位'!$B$53:$M$53</definedName>
    <definedName name="车位用途" localSheetId="30">'[2]比较法-车位'!$B$53:$M$53</definedName>
    <definedName name="车位用途">'比较法-车位'!$B$53:$M$53</definedName>
    <definedName name="城镇土地纳税等级分级范围" localSheetId="22">'[1]数据-取费表'!$A$53:$A$63</definedName>
    <definedName name="城镇土地纳税等级分级范围" localSheetId="30">'[2]数据-取费表'!$A$53:$A$63</definedName>
    <definedName name="城镇土地纳税等级分级范围">'数据-取费表'!$A$53:$A$63</definedName>
    <definedName name="单价内涵" localSheetId="22">[1]定义!$V$1:$V$3</definedName>
    <definedName name="单价内涵" localSheetId="30">[2]定义!$V$1:$V$3</definedName>
    <definedName name="单价内涵">定义!$V$1:$V$3</definedName>
    <definedName name="地类判定" localSheetId="22">[1]定义!$H$1:$H$9</definedName>
    <definedName name="地类判定" localSheetId="30">[2]定义!$H$1:$H$9</definedName>
    <definedName name="地类判定">定义!$H$1:$H$9</definedName>
    <definedName name="二级">区片价!$J$1:$J$21</definedName>
    <definedName name="二级分类" localSheetId="22">[1]修正!$C$19:$C$51</definedName>
    <definedName name="二级分类" localSheetId="30">[2]修正!$C$19:$C$51</definedName>
    <definedName name="二级分类">修正!$C$19:$C$51</definedName>
    <definedName name="法定最高年限" localSheetId="22">[1]定义!$G$1:$G$6</definedName>
    <definedName name="法定最高年限" localSheetId="30">[2]定义!$G$1:$G$6</definedName>
    <definedName name="法定最高年限">定义!$G$1:$G$6</definedName>
    <definedName name="工业公共部分装修" localSheetId="42">'比较法-厂房租金'!$B$95:$M$95</definedName>
    <definedName name="工业公共部分装修" localSheetId="22">'[1]比较法-工业'!$B$95:$M$95</definedName>
    <definedName name="工业公共部分装修" localSheetId="30">'[2]比较法-工业'!$B$95:$M$95</definedName>
    <definedName name="工业公共部分装修">'比较法-工业租金'!$B$95:$M$95</definedName>
    <definedName name="工业基础设施水平" localSheetId="42">'比较法-厂房租金'!$B$102:$M$102</definedName>
    <definedName name="工业基础设施水平" localSheetId="22">'[1]比较法-工业'!$B$102:$M$102</definedName>
    <definedName name="工业基础设施水平" localSheetId="30">'[2]比较法-工业'!$B$102:$M$102</definedName>
    <definedName name="工业基础设施水平">'比较法-工业租金'!$B$102:$M$102</definedName>
    <definedName name="工业建筑结构" localSheetId="42">'比较法-厂房租金'!$B$93:$M$93</definedName>
    <definedName name="工业建筑结构" localSheetId="22">'[1]比较法-工业'!$B$93:$M$93</definedName>
    <definedName name="工业建筑结构" localSheetId="30">'[2]比较法-工业'!$B$93:$M$93</definedName>
    <definedName name="工业建筑结构">'比较法-工业租金'!$B$93:$M$93</definedName>
    <definedName name="工业建筑类型" localSheetId="42">'比较法-厂房租金'!$B$88:$M$88</definedName>
    <definedName name="工业建筑类型" localSheetId="22">'[1]比较法-工业'!$B$88:$M$88</definedName>
    <definedName name="工业建筑类型" localSheetId="30">'[2]比较法-工业'!$B$88:$M$88</definedName>
    <definedName name="工业建筑类型">'比较法-工业租金'!$B$88:$M$88</definedName>
    <definedName name="工业交易情况" localSheetId="42">'比较法-厂房租金'!$A$55:$M$55</definedName>
    <definedName name="工业交易情况" localSheetId="22">'[1]比较法-工业'!$A$55:$M$55</definedName>
    <definedName name="工业交易情况" localSheetId="30">'[2]比较法-工业'!$A$55:$M$55</definedName>
    <definedName name="工业交易情况">'比较法-工业租金'!$A$55:$M$55</definedName>
    <definedName name="工业内部装修" localSheetId="42">'比较法-厂房租金'!$B$104:$M$104</definedName>
    <definedName name="工业内部装修" localSheetId="22">'[1]比较法-工业'!$B$104:$M$104</definedName>
    <definedName name="工业内部装修" localSheetId="30">'[2]比较法-工业'!$B$104:$M$104</definedName>
    <definedName name="工业内部装修">'比较法-工业租金'!$B$104:$M$104</definedName>
    <definedName name="工业物业管理" localSheetId="42">'比较法-厂房租金'!$B$100:$M$100</definedName>
    <definedName name="工业物业管理" localSheetId="22">'[1]比较法-工业'!$B$100:$M$100</definedName>
    <definedName name="工业物业管理" localSheetId="30">'[2]比较法-工业'!$B$100:$M$100</definedName>
    <definedName name="工业物业管理">'比较法-工业租金'!$B$100:$M$100</definedName>
    <definedName name="工业用途" localSheetId="42">'比较法-厂房租金'!$B$57:$M$57</definedName>
    <definedName name="工业用途" localSheetId="22">'[1]比较法-工业'!$B$57:$M$57</definedName>
    <definedName name="工业用途" localSheetId="30">'[2]比较法-工业'!$B$57:$M$57</definedName>
    <definedName name="工业用途">'比较法-工业租金'!$B$57:$M$57</definedName>
    <definedName name="公共配套设施" localSheetId="22">[1]定义!$Q$1:$Q$6</definedName>
    <definedName name="公共配套设施" localSheetId="30">[2]定义!$Q$1:$Q$6</definedName>
    <definedName name="公共配套设施">定义!$Q$1:$Q$6</definedName>
    <definedName name="估价范围判定" localSheetId="22">[1]定义!$D$1:$D$4</definedName>
    <definedName name="估价范围判定" localSheetId="30">[2]定义!$D$1:$D$4</definedName>
    <definedName name="估价范围判定">定义!$D$1:$D$4</definedName>
    <definedName name="估价方法" localSheetId="22">[1]定义!$B$1:$B$50</definedName>
    <definedName name="估价方法" localSheetId="30">[2]定义!$B$1:$B$50</definedName>
    <definedName name="估价方法">定义!$B$1:$B$50</definedName>
    <definedName name="环境" localSheetId="22">[1]定义!$S$1:$S$6</definedName>
    <definedName name="环境" localSheetId="30">[2]定义!$S$1:$S$6</definedName>
    <definedName name="环境">定义!$S$1:$S$6</definedName>
    <definedName name="基础设施水平" localSheetId="22">[1]定义!$R$1:$R$6</definedName>
    <definedName name="基础设施水平" localSheetId="30">[2]定义!$R$1:$R$6</definedName>
    <definedName name="基础设施水平">定义!$R$1:$R$6</definedName>
    <definedName name="季度">基准地价修正!$Q$19:$AD$19</definedName>
    <definedName name="价值类型2" localSheetId="22">[1]定义!$B$54:$B$56</definedName>
    <definedName name="价值类型2" localSheetId="30">[2]定义!$B$54:$B$56</definedName>
    <definedName name="价值类型2">定义!$B$54:$B$56</definedName>
    <definedName name="交通便捷度" localSheetId="22">[1]定义!$O$1:$O$6</definedName>
    <definedName name="交通便捷度" localSheetId="30">[2]定义!$O$1:$O$6</definedName>
    <definedName name="交通便捷度">定义!$O$1:$O$6</definedName>
    <definedName name="九级">区片价!$Q$1:$Q$51</definedName>
    <definedName name="居住社区成熟度" localSheetId="22">[1]定义!$K$1:$K$6</definedName>
    <definedName name="居住社区成熟度" localSheetId="30">[2]定义!$K$1:$K$6</definedName>
    <definedName name="居住社区成熟度">定义!$K$1:$K$6</definedName>
    <definedName name="类别" localSheetId="22">[1]定义!$J$1:$J$3</definedName>
    <definedName name="类别" localSheetId="30">[2]定义!$J$1:$J$3</definedName>
    <definedName name="类别">定义!$J$1:$J$3</definedName>
    <definedName name="临街状况" localSheetId="22">[1]定义!$T$1:$T$5</definedName>
    <definedName name="临街状况" localSheetId="30">[2]定义!$T$1:$T$5</definedName>
    <definedName name="临街状况">定义!$T$1:$T$5</definedName>
    <definedName name="六级">区片价!$N$1:$N$64</definedName>
    <definedName name="内部装修维护情况" localSheetId="22">[1]定义!$U$1:$U$6</definedName>
    <definedName name="内部装修维护情况" localSheetId="30">[2]定义!$U$1:$U$6</definedName>
    <definedName name="内部装修维护情况">定义!$U$1:$U$6</definedName>
    <definedName name="七级">区片价!$O$1:$O$45</definedName>
    <definedName name="七通一平" localSheetId="22">[1]修正!$A$8:$A$16</definedName>
    <definedName name="七通一平" localSheetId="30">[2]修正!$A$8:$A$16</definedName>
    <definedName name="七通一平">修正!$A$8:$A$16</definedName>
    <definedName name="区域土地利用方向" localSheetId="22">[1]定义!$P$1:$P$6</definedName>
    <definedName name="区域土地利用方向" localSheetId="30">[2]定义!$P$1:$P$6</definedName>
    <definedName name="区域土地利用方向">定义!$P$1:$P$6</definedName>
    <definedName name="三级">区片价!$K$1:$K$26</definedName>
    <definedName name="商业层高" localSheetId="22">'[1]比较法-商业'!$B$116:$M$116</definedName>
    <definedName name="商业层高" localSheetId="30">'[2]比较法-商业'!$B$116:$M$116</definedName>
    <definedName name="商业层高">'比较法-商业'!$B$116:$M$116</definedName>
    <definedName name="商业成新度">'比较法-商业'!$B$109:$M$109</definedName>
    <definedName name="商业繁华度" localSheetId="22">[1]定义!$L$1:$L$6</definedName>
    <definedName name="商业繁华度" localSheetId="30">[2]定义!$L$1:$L$6</definedName>
    <definedName name="商业繁华度">定义!$L$1:$L$6</definedName>
    <definedName name="商业公共部分装修" localSheetId="22">'[1]比较法-商业'!$B$107:$M$107</definedName>
    <definedName name="商业公共部分装修" localSheetId="30">'[2]比较法-商业'!$B$107:$M$107</definedName>
    <definedName name="商业公共部分装修">'比较法-商业'!$B$107:$M$107</definedName>
    <definedName name="商业基础设施水平" localSheetId="22">'[1]比较法-商业'!$B$112:$M$112</definedName>
    <definedName name="商业基础设施水平" localSheetId="30">'[2]比较法-商业'!$B$112:$M$112</definedName>
    <definedName name="商业基础设施水平">'比较法-商业'!$B$112:$M$112</definedName>
    <definedName name="商业建筑结构" localSheetId="22">'[1]比较法-商业'!$B$105:$M$105</definedName>
    <definedName name="商业建筑结构" localSheetId="30">'[2]比较法-商业'!$B$105:$M$105</definedName>
    <definedName name="商业建筑结构">'比较法-商业'!$B$105:$M$105</definedName>
    <definedName name="商业交易情况" localSheetId="22">'[1]比较法-商业'!$A$61:$M$61</definedName>
    <definedName name="商业交易情况" localSheetId="30">'[2]比较法-商业'!$A$61:$M$61</definedName>
    <definedName name="商业交易情况">'比较法-商业'!$A$61:$M$61</definedName>
    <definedName name="商业街名称" localSheetId="22">[1]修正!$C$71:$C$138</definedName>
    <definedName name="商业街名称" localSheetId="30">[2]修正!$C$71:$C$138</definedName>
    <definedName name="商业街名称">修正!$C$71:$C$138</definedName>
    <definedName name="商业进深比" localSheetId="22">'[1]比较法-商业'!$B$120:$M$120</definedName>
    <definedName name="商业进深比" localSheetId="30">'[2]比较法-商业'!$B$120:$M$120</definedName>
    <definedName name="商业进深比">'比较法-商业'!$B$120:$M$120</definedName>
    <definedName name="商业类型" localSheetId="22">'[1]比较法-商业'!$B$100:$M$100</definedName>
    <definedName name="商业类型" localSheetId="30">'[2]比较法-商业'!$B$100:$M$100</definedName>
    <definedName name="商业类型">'比较法-商业'!$B$100:$M$100</definedName>
    <definedName name="商业临街状况" localSheetId="22">'[1]比较法-商业'!$B$86:$M$86</definedName>
    <definedName name="商业临街状况" localSheetId="30">'[2]比较法-商业'!$B$86:$M$86</definedName>
    <definedName name="商业临街状况">'比较法-商业'!$B$86:$M$86</definedName>
    <definedName name="商业楼层" localSheetId="22">'[1]比较法-商业'!$B$92:$M$92</definedName>
    <definedName name="商业楼层" localSheetId="30">'[2]比较法-商业'!$B$92:$M$92</definedName>
    <definedName name="商业楼层">'比较法-商业'!$B$92:$M$92</definedName>
    <definedName name="商业内部装修" localSheetId="22">'[1]比较法-商业'!$B$122:$M$122</definedName>
    <definedName name="商业内部装修" localSheetId="30">'[2]比较法-商业'!$B$122:$M$122</definedName>
    <definedName name="商业内部装修">'比较法-商业'!$B$122:$M$122</definedName>
    <definedName name="商业人流量" localSheetId="22">'[1]比较法-商业'!$B$90:$M$90</definedName>
    <definedName name="商业人流量" localSheetId="30">'[2]比较法-商业'!$B$90:$M$90</definedName>
    <definedName name="商业人流量">'比较法-商业'!$B$90:$M$90</definedName>
    <definedName name="商业业态" localSheetId="22">'[1]比较法-商业'!$B$114:$M$114</definedName>
    <definedName name="商业业态" localSheetId="30">'[2]比较法-商业'!$B$114:$M$114</definedName>
    <definedName name="商业业态">'比较法-商业'!$B$114:$M$114</definedName>
    <definedName name="商业用途" localSheetId="22">'[1]比较法-商业'!$B$63:$M$63</definedName>
    <definedName name="商业用途" localSheetId="3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 localSheetId="30">'[2]比较法-仓储'!$B$89:$M$89</definedName>
    <definedName name="是否封闭">'比较法-仓储'!$B$89:$M$89</definedName>
    <definedName name="是否直接入户" localSheetId="22">'[1]比较法-车位'!$B$95:$M$95</definedName>
    <definedName name="是否直接入户" localSheetId="30">'[2]比较法-车位'!$B$95:$M$95</definedName>
    <definedName name="是否直接入户">'比较法-车位'!$B$95:$M$95</definedName>
    <definedName name="四级">区片价!$L$1:$L$33</definedName>
    <definedName name="套工道路等级" localSheetId="22">'[1]土地比较法-工业'!$B$97:$M$97</definedName>
    <definedName name="套工道路等级" localSheetId="30">'[2]土地比较法-工业'!$B$97:$M$97</definedName>
    <definedName name="套工道路等级">'土地比较法-工业'!$B$97:$M$97</definedName>
    <definedName name="套工地质条件" localSheetId="22">'[1]土地比较法-工业'!$B$114:$M$114</definedName>
    <definedName name="套工地质条件" localSheetId="30">'[2]土地比较法-工业'!$B$114:$M$114</definedName>
    <definedName name="套工地质条件">'土地比较法-工业'!$B$114:$M$114</definedName>
    <definedName name="套工交易情况" localSheetId="22">'[1]土地比较法-住宅、综合'!$A$72:$M$72</definedName>
    <definedName name="套工交易情况" localSheetId="30">'[2]土地比较法-住宅、综合'!$A$72:$M$72</definedName>
    <definedName name="套工交易情况">'土地比较法-住宅、综合'!$A$72:$M$72</definedName>
    <definedName name="套工土地级别" localSheetId="22">'[1]土地比较法-工业'!$B$99:$M$99</definedName>
    <definedName name="套工土地级别" localSheetId="30">'[2]土地比较法-工业'!$B$99:$M$99</definedName>
    <definedName name="套工土地级别">'土地比较法-工业'!$B$99:$M$99</definedName>
    <definedName name="套工用途" localSheetId="22">'[1]土地比较法-工业'!$B$70:$M$70</definedName>
    <definedName name="套工用途" localSheetId="30">'[2]土地比较法-工业'!$B$70:$M$70</definedName>
    <definedName name="套工用途">'土地比较法-工业'!$B$70:$M$70</definedName>
    <definedName name="套工宗地开发程度" localSheetId="22">'[1]土地比较法-工业'!$B$112:$M$112</definedName>
    <definedName name="套工宗地开发程度" localSheetId="30">'[2]土地比较法-工业'!$B$112:$M$112</definedName>
    <definedName name="套工宗地开发程度">'土地比较法-工业'!$B$112:$M$112</definedName>
    <definedName name="套工宗地形状" localSheetId="22">'[1]土地比较法-工业'!$B$110:$M$110</definedName>
    <definedName name="套工宗地形状" localSheetId="30">'[2]土地比较法-工业'!$B$110:$M$110</definedName>
    <definedName name="套工宗地形状">'土地比较法-工业'!$B$110:$M$110</definedName>
    <definedName name="套综道路等级" localSheetId="22">'[1]土地比较法-住宅、综合'!$B$105:$M$105</definedName>
    <definedName name="套综道路等级" localSheetId="30">'[2]土地比较法-住宅、综合'!$B$105:$M$105</definedName>
    <definedName name="套综道路等级">'土地比较法-住宅、综合'!$B$105:$M$105</definedName>
    <definedName name="套综工程地质条件" localSheetId="22">'[1]土地比较法-住宅、综合'!$B$124:$M$124</definedName>
    <definedName name="套综工程地质条件" localSheetId="30">'[2]土地比较法-住宅、综合'!$B$124:$M$124</definedName>
    <definedName name="套综工程地质条件">'土地比较法-住宅、综合'!$B$124:$M$124</definedName>
    <definedName name="套综交易情况" localSheetId="22">'[1]土地比较法-住宅、综合'!$A$72:$M$72</definedName>
    <definedName name="套综交易情况" localSheetId="30">'[2]土地比较法-住宅、综合'!$A$72:$M$72</definedName>
    <definedName name="套综交易情况">'土地比较法-住宅、综合'!$A$72:$M$72</definedName>
    <definedName name="套综临街宽度及深度" localSheetId="22">'[1]土地比较法-住宅、综合'!$B$120:$M$120</definedName>
    <definedName name="套综临街宽度及深度" localSheetId="30">'[2]土地比较法-住宅、综合'!$B$120:$M$120</definedName>
    <definedName name="套综临街宽度及深度">'土地比较法-住宅、综合'!$B$120:$M$120</definedName>
    <definedName name="套综土地级别" localSheetId="22">'[1]土地比较法-住宅、综合'!$B$107:$M$107</definedName>
    <definedName name="套综土地级别" localSheetId="30">'[2]土地比较法-住宅、综合'!$B$107:$M$107</definedName>
    <definedName name="套综土地级别">'土地比较法-住宅、综合'!$B$107:$M$107</definedName>
    <definedName name="套综用途" localSheetId="22">'[1]土地比较法-住宅、综合'!$B$74:$M$74</definedName>
    <definedName name="套综用途" localSheetId="30">'[2]土地比较法-住宅、综合'!$B$74:$M$74</definedName>
    <definedName name="套综用途">'土地比较法-住宅、综合'!$B$74:$M$74</definedName>
    <definedName name="套综宗地内开发程度" localSheetId="22">'[1]土地比较法-住宅、综合'!$B$122:$M$122</definedName>
    <definedName name="套综宗地内开发程度" localSheetId="30">'[2]土地比较法-住宅、综合'!$B$122:$M$122</definedName>
    <definedName name="套综宗地内开发程度">'土地比较法-住宅、综合'!$B$122:$M$122</definedName>
    <definedName name="套综宗地形状" localSheetId="22">'[1]土地比较法-住宅、综合'!$B$118:$M$118</definedName>
    <definedName name="套综宗地形状" localSheetId="30">'[2]土地比较法-住宅、综合'!$B$118:$M$118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 localSheetId="30">[2]定义!$C$1:$C$14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30">[2]定义!$E$2:$E$4</definedName>
    <definedName name="位置">定义!$E$2:$E$4</definedName>
    <definedName name="五等判定" localSheetId="22">[1]定义!$W$1:$W$6</definedName>
    <definedName name="五等判定" localSheetId="30">[2]定义!$W$1:$W$6</definedName>
    <definedName name="五等判定">定义!$W$1:$W$6</definedName>
    <definedName name="五级">区片价!$M$1:$M$41</definedName>
    <definedName name="项目类型" localSheetId="32">'[3]数据-汇总表'!$C$17:$C$26</definedName>
    <definedName name="项目类型" localSheetId="22">'[1]数据-汇总表'!$C$17:$C$26</definedName>
    <definedName name="项目类型" localSheetId="30">'[2]数据-汇总表'!$C$17:$C$26</definedName>
    <definedName name="项目类型">'数据-汇总表'!$C$17:$C$26</definedName>
    <definedName name="写字楼等级" localSheetId="22">'[1]比较法-租金'!$B$113:$M$113</definedName>
    <definedName name="写字楼等级" localSheetId="30">'[2]比较法-办公'!$B$113:$M$113</definedName>
    <definedName name="写字楼等级">'比较法-办公'!$B$113:$M$113</definedName>
    <definedName name="一级">区片价!$I$1:$I$6</definedName>
    <definedName name="一修多修正项2" localSheetId="22">[1]典型户型修正!$5:$5</definedName>
    <definedName name="一修多修正项2" localSheetId="30">[2]典型户型修正!$5:$5</definedName>
    <definedName name="一修多修正项2">典型户型修正!$5:$5</definedName>
    <definedName name="一修多修正项3" localSheetId="22">[1]典型户型修正!$7:$7</definedName>
    <definedName name="一修多修正项3" localSheetId="30">[2]典型户型修正!$7:$7</definedName>
    <definedName name="一修多修正项3">典型户型修正!$7:$7</definedName>
    <definedName name="一修多修正项4" localSheetId="22">[1]典型户型修正!$9:$9</definedName>
    <definedName name="一修多修正项4" localSheetId="30">[2]典型户型修正!$9:$9</definedName>
    <definedName name="一修多修正项4">典型户型修正!$9:$9</definedName>
    <definedName name="一修多修正项5" localSheetId="22">[1]典型户型修正!$11:$11</definedName>
    <definedName name="一修多修正项5" localSheetId="30">[2]典型户型修正!$11:$11</definedName>
    <definedName name="一修多修正项5">典型户型修正!$11:$11</definedName>
    <definedName name="一修多修正项6" localSheetId="22">[1]典型户型修正!$13:$13</definedName>
    <definedName name="一修多修正项6" localSheetId="30">[2]典型户型修正!$13:$13</definedName>
    <definedName name="一修多修正项6">典型户型修正!$13:$13</definedName>
    <definedName name="一修多修正项7" localSheetId="22">[1]典型户型修正!$15:$15</definedName>
    <definedName name="一修多修正项7" localSheetId="30">[2]典型户型修正!$15:$15</definedName>
    <definedName name="一修多修正项7">典型户型修正!$15:$15</definedName>
    <definedName name="一修多修正项8" localSheetId="22">[1]典型户型修正!$17:$17</definedName>
    <definedName name="一修多修正项8" localSheetId="30">[2]典型户型修正!$17:$17</definedName>
    <definedName name="一修多修正项8">典型户型修正!$17:$17</definedName>
    <definedName name="用途明细" localSheetId="22">[1]定义!$A$1:$A$50</definedName>
    <definedName name="用途明细" localSheetId="30">[2]定义!$A$1:$A$50</definedName>
    <definedName name="用途明细">定义!$A$1:$A$50</definedName>
    <definedName name="有无电梯" localSheetId="22">'[1]比较法-仓储'!$B$84:$M$84</definedName>
    <definedName name="有无电梯" localSheetId="30">'[2]比较法-仓储'!$B$84:$M$84</definedName>
    <definedName name="有无电梯">'比较法-仓储'!$B$84:$M$84</definedName>
    <definedName name="主用途" localSheetId="22">[1]定义!$F$1:$F$12</definedName>
    <definedName name="主用途" localSheetId="30">[2]定义!$F$1:$F$12</definedName>
    <definedName name="主用途">定义!$F$1:$F$12</definedName>
    <definedName name="住宅朝向" localSheetId="22">'[1]比较法-住宅'!$B$88:$M$88</definedName>
    <definedName name="住宅朝向" localSheetId="30">'[2]比较法-住宅'!$B$88:$M$88</definedName>
    <definedName name="住宅朝向">'比较法-住宅'!$B$88:$M$88</definedName>
    <definedName name="住宅房型" localSheetId="22">'[1]比较法-住宅'!$B$118:$M$118</definedName>
    <definedName name="住宅房型" localSheetId="30">'[2]比较法-住宅'!$B$118:$M$118</definedName>
    <definedName name="住宅房型">'比较法-住宅'!$B$118:$M$118</definedName>
    <definedName name="住宅公共部分装修" localSheetId="22">'[1]比较法-住宅'!$B$109:$M$109</definedName>
    <definedName name="住宅公共部分装修" localSheetId="30">'[2]比较法-住宅'!$B$109:$M$109</definedName>
    <definedName name="住宅公共部分装修">'比较法-住宅'!$B$109:$M$109</definedName>
    <definedName name="住宅基础设施水平" localSheetId="22">'[1]比较法-住宅'!$B$116:$M$116</definedName>
    <definedName name="住宅基础设施水平" localSheetId="30">'[2]比较法-住宅'!$B$116:$M$116</definedName>
    <definedName name="住宅基础设施水平">'比较法-住宅'!$B$116:$M$116</definedName>
    <definedName name="住宅建筑结构" localSheetId="22">'[1]比较法-住宅'!$B$105:$M$105</definedName>
    <definedName name="住宅建筑结构" localSheetId="30">'[2]比较法-住宅'!$B$105:$M$105</definedName>
    <definedName name="住宅建筑结构">'比较法-住宅'!$B$105:$M$105</definedName>
    <definedName name="住宅建筑类型" localSheetId="22">'[1]比较法-住宅'!$B$100:$M$100</definedName>
    <definedName name="住宅建筑类型" localSheetId="30">'[2]比较法-住宅'!$B$100:$M$100</definedName>
    <definedName name="住宅建筑类型">'比较法-住宅'!$B$100:$M$100</definedName>
    <definedName name="住宅建筑品质" localSheetId="22">'[1]比较法-住宅'!$B$107:$M$107</definedName>
    <definedName name="住宅建筑品质" localSheetId="30">'[2]比较法-住宅'!$B$107:$M$107</definedName>
    <definedName name="住宅建筑品质">'比较法-住宅'!$B$107:$M$107</definedName>
    <definedName name="住宅交易情况" localSheetId="22">'[1]比较法-住宅'!$A$61:$M$61</definedName>
    <definedName name="住宅交易情况" localSheetId="30">'[2]比较法-住宅'!$A$61:$M$61</definedName>
    <definedName name="住宅交易情况">'比较法-住宅'!$A$61:$M$61</definedName>
    <definedName name="住宅楼层" localSheetId="22">'[1]比较法-住宅'!$B$86:$M$86</definedName>
    <definedName name="住宅楼层" localSheetId="30">'[2]比较法-住宅'!$B$86:$M$86</definedName>
    <definedName name="住宅楼层">'比较法-住宅'!$B$86:$M$86</definedName>
    <definedName name="住宅内部装修" localSheetId="22">'[1]比较法-住宅'!$B$122:$M$122</definedName>
    <definedName name="住宅内部装修" localSheetId="30">'[2]比较法-住宅'!$B$122:$M$122</definedName>
    <definedName name="住宅内部装修">'比较法-住宅'!$B$122:$M$122</definedName>
    <definedName name="住宅物业管理" localSheetId="22">'[1]比较法-住宅'!$B$114:$M$114</definedName>
    <definedName name="住宅物业管理" localSheetId="30">'[2]比较法-住宅'!$B$114:$M$114</definedName>
    <definedName name="住宅物业管理">'比较法-住宅'!$B$114:$M$114</definedName>
    <definedName name="住宅用途" localSheetId="22">'[1]比较法-住宅'!$B$63:$M$63</definedName>
    <definedName name="住宅用途" localSheetId="30">'[2]比较法-住宅'!$B$63:$M$63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 localSheetId="30">[2]估价师及机构信息!$A$3:$A$16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V19" i="1" l="1"/>
  <c r="N66" i="81"/>
  <c r="O66" i="81"/>
  <c r="N17" i="81"/>
  <c r="O17" i="81"/>
  <c r="N9" i="81"/>
  <c r="O9" i="81" s="1"/>
  <c r="B88" i="81" l="1"/>
  <c r="Q8" i="1"/>
  <c r="F52" i="15" l="1"/>
  <c r="Q72" i="91"/>
  <c r="Q59" i="91"/>
  <c r="K59" i="91"/>
  <c r="P61" i="91" s="1"/>
  <c r="F59" i="91"/>
  <c r="Q58" i="91"/>
  <c r="J52" i="91"/>
  <c r="Q51" i="91"/>
  <c r="J50" i="91"/>
  <c r="J49" i="91"/>
  <c r="M47" i="91"/>
  <c r="D46" i="91"/>
  <c r="F33" i="91"/>
  <c r="F61" i="91" s="1"/>
  <c r="F31" i="91"/>
  <c r="F23" i="91"/>
  <c r="D24" i="91" s="1"/>
  <c r="D23" i="91"/>
  <c r="D22" i="91"/>
  <c r="F21" i="91"/>
  <c r="F20" i="91"/>
  <c r="M19" i="91"/>
  <c r="F18" i="91"/>
  <c r="M17" i="91"/>
  <c r="F17" i="91"/>
  <c r="F15" i="91"/>
  <c r="AA6" i="1"/>
  <c r="F70" i="15" s="1"/>
  <c r="I8" i="1"/>
  <c r="J8" i="1"/>
  <c r="H8" i="1"/>
  <c r="AL8" i="1"/>
  <c r="AM8" i="1"/>
  <c r="AK8" i="1"/>
  <c r="N72" i="81"/>
  <c r="G21" i="6"/>
  <c r="P74" i="91" l="1"/>
  <c r="O27" i="81" l="1"/>
  <c r="Q72" i="90"/>
  <c r="Q59" i="90"/>
  <c r="K59" i="90"/>
  <c r="P74" i="90" s="1"/>
  <c r="F59" i="90"/>
  <c r="Q58" i="90"/>
  <c r="J52" i="90"/>
  <c r="Q51" i="90"/>
  <c r="J50" i="90"/>
  <c r="J49" i="90"/>
  <c r="M47" i="90"/>
  <c r="D46" i="90"/>
  <c r="F33" i="90"/>
  <c r="F61" i="90" s="1"/>
  <c r="F31" i="90"/>
  <c r="F23" i="90"/>
  <c r="D24" i="90" s="1"/>
  <c r="D23" i="90"/>
  <c r="F21" i="90"/>
  <c r="F20" i="90"/>
  <c r="M19" i="90"/>
  <c r="F18" i="90"/>
  <c r="M17" i="90"/>
  <c r="F17" i="90"/>
  <c r="F15" i="90"/>
  <c r="M28" i="89"/>
  <c r="Q72" i="89"/>
  <c r="Q59" i="89"/>
  <c r="K59" i="89"/>
  <c r="P61" i="89" s="1"/>
  <c r="F59" i="89"/>
  <c r="Q58" i="89"/>
  <c r="J52" i="89"/>
  <c r="Q51" i="89" s="1"/>
  <c r="J50" i="89"/>
  <c r="J49" i="89"/>
  <c r="M47" i="89"/>
  <c r="D46" i="89"/>
  <c r="F33" i="89"/>
  <c r="F61" i="89" s="1"/>
  <c r="F31" i="89"/>
  <c r="F23" i="89"/>
  <c r="D24" i="89" s="1"/>
  <c r="D23" i="89"/>
  <c r="D22" i="89"/>
  <c r="F21" i="89"/>
  <c r="F20" i="89"/>
  <c r="M19" i="89"/>
  <c r="F18" i="89"/>
  <c r="M17" i="89"/>
  <c r="F17" i="89"/>
  <c r="F15" i="89"/>
  <c r="E87" i="81"/>
  <c r="B89" i="81" s="1"/>
  <c r="AD6" i="1" s="1"/>
  <c r="I86" i="81"/>
  <c r="J86" i="81" s="1"/>
  <c r="I87" i="81"/>
  <c r="J87" i="81" s="1"/>
  <c r="B86" i="81"/>
  <c r="V13" i="88"/>
  <c r="U13" i="88"/>
  <c r="T13" i="88"/>
  <c r="S13" i="88"/>
  <c r="R13" i="88"/>
  <c r="Q13" i="88"/>
  <c r="P13" i="88"/>
  <c r="O13" i="88"/>
  <c r="N13" i="88"/>
  <c r="M13" i="88"/>
  <c r="L13" i="88"/>
  <c r="K13" i="88"/>
  <c r="J13" i="88"/>
  <c r="I13" i="88"/>
  <c r="H13" i="88"/>
  <c r="G13" i="88"/>
  <c r="F13" i="88"/>
  <c r="E13" i="88"/>
  <c r="D13" i="88"/>
  <c r="C13" i="88"/>
  <c r="C12" i="88"/>
  <c r="Q15" i="88" s="1"/>
  <c r="C8" i="88"/>
  <c r="C7" i="88"/>
  <c r="B3" i="88"/>
  <c r="D22" i="90" l="1"/>
  <c r="P74" i="89"/>
  <c r="P61" i="90"/>
  <c r="C10" i="88"/>
  <c r="F15" i="88"/>
  <c r="J15" i="88"/>
  <c r="N15" i="88"/>
  <c r="C15" i="88"/>
  <c r="G15" i="88"/>
  <c r="K15" i="88"/>
  <c r="O15" i="88"/>
  <c r="D15" i="88"/>
  <c r="H15" i="88"/>
  <c r="L15" i="88"/>
  <c r="P15" i="88"/>
  <c r="E15" i="88"/>
  <c r="I15" i="88"/>
  <c r="M15" i="88"/>
  <c r="Q7" i="1" l="1"/>
  <c r="AL7" i="1" l="1"/>
  <c r="AM7" i="1"/>
  <c r="B112" i="86" l="1"/>
  <c r="B110" i="86"/>
  <c r="B108" i="86"/>
  <c r="D107" i="86"/>
  <c r="E107" i="86" s="1"/>
  <c r="F107" i="86" s="1"/>
  <c r="G107" i="86" s="1"/>
  <c r="H107" i="86" s="1"/>
  <c r="I107" i="86" s="1"/>
  <c r="J107" i="86" s="1"/>
  <c r="K107" i="86" s="1"/>
  <c r="L107" i="86" s="1"/>
  <c r="M107" i="86" s="1"/>
  <c r="D105" i="86"/>
  <c r="E105" i="86" s="1"/>
  <c r="F105" i="86" s="1"/>
  <c r="G105" i="86" s="1"/>
  <c r="D103" i="86"/>
  <c r="E103" i="86" s="1"/>
  <c r="F103" i="86" s="1"/>
  <c r="G103" i="86" s="1"/>
  <c r="H103" i="86" s="1"/>
  <c r="I103" i="86" s="1"/>
  <c r="J103" i="86" s="1"/>
  <c r="K103" i="86" s="1"/>
  <c r="L103" i="86" s="1"/>
  <c r="M103" i="86" s="1"/>
  <c r="D101" i="86"/>
  <c r="E101" i="86" s="1"/>
  <c r="F101" i="86" s="1"/>
  <c r="G101" i="86" s="1"/>
  <c r="H101" i="86" s="1"/>
  <c r="I101" i="86" s="1"/>
  <c r="J101" i="86" s="1"/>
  <c r="K101" i="86" s="1"/>
  <c r="L101" i="86" s="1"/>
  <c r="M101" i="86" s="1"/>
  <c r="D99" i="86"/>
  <c r="E99" i="86" s="1"/>
  <c r="F99" i="86" s="1"/>
  <c r="G97" i="86"/>
  <c r="F97" i="86"/>
  <c r="E97" i="86"/>
  <c r="D97" i="86"/>
  <c r="C97" i="86"/>
  <c r="D96" i="86"/>
  <c r="E96" i="86" s="1"/>
  <c r="F96" i="86" s="1"/>
  <c r="G96" i="86" s="1"/>
  <c r="H96" i="86" s="1"/>
  <c r="I96" i="86" s="1"/>
  <c r="J96" i="86" s="1"/>
  <c r="K96" i="86" s="1"/>
  <c r="L96" i="86" s="1"/>
  <c r="M96" i="86" s="1"/>
  <c r="D94" i="86"/>
  <c r="E94" i="86" s="1"/>
  <c r="F94" i="86" s="1"/>
  <c r="G94" i="86" s="1"/>
  <c r="H94" i="86" s="1"/>
  <c r="I94" i="86" s="1"/>
  <c r="J94" i="86" s="1"/>
  <c r="K94" i="86" s="1"/>
  <c r="L94" i="86" s="1"/>
  <c r="M94" i="86" s="1"/>
  <c r="M90" i="86"/>
  <c r="L90" i="86"/>
  <c r="K90" i="86"/>
  <c r="J90" i="86"/>
  <c r="I90" i="86"/>
  <c r="H90" i="86"/>
  <c r="G90" i="86"/>
  <c r="F90" i="86"/>
  <c r="E90" i="86"/>
  <c r="D90" i="86"/>
  <c r="C90" i="86"/>
  <c r="D89" i="86"/>
  <c r="E89" i="86" s="1"/>
  <c r="F89" i="86" s="1"/>
  <c r="G89" i="86" s="1"/>
  <c r="H89" i="86" s="1"/>
  <c r="I89" i="86" s="1"/>
  <c r="J89" i="86" s="1"/>
  <c r="K89" i="86" s="1"/>
  <c r="L89" i="86" s="1"/>
  <c r="M89" i="86" s="1"/>
  <c r="B86" i="86"/>
  <c r="B84" i="86"/>
  <c r="B82" i="86"/>
  <c r="B80" i="86"/>
  <c r="D79" i="86"/>
  <c r="E79" i="86" s="1"/>
  <c r="F79" i="86" s="1"/>
  <c r="G79" i="86" s="1"/>
  <c r="D77" i="86"/>
  <c r="E77" i="86" s="1"/>
  <c r="F77" i="86" s="1"/>
  <c r="G77" i="86" s="1"/>
  <c r="D75" i="86"/>
  <c r="E75" i="86" s="1"/>
  <c r="F75" i="86" s="1"/>
  <c r="G75" i="86" s="1"/>
  <c r="D73" i="86"/>
  <c r="E73" i="86" s="1"/>
  <c r="F73" i="86" s="1"/>
  <c r="G73" i="86" s="1"/>
  <c r="D71" i="86"/>
  <c r="E71" i="86" s="1"/>
  <c r="F71" i="86" s="1"/>
  <c r="G71" i="86" s="1"/>
  <c r="B68" i="86"/>
  <c r="B66" i="86"/>
  <c r="B64" i="86"/>
  <c r="E63" i="86"/>
  <c r="F63" i="86" s="1"/>
  <c r="G63" i="86" s="1"/>
  <c r="H63" i="86" s="1"/>
  <c r="I63" i="86" s="1"/>
  <c r="J63" i="86" s="1"/>
  <c r="K63" i="86" s="1"/>
  <c r="L63" i="86" s="1"/>
  <c r="M63" i="86" s="1"/>
  <c r="D63" i="86"/>
  <c r="M61" i="86"/>
  <c r="L61" i="86"/>
  <c r="K61" i="86"/>
  <c r="J61" i="86"/>
  <c r="I61" i="86"/>
  <c r="H61" i="86"/>
  <c r="G61" i="86"/>
  <c r="F61" i="86"/>
  <c r="E61" i="86"/>
  <c r="D61" i="86"/>
  <c r="C61" i="86"/>
  <c r="C57" i="86"/>
  <c r="I48" i="86"/>
  <c r="J48" i="86" s="1"/>
  <c r="G48" i="86"/>
  <c r="H48" i="86" s="1"/>
  <c r="E48" i="86"/>
  <c r="F48" i="86" s="1"/>
  <c r="P43" i="86"/>
  <c r="P42" i="86"/>
  <c r="K42" i="86"/>
  <c r="V41" i="86"/>
  <c r="T41" i="86"/>
  <c r="R41" i="86"/>
  <c r="P41" i="86"/>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J36" i="86"/>
  <c r="AC36" i="86" s="1"/>
  <c r="H36" i="86"/>
  <c r="AB36" i="86" s="1"/>
  <c r="F36" i="86"/>
  <c r="AA36" i="86" s="1"/>
  <c r="Q35" i="86"/>
  <c r="Z35" i="86" s="1"/>
  <c r="J35" i="86"/>
  <c r="AC35" i="86" s="1"/>
  <c r="H35" i="86"/>
  <c r="AB35" i="86" s="1"/>
  <c r="F35" i="86"/>
  <c r="AA35" i="86" s="1"/>
  <c r="Q34" i="86"/>
  <c r="Z34" i="86" s="1"/>
  <c r="J34" i="86"/>
  <c r="AC34" i="86" s="1"/>
  <c r="H34" i="86"/>
  <c r="AB34" i="86" s="1"/>
  <c r="F34" i="86"/>
  <c r="AA34" i="86" s="1"/>
  <c r="Q33" i="86"/>
  <c r="Z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6" i="86"/>
  <c r="Z26" i="86" s="1"/>
  <c r="J26" i="86"/>
  <c r="AC26" i="86" s="1"/>
  <c r="H26" i="86"/>
  <c r="AB26" i="86" s="1"/>
  <c r="F26" i="86"/>
  <c r="AA26"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H11" i="86"/>
  <c r="AB11" i="86" s="1"/>
  <c r="F11" i="86"/>
  <c r="AA11" i="86" s="1"/>
  <c r="Q10" i="86"/>
  <c r="Z10" i="86" s="1"/>
  <c r="J10" i="86"/>
  <c r="AC10" i="86" s="1"/>
  <c r="H10" i="86"/>
  <c r="U10" i="86" s="1"/>
  <c r="F10" i="86"/>
  <c r="S10" i="86" s="1"/>
  <c r="Q9" i="86"/>
  <c r="Z9" i="86" s="1"/>
  <c r="J9" i="86"/>
  <c r="AC9" i="86" s="1"/>
  <c r="H9" i="86"/>
  <c r="AB9" i="86" s="1"/>
  <c r="F9" i="86"/>
  <c r="S9" i="86" s="1"/>
  <c r="J8" i="86"/>
  <c r="AC8" i="86" s="1"/>
  <c r="H8" i="86"/>
  <c r="AB8" i="86" s="1"/>
  <c r="F8" i="86"/>
  <c r="D3" i="86"/>
  <c r="E40" i="81"/>
  <c r="E48" i="81"/>
  <c r="I61" i="81"/>
  <c r="I60" i="81"/>
  <c r="E70" i="81"/>
  <c r="E59" i="81"/>
  <c r="E32" i="81"/>
  <c r="E24" i="81"/>
  <c r="E13" i="81"/>
  <c r="E8" i="81"/>
  <c r="B72" i="81"/>
  <c r="B71" i="81"/>
  <c r="C79" i="81"/>
  <c r="D79" i="81" s="1"/>
  <c r="C78" i="81"/>
  <c r="C77" i="81"/>
  <c r="B79" i="81"/>
  <c r="J31" i="81"/>
  <c r="I31" i="81"/>
  <c r="J23" i="81"/>
  <c r="J18" i="81"/>
  <c r="H62" i="81"/>
  <c r="H64" i="81" s="1"/>
  <c r="I64" i="81" s="1"/>
  <c r="I50" i="81"/>
  <c r="I49" i="81"/>
  <c r="H51" i="81"/>
  <c r="H53" i="81" s="1"/>
  <c r="I45" i="81"/>
  <c r="J41" i="81"/>
  <c r="I41" i="81" s="1"/>
  <c r="E45" i="81"/>
  <c r="E46" i="81"/>
  <c r="I46" i="81" s="1"/>
  <c r="E47" i="81"/>
  <c r="I47" i="81" s="1"/>
  <c r="E44" i="81"/>
  <c r="I44" i="81" s="1"/>
  <c r="E43" i="81"/>
  <c r="I43" i="81" s="1"/>
  <c r="E42" i="81"/>
  <c r="I42" i="81" s="1"/>
  <c r="D2" i="86"/>
  <c r="I62" i="81" l="1"/>
  <c r="G99" i="86"/>
  <c r="H99" i="86" s="1"/>
  <c r="I99" i="86" s="1"/>
  <c r="J99" i="86" s="1"/>
  <c r="K99" i="86" s="1"/>
  <c r="L99" i="86" s="1"/>
  <c r="M99" i="86" s="1"/>
  <c r="J33" i="86"/>
  <c r="AC33" i="86" s="1"/>
  <c r="H33" i="86"/>
  <c r="AB33" i="86" s="1"/>
  <c r="F33" i="86"/>
  <c r="AA33" i="86" s="1"/>
  <c r="H54" i="81"/>
  <c r="I54" i="81" s="1"/>
  <c r="I53" i="81"/>
  <c r="H55" i="81"/>
  <c r="I48" i="81"/>
  <c r="I51" i="81"/>
  <c r="H52" i="81"/>
  <c r="I52" i="81" s="1"/>
  <c r="C80" i="81"/>
  <c r="F19" i="6"/>
  <c r="F20" i="6" s="1"/>
  <c r="F7" i="89"/>
  <c r="F7" i="90"/>
  <c r="B73" i="81"/>
  <c r="W8" i="86"/>
  <c r="U8" i="86"/>
  <c r="AA10" i="86"/>
  <c r="AC11" i="86"/>
  <c r="W11" i="86"/>
  <c r="S8" i="86"/>
  <c r="AA8" i="86"/>
  <c r="AA9" i="86"/>
  <c r="AB10" i="86"/>
  <c r="U11" i="86"/>
  <c r="W12" i="86"/>
  <c r="S14" i="86"/>
  <c r="S15" i="86"/>
  <c r="S17" i="86"/>
  <c r="S19" i="86"/>
  <c r="S21" i="86"/>
  <c r="S23" i="86"/>
  <c r="U25" i="86"/>
  <c r="W26" i="86"/>
  <c r="S28" i="86"/>
  <c r="U29" i="86"/>
  <c r="W30" i="86"/>
  <c r="S32" i="86"/>
  <c r="U33" i="86"/>
  <c r="W34" i="86"/>
  <c r="S36" i="86"/>
  <c r="U37" i="86"/>
  <c r="W38" i="86"/>
  <c r="S40" i="86"/>
  <c r="U15" i="86"/>
  <c r="U17" i="86"/>
  <c r="U19" i="86"/>
  <c r="U21" i="86"/>
  <c r="U23" i="86"/>
  <c r="W25" i="86"/>
  <c r="S27" i="86"/>
  <c r="U28" i="86"/>
  <c r="W29" i="86"/>
  <c r="S31" i="86"/>
  <c r="U32" i="86"/>
  <c r="W33" i="86"/>
  <c r="S35" i="86"/>
  <c r="U36" i="86"/>
  <c r="W37" i="86"/>
  <c r="S39" i="86"/>
  <c r="U40" i="86"/>
  <c r="S13" i="86"/>
  <c r="U14" i="86"/>
  <c r="W10" i="86"/>
  <c r="S12" i="86"/>
  <c r="U13" i="86"/>
  <c r="W14" i="86"/>
  <c r="W15" i="86"/>
  <c r="W17" i="86"/>
  <c r="W19" i="86"/>
  <c r="W21" i="86"/>
  <c r="W23" i="86"/>
  <c r="S26" i="86"/>
  <c r="U27" i="86"/>
  <c r="W28" i="86"/>
  <c r="S30" i="86"/>
  <c r="U31" i="86"/>
  <c r="W32" i="86"/>
  <c r="S34" i="86"/>
  <c r="U35" i="86"/>
  <c r="W36" i="86"/>
  <c r="S38" i="86"/>
  <c r="U39" i="86"/>
  <c r="W40" i="86"/>
  <c r="U9" i="86"/>
  <c r="W9" i="86"/>
  <c r="S11" i="86"/>
  <c r="U12" i="86"/>
  <c r="W13" i="86"/>
  <c r="S25" i="86"/>
  <c r="U26" i="86"/>
  <c r="W27" i="86"/>
  <c r="S29" i="86"/>
  <c r="U30" i="86"/>
  <c r="W31" i="86"/>
  <c r="S33" i="86"/>
  <c r="U34" i="86"/>
  <c r="W35" i="86"/>
  <c r="S37" i="86"/>
  <c r="U38" i="86"/>
  <c r="W39" i="86"/>
  <c r="H63" i="81"/>
  <c r="I63" i="81" s="1"/>
  <c r="H65" i="81"/>
  <c r="I65" i="81" s="1"/>
  <c r="H66" i="81"/>
  <c r="I66" i="81" s="1"/>
  <c r="I34" i="81"/>
  <c r="I35" i="81"/>
  <c r="I36" i="81"/>
  <c r="I37" i="81"/>
  <c r="I38" i="81"/>
  <c r="I39" i="81"/>
  <c r="I33" i="81"/>
  <c r="I40" i="81" s="1"/>
  <c r="H40" i="81" s="1"/>
  <c r="K40" i="81" s="1"/>
  <c r="L40" i="81" s="1"/>
  <c r="I26" i="81"/>
  <c r="I27" i="81"/>
  <c r="I28" i="81"/>
  <c r="I29" i="81"/>
  <c r="I30" i="81"/>
  <c r="I25" i="81"/>
  <c r="I23" i="81"/>
  <c r="I15" i="81"/>
  <c r="I19" i="81"/>
  <c r="I20" i="81"/>
  <c r="I21" i="81"/>
  <c r="I22" i="81"/>
  <c r="H16" i="81"/>
  <c r="I16" i="81" s="1"/>
  <c r="I14" i="81"/>
  <c r="I10" i="81"/>
  <c r="I9" i="81"/>
  <c r="I5" i="81"/>
  <c r="I4" i="81"/>
  <c r="H11" i="81"/>
  <c r="H12" i="81" s="1"/>
  <c r="I12" i="81" s="1"/>
  <c r="H6" i="81"/>
  <c r="H7" i="81" s="1"/>
  <c r="I7" i="81" s="1"/>
  <c r="I14" i="3"/>
  <c r="F21" i="6" l="1"/>
  <c r="AH8" i="1" s="1"/>
  <c r="B78" i="81"/>
  <c r="D78" i="81" s="1"/>
  <c r="H17" i="81"/>
  <c r="I17" i="81" s="1"/>
  <c r="H48" i="81"/>
  <c r="K77" i="81" s="1"/>
  <c r="F43" i="89"/>
  <c r="F71" i="89" s="1"/>
  <c r="M7" i="89"/>
  <c r="M29" i="89" s="1"/>
  <c r="F50" i="89"/>
  <c r="H18" i="81"/>
  <c r="I18" i="81" s="1"/>
  <c r="I32" i="81"/>
  <c r="H32" i="81" s="1"/>
  <c r="K32" i="81" s="1"/>
  <c r="L32" i="81" s="1"/>
  <c r="F43" i="90"/>
  <c r="F71" i="90" s="1"/>
  <c r="M7" i="90"/>
  <c r="F50" i="90"/>
  <c r="H57" i="81"/>
  <c r="H56" i="81"/>
  <c r="I56" i="81" s="1"/>
  <c r="I55" i="81"/>
  <c r="H67" i="81"/>
  <c r="I67" i="81" s="1"/>
  <c r="H68" i="81"/>
  <c r="I68" i="81" s="1"/>
  <c r="I6" i="81"/>
  <c r="I8" i="81" s="1"/>
  <c r="I11" i="81"/>
  <c r="I13" i="81" s="1"/>
  <c r="H13" i="81" s="1"/>
  <c r="K13" i="81" s="1"/>
  <c r="L13" i="81" s="1"/>
  <c r="I34" i="40"/>
  <c r="G34" i="40"/>
  <c r="E34" i="40"/>
  <c r="C34" i="40"/>
  <c r="I24" i="81" l="1"/>
  <c r="H24" i="81" s="1"/>
  <c r="P27" i="81"/>
  <c r="K24" i="81"/>
  <c r="L24" i="81" s="1"/>
  <c r="H8" i="81"/>
  <c r="K8" i="81" s="1"/>
  <c r="H58" i="81"/>
  <c r="I58" i="81" s="1"/>
  <c r="I57" i="81"/>
  <c r="I59" i="81" s="1"/>
  <c r="H69" i="81"/>
  <c r="I69" i="81" s="1"/>
  <c r="I70" i="81" s="1"/>
  <c r="D66" i="40"/>
  <c r="E66" i="40" s="1"/>
  <c r="F66" i="40" s="1"/>
  <c r="G66" i="40" s="1"/>
  <c r="H66" i="40" s="1"/>
  <c r="I66" i="40" s="1"/>
  <c r="J66" i="40" s="1"/>
  <c r="K66" i="40" s="1"/>
  <c r="L66" i="40" s="1"/>
  <c r="M66" i="40" s="1"/>
  <c r="N66" i="40" s="1"/>
  <c r="O66" i="40" s="1"/>
  <c r="P66" i="40" s="1"/>
  <c r="I7" i="40"/>
  <c r="G7" i="40"/>
  <c r="E7" i="40"/>
  <c r="I5" i="40"/>
  <c r="G5" i="40"/>
  <c r="E5" i="40"/>
  <c r="AC4" i="82"/>
  <c r="B6" i="78"/>
  <c r="D11" i="78"/>
  <c r="D12" i="78" s="1"/>
  <c r="Q72" i="83"/>
  <c r="Q59" i="83"/>
  <c r="K59" i="83"/>
  <c r="P74" i="83" s="1"/>
  <c r="F59" i="83"/>
  <c r="Q58" i="83"/>
  <c r="J52" i="83"/>
  <c r="Q51" i="83"/>
  <c r="J50" i="83"/>
  <c r="J49" i="83"/>
  <c r="M47" i="83"/>
  <c r="D46" i="83"/>
  <c r="F33" i="83"/>
  <c r="F61" i="83" s="1"/>
  <c r="F31" i="83"/>
  <c r="F23" i="83"/>
  <c r="D23" i="83" s="1"/>
  <c r="F21" i="83"/>
  <c r="F20" i="83"/>
  <c r="M19" i="83"/>
  <c r="F18" i="83"/>
  <c r="M17" i="83"/>
  <c r="F17" i="83"/>
  <c r="F15" i="83"/>
  <c r="AK7" i="1"/>
  <c r="W24" i="1"/>
  <c r="W23" i="1"/>
  <c r="W22" i="1"/>
  <c r="N6" i="1" s="1"/>
  <c r="J52" i="15"/>
  <c r="J49" i="15"/>
  <c r="V24" i="1"/>
  <c r="V22" i="1"/>
  <c r="B77" i="81" s="1"/>
  <c r="I7" i="1"/>
  <c r="J7" i="1"/>
  <c r="H7" i="1"/>
  <c r="V23" i="1"/>
  <c r="AC7" i="82"/>
  <c r="X24" i="1" l="1"/>
  <c r="H59" i="81"/>
  <c r="K78" i="81" s="1"/>
  <c r="K79" i="81" s="1"/>
  <c r="K80" i="81" s="1"/>
  <c r="I71" i="81"/>
  <c r="N7" i="1"/>
  <c r="Y6" i="1"/>
  <c r="H70" i="81"/>
  <c r="K70" i="81" s="1"/>
  <c r="L70" i="81" s="1"/>
  <c r="I72" i="81"/>
  <c r="B80" i="81"/>
  <c r="D80" i="81" s="1"/>
  <c r="D77" i="81"/>
  <c r="L8" i="81"/>
  <c r="L71" i="81" s="1"/>
  <c r="L72" i="81" s="1"/>
  <c r="K71" i="81"/>
  <c r="K72" i="81" s="1"/>
  <c r="E6" i="78"/>
  <c r="V25" i="1"/>
  <c r="X23" i="1"/>
  <c r="X25" i="1" s="1"/>
  <c r="W25" i="1" s="1"/>
  <c r="D24" i="83"/>
  <c r="P61" i="83"/>
  <c r="D22" i="83"/>
  <c r="AC6" i="82"/>
  <c r="AC8" i="82" s="1"/>
  <c r="Y7" i="1" l="1"/>
  <c r="N8" i="1"/>
  <c r="Y8" i="1" s="1"/>
  <c r="I73" i="81"/>
  <c r="U7" i="1"/>
  <c r="AD22" i="1"/>
  <c r="Y76" i="82"/>
  <c r="Y72" i="82"/>
  <c r="Y67" i="82"/>
  <c r="Y63" i="82"/>
  <c r="Y58" i="82"/>
  <c r="Y54" i="82"/>
  <c r="Y49" i="82"/>
  <c r="G41" i="40" s="1"/>
  <c r="Y45" i="82"/>
  <c r="Y41" i="82"/>
  <c r="Y36" i="82"/>
  <c r="Y32" i="82"/>
  <c r="E41" i="40" s="1"/>
  <c r="Y28" i="82"/>
  <c r="Y75" i="82"/>
  <c r="Y71" i="82"/>
  <c r="Y66" i="82"/>
  <c r="Y62" i="82"/>
  <c r="Y57" i="82"/>
  <c r="Y53" i="82"/>
  <c r="Y48" i="82"/>
  <c r="Y44" i="82"/>
  <c r="Y40" i="82"/>
  <c r="Y35" i="82"/>
  <c r="Y31" i="82"/>
  <c r="Y27" i="82"/>
  <c r="Y22" i="82"/>
  <c r="Y18" i="82"/>
  <c r="Y14" i="82"/>
  <c r="Y10" i="82"/>
  <c r="Y5" i="82"/>
  <c r="Y19" i="82"/>
  <c r="Y15" i="82"/>
  <c r="Y11" i="82"/>
  <c r="Y6" i="82"/>
  <c r="Y74" i="82"/>
  <c r="Y70" i="82"/>
  <c r="Y65" i="82"/>
  <c r="Y61" i="82"/>
  <c r="Y56" i="82"/>
  <c r="Y52" i="82"/>
  <c r="Y47" i="82"/>
  <c r="Y43" i="82"/>
  <c r="Y39" i="82"/>
  <c r="Y34" i="82"/>
  <c r="Y30" i="82"/>
  <c r="Y26" i="82"/>
  <c r="Y21" i="82"/>
  <c r="Y17" i="82"/>
  <c r="Y13" i="82"/>
  <c r="Y9" i="82"/>
  <c r="Y7" i="82"/>
  <c r="Y73" i="82"/>
  <c r="Y69" i="82"/>
  <c r="Y64" i="82"/>
  <c r="Y59" i="82"/>
  <c r="Y55" i="82"/>
  <c r="Y50" i="82"/>
  <c r="I41" i="40" s="1"/>
  <c r="Y46" i="82"/>
  <c r="Y42" i="82"/>
  <c r="Y37" i="82"/>
  <c r="Y33" i="82"/>
  <c r="Y29" i="82"/>
  <c r="Y25" i="82"/>
  <c r="Y20" i="82"/>
  <c r="Y16" i="82"/>
  <c r="Y12" i="82"/>
  <c r="Y4" i="82"/>
  <c r="Y24" i="82"/>
  <c r="Y8" i="82"/>
  <c r="Y3" i="82"/>
  <c r="F49" i="15" l="1"/>
  <c r="F6" i="90"/>
  <c r="F49" i="89"/>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AD29" i="79" s="1"/>
  <c r="M26" i="79"/>
  <c r="P26" i="79" s="1"/>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L3" i="79" s="1"/>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T17" i="79"/>
  <c r="W17" i="79" s="1"/>
  <c r="Z3" i="79"/>
  <c r="R13" i="79"/>
  <c r="V13" i="79"/>
  <c r="S14" i="79"/>
  <c r="T15" i="79"/>
  <c r="W15" i="79" s="1"/>
  <c r="U17" i="79"/>
  <c r="S28" i="79"/>
  <c r="AA26" i="79"/>
  <c r="AD26" i="79" s="1"/>
  <c r="T30" i="79"/>
  <c r="W30" i="79" s="1"/>
  <c r="U36" i="79"/>
  <c r="AD37" i="79"/>
  <c r="S38" i="79"/>
  <c r="AB3" i="79"/>
  <c r="T26" i="79"/>
  <c r="W26" i="79" s="1"/>
  <c r="T29" i="79"/>
  <c r="T28" i="79"/>
  <c r="W28" i="79" s="1"/>
  <c r="U30" i="79"/>
  <c r="AD36" i="79"/>
  <c r="S37" i="79"/>
  <c r="U39" i="79"/>
  <c r="AD40" i="79"/>
  <c r="U5" i="79"/>
  <c r="V3" i="79"/>
  <c r="S13" i="79"/>
  <c r="U15" i="79"/>
  <c r="U16" i="79"/>
  <c r="Y3" i="79"/>
  <c r="AC3" i="79"/>
  <c r="S16" i="79"/>
  <c r="L26" i="79"/>
  <c r="U26" i="79"/>
  <c r="U28" i="79"/>
  <c r="U38" i="79"/>
  <c r="AD39" i="79"/>
  <c r="S40" i="79"/>
  <c r="S30" i="79"/>
  <c r="T36" i="79"/>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c r="C23" i="71"/>
  <c r="Q25" i="71"/>
  <c r="P25" i="71"/>
  <c r="O25" i="71"/>
  <c r="N25" i="71"/>
  <c r="B23" i="71"/>
  <c r="B22" i="71" s="1"/>
  <c r="B21"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5" i="81" s="1"/>
  <c r="C91" i="9"/>
  <c r="B8" i="72"/>
  <c r="O27" i="71"/>
  <c r="P27" i="71"/>
  <c r="AA25"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s="1"/>
  <c r="C88" i="71"/>
  <c r="D88" i="71" s="1"/>
  <c r="B88" i="71"/>
  <c r="B87" i="71" s="1"/>
  <c r="F87" i="71"/>
  <c r="F86" i="71" s="1"/>
  <c r="B86" i="71"/>
  <c r="D85" i="71"/>
  <c r="F84" i="71"/>
  <c r="E84" i="71"/>
  <c r="E83" i="71"/>
  <c r="E82" i="71" s="1"/>
  <c r="C84" i="71"/>
  <c r="D84" i="71" s="1"/>
  <c r="B84" i="71"/>
  <c r="B83" i="71" s="1"/>
  <c r="F83" i="71"/>
  <c r="F82" i="71" s="1"/>
  <c r="B82" i="7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F75" i="71" s="1"/>
  <c r="F74" i="71" s="1"/>
  <c r="E76" i="71"/>
  <c r="U76" i="71" s="1"/>
  <c r="C76" i="71"/>
  <c r="T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E55" i="71" s="1"/>
  <c r="E56" i="71" s="1"/>
  <c r="U56" i="71" s="1"/>
  <c r="O54" i="71"/>
  <c r="N54" i="71"/>
  <c r="Q53" i="71"/>
  <c r="F54" i="71" s="1"/>
  <c r="F55" i="71" s="1"/>
  <c r="F56" i="71" s="1"/>
  <c r="V56" i="71" s="1"/>
  <c r="P53" i="71"/>
  <c r="E54" i="71" s="1"/>
  <c r="O53" i="71"/>
  <c r="C54" i="71" s="1"/>
  <c r="C55" i="71" s="1"/>
  <c r="N53" i="71"/>
  <c r="B54" i="71" s="1"/>
  <c r="B55" i="71" s="1"/>
  <c r="B56" i="71" s="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s="1"/>
  <c r="C43" i="71" s="1"/>
  <c r="N41" i="71"/>
  <c r="B42" i="71" s="1"/>
  <c r="D41" i="71"/>
  <c r="Q40" i="71"/>
  <c r="P40" i="71"/>
  <c r="O40" i="71"/>
  <c r="N40" i="71"/>
  <c r="Q39" i="71"/>
  <c r="P39" i="71"/>
  <c r="O39" i="71"/>
  <c r="Y39" i="71"/>
  <c r="Z39" i="71" s="1"/>
  <c r="N39" i="71"/>
  <c r="X39" i="71" s="1"/>
  <c r="Q38" i="71"/>
  <c r="P38" i="71"/>
  <c r="AA38" i="71" s="1"/>
  <c r="O38" i="71"/>
  <c r="Y36" i="71" s="1"/>
  <c r="Z36" i="71" s="1"/>
  <c r="N38" i="71"/>
  <c r="Q37" i="71"/>
  <c r="F38" i="71" s="1"/>
  <c r="F39" i="71" s="1"/>
  <c r="F40" i="71" s="1"/>
  <c r="V40" i="71" s="1"/>
  <c r="P37" i="71"/>
  <c r="AA31" i="71" s="1"/>
  <c r="O37" i="71"/>
  <c r="N37" i="71"/>
  <c r="D37" i="71"/>
  <c r="Q36" i="71"/>
  <c r="AB36" i="71" s="1"/>
  <c r="P36" i="71"/>
  <c r="O36" i="71"/>
  <c r="N36" i="71"/>
  <c r="X36" i="71" s="1"/>
  <c r="Q35" i="71"/>
  <c r="P35" i="71"/>
  <c r="O35" i="71"/>
  <c r="N35" i="71"/>
  <c r="X35" i="71" s="1"/>
  <c r="Q34" i="71"/>
  <c r="P34" i="71"/>
  <c r="O34" i="71"/>
  <c r="N34" i="71"/>
  <c r="Q33" i="71"/>
  <c r="F34" i="71" s="1"/>
  <c r="F35" i="71" s="1"/>
  <c r="F36" i="71" s="1"/>
  <c r="V36" i="71" s="1"/>
  <c r="P33" i="71"/>
  <c r="O33" i="71"/>
  <c r="C34" i="71" s="1"/>
  <c r="N33" i="71"/>
  <c r="B34" i="71" s="1"/>
  <c r="B35" i="71" s="1"/>
  <c r="B36" i="71" s="1"/>
  <c r="S36" i="71" s="1"/>
  <c r="D33" i="71"/>
  <c r="Q32" i="71"/>
  <c r="P32" i="71"/>
  <c r="O32" i="71"/>
  <c r="Y32" i="71" s="1"/>
  <c r="Z32" i="71" s="1"/>
  <c r="N32" i="71"/>
  <c r="Q31" i="71"/>
  <c r="P31" i="71"/>
  <c r="O31" i="71"/>
  <c r="Y31" i="71" s="1"/>
  <c r="Z31" i="71" s="1"/>
  <c r="N31" i="71"/>
  <c r="Q30" i="71"/>
  <c r="P30" i="71"/>
  <c r="O30" i="71"/>
  <c r="Y30" i="71" s="1"/>
  <c r="Z30" i="71" s="1"/>
  <c r="N30" i="71"/>
  <c r="Q29" i="71"/>
  <c r="F30" i="71" s="1"/>
  <c r="F31" i="71" s="1"/>
  <c r="F32" i="71" s="1"/>
  <c r="V32" i="71" s="1"/>
  <c r="P29" i="71"/>
  <c r="AA28" i="71" s="1"/>
  <c r="O29" i="71"/>
  <c r="C30" i="71" s="1"/>
  <c r="C31" i="71" s="1"/>
  <c r="N29" i="71"/>
  <c r="D29" i="71"/>
  <c r="O28" i="71"/>
  <c r="C28" i="71" s="1"/>
  <c r="T28" i="71" s="1"/>
  <c r="N28" i="71"/>
  <c r="B28" i="71" s="1"/>
  <c r="B30" i="71"/>
  <c r="B31" i="71" s="1"/>
  <c r="B32" i="71"/>
  <c r="S32" i="71" s="1"/>
  <c r="B38" i="71"/>
  <c r="B39" i="71" s="1"/>
  <c r="B40" i="71" s="1"/>
  <c r="S40" i="71" s="1"/>
  <c r="N68" i="71"/>
  <c r="E34" i="71"/>
  <c r="E35" i="71" s="1"/>
  <c r="E36" i="71" s="1"/>
  <c r="U36" i="71" s="1"/>
  <c r="X32" i="71"/>
  <c r="X34" i="71"/>
  <c r="C38" i="71"/>
  <c r="D38" i="71" s="1"/>
  <c r="AB37" i="71"/>
  <c r="X38" i="71"/>
  <c r="Y26" i="71"/>
  <c r="Z26" i="71" s="1"/>
  <c r="X27" i="71"/>
  <c r="C47" i="71"/>
  <c r="D47" i="71"/>
  <c r="D50" i="71"/>
  <c r="P28" i="71"/>
  <c r="E59" i="71"/>
  <c r="E60" i="71" s="1"/>
  <c r="U60" i="71" s="1"/>
  <c r="E63" i="71"/>
  <c r="E64" i="71" s="1"/>
  <c r="U64" i="71" s="1"/>
  <c r="U68" i="71"/>
  <c r="E67" i="71"/>
  <c r="E66" i="71" s="1"/>
  <c r="Q28" i="71"/>
  <c r="AB25" i="71" s="1"/>
  <c r="D54" i="71"/>
  <c r="D62" i="71"/>
  <c r="O68" i="71"/>
  <c r="Q68" i="71"/>
  <c r="C71" i="71"/>
  <c r="D71" i="71" s="1"/>
  <c r="E71" i="71"/>
  <c r="E70" i="71" s="1"/>
  <c r="C75" i="71"/>
  <c r="D75" i="71" s="1"/>
  <c r="E75" i="71"/>
  <c r="E74" i="71" s="1"/>
  <c r="D76" i="71"/>
  <c r="E79" i="71"/>
  <c r="E78" i="71" s="1"/>
  <c r="D80" i="71"/>
  <c r="C83" i="71"/>
  <c r="C87" i="71"/>
  <c r="F28" i="71"/>
  <c r="F27" i="71" s="1"/>
  <c r="F26" i="71" s="1"/>
  <c r="E28" i="71"/>
  <c r="E27" i="71" s="1"/>
  <c r="E26" i="71" s="1"/>
  <c r="D28" i="71"/>
  <c r="U28" i="71" s="1"/>
  <c r="D83" i="71"/>
  <c r="C82" i="71"/>
  <c r="D82" i="71" s="1"/>
  <c r="D87" i="71"/>
  <c r="C86" i="71"/>
  <c r="D8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S21" i="21" s="1"/>
  <c r="D81" i="21"/>
  <c r="G20" i="20"/>
  <c r="B88" i="43" s="1"/>
  <c r="C22" i="20"/>
  <c r="B100" i="43" s="1"/>
  <c r="C25" i="40"/>
  <c r="U18" i="36"/>
  <c r="H25" i="40"/>
  <c r="AB25" i="40" s="1"/>
  <c r="J25" i="40"/>
  <c r="AC25" i="40" s="1"/>
  <c r="H29" i="39"/>
  <c r="AB29" i="39" s="1"/>
  <c r="J29" i="39"/>
  <c r="AC29" i="39" s="1"/>
  <c r="J18" i="36"/>
  <c r="AC18" i="36" s="1"/>
  <c r="H18" i="35"/>
  <c r="U18" i="35" s="1"/>
  <c r="S18" i="35"/>
  <c r="J18" i="35"/>
  <c r="H21" i="37"/>
  <c r="AB21" i="37" s="1"/>
  <c r="F21" i="37"/>
  <c r="AA21" i="37" s="1"/>
  <c r="H21" i="34"/>
  <c r="AB21" i="34" s="1"/>
  <c r="H21" i="33"/>
  <c r="AB21" i="33" s="1"/>
  <c r="F21" i="33"/>
  <c r="AA21" i="33" s="1"/>
  <c r="E83" i="21"/>
  <c r="F83" i="21" s="1"/>
  <c r="G83" i="21" s="1"/>
  <c r="H1" i="69"/>
  <c r="U21" i="34"/>
  <c r="S21" i="33"/>
  <c r="AB18" i="35"/>
  <c r="AC18" i="35"/>
  <c r="W18" i="35"/>
  <c r="J21" i="37"/>
  <c r="W21" i="37" s="1"/>
  <c r="J21" i="34"/>
  <c r="AC21" i="34" s="1"/>
  <c r="J21" i="33"/>
  <c r="AC21" i="33" s="1"/>
  <c r="H21" i="21"/>
  <c r="U21" i="21" s="1"/>
  <c r="F38" i="69"/>
  <c r="E37" i="69"/>
  <c r="F36" i="69"/>
  <c r="F35" i="69"/>
  <c r="F21" i="69"/>
  <c r="F40" i="69" s="1"/>
  <c r="F20" i="69"/>
  <c r="F39" i="69" s="1"/>
  <c r="E10" i="69"/>
  <c r="E9" i="69"/>
  <c r="C7" i="69"/>
  <c r="W21" i="34"/>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A210" i="3" s="1"/>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L397" i="3" s="1"/>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L457" i="3" s="1"/>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A440" i="3" s="1"/>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c r="B8" i="53"/>
  <c r="B23" i="72" s="1"/>
  <c r="L4" i="9"/>
  <c r="B17" i="72"/>
  <c r="B15" i="72"/>
  <c r="A3" i="51"/>
  <c r="C8" i="11"/>
  <c r="B40" i="48"/>
  <c r="B3" i="72" s="1"/>
  <c r="F35" i="4"/>
  <c r="J55" i="39" s="1"/>
  <c r="H38" i="43"/>
  <c r="H39" i="43"/>
  <c r="H40"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W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F38" i="40" s="1"/>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AC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F75" i="37" s="1"/>
  <c r="G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c r="Q23" i="36"/>
  <c r="Z23" i="36" s="1"/>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c r="B73" i="35"/>
  <c r="H23" i="35"/>
  <c r="U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A31" i="35"/>
  <c r="Q30" i="35"/>
  <c r="Z30" i="35"/>
  <c r="Q29" i="35"/>
  <c r="Z29" i="35" s="1"/>
  <c r="Q28" i="35"/>
  <c r="Z28" i="35" s="1"/>
  <c r="J28" i="35"/>
  <c r="AC28" i="35" s="1"/>
  <c r="H28" i="35"/>
  <c r="AB28" i="35" s="1"/>
  <c r="F28" i="35"/>
  <c r="AA28" i="35" s="1"/>
  <c r="Q27" i="35"/>
  <c r="Z27" i="35" s="1"/>
  <c r="Q26" i="35"/>
  <c r="Z26" i="35" s="1"/>
  <c r="Q25" i="35"/>
  <c r="Z25" i="35"/>
  <c r="Q24" i="35"/>
  <c r="Z24" i="35" s="1"/>
  <c r="Q23" i="35"/>
  <c r="Z23" i="35" s="1"/>
  <c r="J23" i="35"/>
  <c r="AC23" i="35" s="1"/>
  <c r="Q22" i="35"/>
  <c r="Z22" i="35" s="1"/>
  <c r="Q20" i="35"/>
  <c r="Z20" i="35" s="1"/>
  <c r="Q16" i="35"/>
  <c r="Z16" i="35" s="1"/>
  <c r="Q14" i="35"/>
  <c r="Z14" i="35" s="1"/>
  <c r="Q13" i="35"/>
  <c r="Z13" i="35"/>
  <c r="Q12" i="35"/>
  <c r="Z12" i="35" s="1"/>
  <c r="J12" i="35"/>
  <c r="W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D121" i="33"/>
  <c r="E121" i="33"/>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s="1"/>
  <c r="AA40" i="33"/>
  <c r="Q39" i="33"/>
  <c r="Z39" i="33" s="1"/>
  <c r="J39" i="33"/>
  <c r="W39" i="33" s="1"/>
  <c r="AC39" i="33"/>
  <c r="Q38" i="33"/>
  <c r="Z38" i="33" s="1"/>
  <c r="J38" i="33"/>
  <c r="AC38" i="33"/>
  <c r="H38" i="33"/>
  <c r="AB38" i="33" s="1"/>
  <c r="F38" i="33"/>
  <c r="AA38" i="33" s="1"/>
  <c r="Q37" i="33"/>
  <c r="Z37" i="33" s="1"/>
  <c r="Q36" i="33"/>
  <c r="Z36" i="33" s="1"/>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B74" i="21"/>
  <c r="B72" i="21"/>
  <c r="H13"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s="1"/>
  <c r="F36" i="39"/>
  <c r="S36" i="39" s="1"/>
  <c r="AB36" i="39"/>
  <c r="J35" i="39"/>
  <c r="AC35" i="39" s="1"/>
  <c r="F35" i="39"/>
  <c r="AA35" i="39" s="1"/>
  <c r="J36" i="39"/>
  <c r="AC36" i="39" s="1"/>
  <c r="U9" i="39"/>
  <c r="W40" i="39"/>
  <c r="E103" i="37"/>
  <c r="F103" i="37"/>
  <c r="G103" i="37" s="1"/>
  <c r="H103" i="37" s="1"/>
  <c r="I103" i="37" s="1"/>
  <c r="J103" i="37" s="1"/>
  <c r="K103" i="37" s="1"/>
  <c r="L103" i="37" s="1"/>
  <c r="M103" i="37" s="1"/>
  <c r="F39" i="37"/>
  <c r="U14" i="37"/>
  <c r="F29" i="36"/>
  <c r="AA29" i="36" s="1"/>
  <c r="F16" i="36"/>
  <c r="AA16" i="36" s="1"/>
  <c r="U9" i="36"/>
  <c r="U31" i="36"/>
  <c r="J33" i="36"/>
  <c r="AC33" i="36" s="1"/>
  <c r="H22" i="35"/>
  <c r="AB22" i="35" s="1"/>
  <c r="W28" i="35"/>
  <c r="U31" i="35"/>
  <c r="W36" i="35"/>
  <c r="S31" i="35"/>
  <c r="U34" i="35"/>
  <c r="F36" i="34"/>
  <c r="J35" i="34"/>
  <c r="U34" i="34"/>
  <c r="H39" i="33"/>
  <c r="AB39" i="33" s="1"/>
  <c r="F26" i="33"/>
  <c r="U33" i="33"/>
  <c r="U35" i="33"/>
  <c r="W33" i="33"/>
  <c r="H39" i="37"/>
  <c r="AB39" i="37" s="1"/>
  <c r="S27" i="35"/>
  <c r="W8" i="40"/>
  <c r="U38" i="40"/>
  <c r="S40" i="40"/>
  <c r="W31" i="40"/>
  <c r="S38"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E100" i="39"/>
  <c r="F100" i="39" s="1"/>
  <c r="G100" i="39" s="1"/>
  <c r="H19" i="39"/>
  <c r="AB19" i="39" s="1"/>
  <c r="F19" i="39"/>
  <c r="AA19" i="39" s="1"/>
  <c r="H17" i="39"/>
  <c r="AB17" i="39" s="1"/>
  <c r="F17" i="39"/>
  <c r="AA17" i="39" s="1"/>
  <c r="F21" i="40"/>
  <c r="S21" i="40" s="1"/>
  <c r="J21" i="40"/>
  <c r="W21" i="40" s="1"/>
  <c r="H42" i="39"/>
  <c r="AB42" i="39" s="1"/>
  <c r="J34" i="39"/>
  <c r="AC34" i="39" s="1"/>
  <c r="J31" i="39"/>
  <c r="H27" i="39"/>
  <c r="U27" i="39" s="1"/>
  <c r="J19" i="39"/>
  <c r="AC19" i="39" s="1"/>
  <c r="J17" i="39"/>
  <c r="J27" i="39"/>
  <c r="AC27" i="39" s="1"/>
  <c r="F27" i="39"/>
  <c r="F11" i="21"/>
  <c r="S11" i="21" s="1"/>
  <c r="S40" i="21"/>
  <c r="U34" i="21"/>
  <c r="C27" i="39"/>
  <c r="C21" i="39"/>
  <c r="H11" i="39"/>
  <c r="S40" i="39"/>
  <c r="C15" i="39"/>
  <c r="H32" i="33"/>
  <c r="AB32" i="33" s="1"/>
  <c r="H11" i="21"/>
  <c r="U11" i="21" s="1"/>
  <c r="J11" i="21"/>
  <c r="W11" i="21" s="1"/>
  <c r="H37" i="40"/>
  <c r="U37" i="40" s="1"/>
  <c r="F35" i="40"/>
  <c r="AA35" i="40" s="1"/>
  <c r="J15" i="40"/>
  <c r="W15" i="40" s="1"/>
  <c r="AC12" i="34"/>
  <c r="AA12" i="34"/>
  <c r="W32" i="40"/>
  <c r="F37" i="39"/>
  <c r="AA37" i="39" s="1"/>
  <c r="J34" i="36"/>
  <c r="W34" i="36" s="1"/>
  <c r="U30" i="36"/>
  <c r="J30" i="35"/>
  <c r="W30" i="35" s="1"/>
  <c r="H30" i="35"/>
  <c r="AB30" i="35" s="1"/>
  <c r="F22" i="35"/>
  <c r="AA22" i="35"/>
  <c r="H10" i="35"/>
  <c r="U10" i="35" s="1"/>
  <c r="AC16" i="36"/>
  <c r="F33" i="36"/>
  <c r="AA33" i="36"/>
  <c r="H16" i="36"/>
  <c r="AB16" i="36" s="1"/>
  <c r="E85" i="36"/>
  <c r="F85" i="36" s="1"/>
  <c r="G85" i="36" s="1"/>
  <c r="H85" i="36" s="1"/>
  <c r="I85" i="36" s="1"/>
  <c r="J85" i="36" s="1"/>
  <c r="K85" i="36" s="1"/>
  <c r="L85" i="36" s="1"/>
  <c r="M85" i="36" s="1"/>
  <c r="J29" i="36"/>
  <c r="AC29" i="36" s="1"/>
  <c r="F24" i="36"/>
  <c r="AA24" i="36" s="1"/>
  <c r="F34" i="36"/>
  <c r="S34" i="36" s="1"/>
  <c r="F14" i="35"/>
  <c r="AA14" i="35"/>
  <c r="F23" i="35"/>
  <c r="AA23" i="35" s="1"/>
  <c r="J32" i="35"/>
  <c r="AC32" i="35" s="1"/>
  <c r="J16" i="35"/>
  <c r="AC16" i="35" s="1"/>
  <c r="H16" i="35"/>
  <c r="U16" i="35" s="1"/>
  <c r="F16" i="35"/>
  <c r="S16" i="35" s="1"/>
  <c r="H14" i="35"/>
  <c r="AB14" i="35" s="1"/>
  <c r="J29" i="35"/>
  <c r="H33" i="35"/>
  <c r="AB33" i="35" s="1"/>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c r="F25" i="34"/>
  <c r="S25" i="34" s="1"/>
  <c r="H23" i="34"/>
  <c r="AB23" i="34" s="1"/>
  <c r="J23" i="34"/>
  <c r="F19" i="34"/>
  <c r="H17" i="34"/>
  <c r="U17" i="34" s="1"/>
  <c r="F15" i="34"/>
  <c r="AA15" i="34" s="1"/>
  <c r="J15" i="34"/>
  <c r="H15" i="34"/>
  <c r="AB15" i="34" s="1"/>
  <c r="W8" i="34"/>
  <c r="F41" i="33"/>
  <c r="S41" i="33" s="1"/>
  <c r="S38" i="33"/>
  <c r="E113" i="33"/>
  <c r="F32" i="33"/>
  <c r="AA32" i="33" s="1"/>
  <c r="J19" i="33"/>
  <c r="AC19" i="33" s="1"/>
  <c r="J15" i="33"/>
  <c r="AC15" i="33" s="1"/>
  <c r="F11" i="33"/>
  <c r="AA11" i="33" s="1"/>
  <c r="U40" i="33"/>
  <c r="W40" i="33"/>
  <c r="F37" i="40"/>
  <c r="S37" i="40" s="1"/>
  <c r="H28" i="40"/>
  <c r="U28" i="40"/>
  <c r="F15" i="40"/>
  <c r="S15" i="40" s="1"/>
  <c r="H15" i="40"/>
  <c r="AB15" i="40" s="1"/>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J42" i="21"/>
  <c r="AC42" i="21" s="1"/>
  <c r="H42" i="21"/>
  <c r="U42" i="21"/>
  <c r="J44" i="34"/>
  <c r="F44" i="34"/>
  <c r="AA44" i="34" s="1"/>
  <c r="J10" i="35"/>
  <c r="AC10" i="35" s="1"/>
  <c r="BL587" i="3"/>
  <c r="J14" i="21"/>
  <c r="W14" i="21" s="1"/>
  <c r="F14" i="21"/>
  <c r="S14" i="21" s="1"/>
  <c r="H14" i="21"/>
  <c r="U14" i="21" s="1"/>
  <c r="H28" i="21"/>
  <c r="AB28" i="21"/>
  <c r="F28" i="21"/>
  <c r="AA28" i="21" s="1"/>
  <c r="J28" i="21"/>
  <c r="AC28" i="21" s="1"/>
  <c r="H30" i="21"/>
  <c r="U30" i="21" s="1"/>
  <c r="F30" i="21"/>
  <c r="S30" i="21"/>
  <c r="J30" i="21"/>
  <c r="AC30" i="21" s="1"/>
  <c r="J44" i="21"/>
  <c r="AC44" i="21" s="1"/>
  <c r="H44" i="21"/>
  <c r="U44" i="21" s="1"/>
  <c r="F44" i="21"/>
  <c r="AA44" i="21"/>
  <c r="H46" i="21"/>
  <c r="U46" i="21" s="1"/>
  <c r="J46" i="21"/>
  <c r="AC46" i="21" s="1"/>
  <c r="F46" i="21"/>
  <c r="AA46" i="21" s="1"/>
  <c r="E119" i="21"/>
  <c r="F119" i="2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c r="H29" i="21"/>
  <c r="U29" i="21" s="1"/>
  <c r="J31" i="21"/>
  <c r="AC31" i="21" s="1"/>
  <c r="F31" i="21"/>
  <c r="S31" i="21" s="1"/>
  <c r="F45" i="21"/>
  <c r="AA45" i="21"/>
  <c r="F27" i="33"/>
  <c r="AA27" i="33" s="1"/>
  <c r="J13" i="33"/>
  <c r="H13" i="33"/>
  <c r="U13" i="33" s="1"/>
  <c r="F13" i="33"/>
  <c r="S13" i="33" s="1"/>
  <c r="J29" i="33"/>
  <c r="W29" i="33" s="1"/>
  <c r="AC29" i="33"/>
  <c r="H29" i="33"/>
  <c r="U29" i="33" s="1"/>
  <c r="F29" i="33"/>
  <c r="S29" i="33" s="1"/>
  <c r="J31" i="33"/>
  <c r="W31" i="33" s="1"/>
  <c r="H31" i="33"/>
  <c r="F31" i="33"/>
  <c r="H45" i="33"/>
  <c r="U45" i="33" s="1"/>
  <c r="J45" i="33"/>
  <c r="W45" i="33" s="1"/>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AC29" i="37" s="1"/>
  <c r="F29" i="37"/>
  <c r="S29" i="37" s="1"/>
  <c r="F105" i="37"/>
  <c r="H36" i="37"/>
  <c r="AB36" i="37" s="1"/>
  <c r="F107" i="37"/>
  <c r="J37" i="37"/>
  <c r="AC37" i="37" s="1"/>
  <c r="H37" i="37"/>
  <c r="U37" i="37" s="1"/>
  <c r="H40" i="37"/>
  <c r="U40" i="37" s="1"/>
  <c r="J40" i="37"/>
  <c r="W40" i="37" s="1"/>
  <c r="AC40" i="37"/>
  <c r="F40" i="37"/>
  <c r="AA40" i="37" s="1"/>
  <c r="AC12" i="40"/>
  <c r="W12" i="40"/>
  <c r="H14" i="33"/>
  <c r="U14" i="33" s="1"/>
  <c r="F14" i="33"/>
  <c r="AA14" i="33" s="1"/>
  <c r="S14" i="33"/>
  <c r="J14" i="33"/>
  <c r="H30" i="33"/>
  <c r="AB30" i="33" s="1"/>
  <c r="F30" i="33"/>
  <c r="J30" i="33"/>
  <c r="H44" i="33"/>
  <c r="J44" i="33"/>
  <c r="AC44" i="33"/>
  <c r="F44" i="33"/>
  <c r="S44" i="33" s="1"/>
  <c r="J46" i="33"/>
  <c r="AC46" i="33" s="1"/>
  <c r="F46" i="33"/>
  <c r="AA46" i="33" s="1"/>
  <c r="H46" i="33"/>
  <c r="U46" i="33" s="1"/>
  <c r="AB46" i="33"/>
  <c r="H13" i="34"/>
  <c r="U13" i="34" s="1"/>
  <c r="J13" i="34"/>
  <c r="W13" i="34" s="1"/>
  <c r="F13" i="34"/>
  <c r="AA13" i="34" s="1"/>
  <c r="J29" i="34"/>
  <c r="F29" i="34"/>
  <c r="S29" i="34" s="1"/>
  <c r="H29" i="34"/>
  <c r="AB29" i="34" s="1"/>
  <c r="J31" i="34"/>
  <c r="W31" i="34" s="1"/>
  <c r="AC31" i="34"/>
  <c r="H31" i="34"/>
  <c r="AB31" i="34" s="1"/>
  <c r="F31" i="34"/>
  <c r="S31" i="34" s="1"/>
  <c r="H45" i="34"/>
  <c r="U45" i="34" s="1"/>
  <c r="J45" i="34"/>
  <c r="W45" i="34"/>
  <c r="F45" i="34"/>
  <c r="S45" i="34" s="1"/>
  <c r="H47" i="34"/>
  <c r="U47" i="34" s="1"/>
  <c r="F47" i="34"/>
  <c r="S47" i="34" s="1"/>
  <c r="J47" i="34"/>
  <c r="AC47" i="34"/>
  <c r="F13" i="35"/>
  <c r="S13" i="35" s="1"/>
  <c r="J13" i="35"/>
  <c r="AC13" i="35" s="1"/>
  <c r="H13" i="35"/>
  <c r="U13" i="35" s="1"/>
  <c r="J25" i="35"/>
  <c r="W25" i="35"/>
  <c r="F25" i="35"/>
  <c r="S25" i="35" s="1"/>
  <c r="H25" i="35"/>
  <c r="AB25" i="35" s="1"/>
  <c r="J35" i="35"/>
  <c r="AC35" i="35" s="1"/>
  <c r="F35" i="35"/>
  <c r="AA35" i="35"/>
  <c r="H35" i="35"/>
  <c r="AB35" i="35" s="1"/>
  <c r="J25" i="36"/>
  <c r="W25" i="36" s="1"/>
  <c r="F25" i="36"/>
  <c r="S25" i="36" s="1"/>
  <c r="H25" i="36"/>
  <c r="AB25" i="36"/>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c r="F14" i="40"/>
  <c r="AA14" i="40" s="1"/>
  <c r="J14" i="37"/>
  <c r="AC14" i="37" s="1"/>
  <c r="J27" i="37"/>
  <c r="AC27" i="37" s="1"/>
  <c r="AA13" i="35"/>
  <c r="U31" i="34"/>
  <c r="J36" i="37"/>
  <c r="AC36" i="37" s="1"/>
  <c r="G105" i="37"/>
  <c r="J10" i="36"/>
  <c r="AC10" i="36" s="1"/>
  <c r="AB26" i="33"/>
  <c r="AA14" i="37"/>
  <c r="AC13" i="36"/>
  <c r="W13" i="36"/>
  <c r="AC30" i="34"/>
  <c r="AA14" i="34"/>
  <c r="S45" i="33"/>
  <c r="AB31" i="33"/>
  <c r="U31" i="33"/>
  <c r="S44" i="34"/>
  <c r="BA586" i="3"/>
  <c r="BA585" i="3"/>
  <c r="F17" i="21"/>
  <c r="AA17" i="21"/>
  <c r="H17" i="21"/>
  <c r="AB17" i="21" s="1"/>
  <c r="F15" i="21"/>
  <c r="S15" i="21" s="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AZ574" i="3" s="1"/>
  <c r="BL570" i="3"/>
  <c r="BL566" i="3"/>
  <c r="BL562" i="3"/>
  <c r="AZ562" i="3" s="1"/>
  <c r="BL556" i="3"/>
  <c r="AZ556" i="3" s="1"/>
  <c r="BL552" i="3"/>
  <c r="BL544" i="3"/>
  <c r="BL540" i="3"/>
  <c r="BL536" i="3"/>
  <c r="AZ536" i="3" s="1"/>
  <c r="G533" i="3"/>
  <c r="BL532" i="3"/>
  <c r="G529" i="3"/>
  <c r="BL528" i="3"/>
  <c r="G525" i="3"/>
  <c r="BL524" i="3"/>
  <c r="BL518" i="3"/>
  <c r="BL514" i="3"/>
  <c r="BL510" i="3"/>
  <c r="BL504" i="3"/>
  <c r="BL500" i="3"/>
  <c r="BL496" i="3"/>
  <c r="G493" i="3"/>
  <c r="BA584" i="3"/>
  <c r="BA582" i="3"/>
  <c r="AZ582" i="3"/>
  <c r="BA580" i="3"/>
  <c r="BA578" i="3"/>
  <c r="AZ578" i="3"/>
  <c r="BA576" i="3"/>
  <c r="AZ576" i="3" s="1"/>
  <c r="BA574" i="3"/>
  <c r="BA572" i="3"/>
  <c r="BA570" i="3"/>
  <c r="BA568" i="3"/>
  <c r="AZ568" i="3" s="1"/>
  <c r="BA566" i="3"/>
  <c r="AZ566" i="3"/>
  <c r="BA564" i="3"/>
  <c r="AZ564" i="3" s="1"/>
  <c r="BA562" i="3"/>
  <c r="BA560" i="3"/>
  <c r="AZ560" i="3" s="1"/>
  <c r="BA558" i="3"/>
  <c r="AZ558" i="3" s="1"/>
  <c r="BA556" i="3"/>
  <c r="BA554" i="3"/>
  <c r="BA552" i="3"/>
  <c r="AZ552" i="3" s="1"/>
  <c r="BA548" i="3"/>
  <c r="BA546" i="3"/>
  <c r="BA544" i="3"/>
  <c r="AZ544" i="3" s="1"/>
  <c r="BA542" i="3"/>
  <c r="AZ542" i="3" s="1"/>
  <c r="BA540" i="3"/>
  <c r="AZ540" i="3"/>
  <c r="BA538" i="3"/>
  <c r="BA536" i="3"/>
  <c r="BA534" i="3"/>
  <c r="AZ534" i="3" s="1"/>
  <c r="BA532" i="3"/>
  <c r="AZ532" i="3"/>
  <c r="BA530" i="3"/>
  <c r="AZ530" i="3" s="1"/>
  <c r="BA528" i="3"/>
  <c r="AZ528" i="3" s="1"/>
  <c r="BA526" i="3"/>
  <c r="AZ526" i="3" s="1"/>
  <c r="BA524" i="3"/>
  <c r="AZ524" i="3"/>
  <c r="BA522" i="3"/>
  <c r="BA520" i="3"/>
  <c r="BA518" i="3"/>
  <c r="AZ518" i="3"/>
  <c r="BA516" i="3"/>
  <c r="BA514" i="3"/>
  <c r="BA512" i="3"/>
  <c r="AZ512" i="3"/>
  <c r="BA510" i="3"/>
  <c r="AZ510" i="3" s="1"/>
  <c r="BA508" i="3"/>
  <c r="BA506" i="3"/>
  <c r="AZ506" i="3" s="1"/>
  <c r="BA504" i="3"/>
  <c r="AZ504" i="3" s="1"/>
  <c r="BA502" i="3"/>
  <c r="BA500" i="3"/>
  <c r="BA498" i="3"/>
  <c r="BA496" i="3"/>
  <c r="BA494" i="3"/>
  <c r="AZ494" i="3" s="1"/>
  <c r="BA587" i="3"/>
  <c r="AZ587" i="3" s="1"/>
  <c r="BA583" i="3"/>
  <c r="BA581" i="3"/>
  <c r="BA579" i="3"/>
  <c r="BA577" i="3"/>
  <c r="BA575" i="3"/>
  <c r="BA573" i="3"/>
  <c r="BA571" i="3"/>
  <c r="BA569" i="3"/>
  <c r="AZ569" i="3" s="1"/>
  <c r="BA567" i="3"/>
  <c r="AZ567" i="3" s="1"/>
  <c r="BA565" i="3"/>
  <c r="BA563" i="3"/>
  <c r="BA561" i="3"/>
  <c r="BA559" i="3"/>
  <c r="BA555" i="3"/>
  <c r="BA553" i="3"/>
  <c r="BA549" i="3"/>
  <c r="BA547" i="3"/>
  <c r="BA545" i="3"/>
  <c r="BA543" i="3"/>
  <c r="BA541" i="3"/>
  <c r="BA539" i="3"/>
  <c r="AZ539" i="3" s="1"/>
  <c r="BA537" i="3"/>
  <c r="BA535" i="3"/>
  <c r="BA533" i="3"/>
  <c r="BA531" i="3"/>
  <c r="AZ531" i="3" s="1"/>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c r="AZ583" i="3"/>
  <c r="BQ581" i="3"/>
  <c r="BL581" i="3" s="1"/>
  <c r="BQ579" i="3"/>
  <c r="BL579" i="3"/>
  <c r="AZ579" i="3" s="1"/>
  <c r="BQ577" i="3"/>
  <c r="BL577" i="3" s="1"/>
  <c r="AZ577" i="3" s="1"/>
  <c r="BQ575" i="3"/>
  <c r="BL575" i="3" s="1"/>
  <c r="BQ573" i="3"/>
  <c r="BL573" i="3" s="1"/>
  <c r="BQ571" i="3"/>
  <c r="BL571" i="3"/>
  <c r="AZ571" i="3" s="1"/>
  <c r="BQ569" i="3"/>
  <c r="BL569" i="3"/>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s="1"/>
  <c r="BQ549" i="3"/>
  <c r="BQ547" i="3"/>
  <c r="BL547" i="3"/>
  <c r="BQ545" i="3"/>
  <c r="BL545" i="3" s="1"/>
  <c r="BQ543" i="3"/>
  <c r="BL543" i="3" s="1"/>
  <c r="AZ543" i="3" s="1"/>
  <c r="BQ541" i="3"/>
  <c r="BL541" i="3"/>
  <c r="BQ539" i="3"/>
  <c r="BL539" i="3"/>
  <c r="BQ537" i="3"/>
  <c r="BL537" i="3" s="1"/>
  <c r="BQ535" i="3"/>
  <c r="BL535" i="3" s="1"/>
  <c r="AZ535" i="3" s="1"/>
  <c r="BQ533" i="3"/>
  <c r="BL533" i="3"/>
  <c r="BQ531" i="3"/>
  <c r="BL531" i="3"/>
  <c r="BQ529" i="3"/>
  <c r="BL529" i="3" s="1"/>
  <c r="BQ527" i="3"/>
  <c r="BL527" i="3" s="1"/>
  <c r="AZ527" i="3" s="1"/>
  <c r="BQ525" i="3"/>
  <c r="BL525" i="3" s="1"/>
  <c r="BQ523" i="3"/>
  <c r="BL523" i="3"/>
  <c r="BA521" i="3"/>
  <c r="AZ521" i="3" s="1"/>
  <c r="AC521" i="3"/>
  <c r="G521" i="3"/>
  <c r="BQ521" i="3"/>
  <c r="BL521" i="3" s="1"/>
  <c r="BL520" i="3"/>
  <c r="AZ520" i="3" s="1"/>
  <c r="G519" i="3"/>
  <c r="G517" i="3"/>
  <c r="G515" i="3"/>
  <c r="G513" i="3"/>
  <c r="G511" i="3"/>
  <c r="BQ519" i="3"/>
  <c r="BL519" i="3"/>
  <c r="BQ517" i="3"/>
  <c r="BL517" i="3" s="1"/>
  <c r="AZ517" i="3" s="1"/>
  <c r="BQ515" i="3"/>
  <c r="BL515" i="3" s="1"/>
  <c r="BQ513" i="3"/>
  <c r="BL513" i="3"/>
  <c r="BQ511" i="3"/>
  <c r="BL511" i="3"/>
  <c r="BA509" i="3"/>
  <c r="AC509" i="3"/>
  <c r="BQ509" i="3"/>
  <c r="BL509" i="3" s="1"/>
  <c r="BL508" i="3"/>
  <c r="G507" i="3"/>
  <c r="G505" i="3"/>
  <c r="G503" i="3"/>
  <c r="G501" i="3"/>
  <c r="G499" i="3"/>
  <c r="G497" i="3"/>
  <c r="G495" i="3"/>
  <c r="BQ507" i="3"/>
  <c r="BL507" i="3"/>
  <c r="AZ507" i="3"/>
  <c r="BQ505" i="3"/>
  <c r="BL505" i="3" s="1"/>
  <c r="AZ505" i="3"/>
  <c r="BQ503" i="3"/>
  <c r="BL503" i="3" s="1"/>
  <c r="BQ501" i="3"/>
  <c r="BL501" i="3" s="1"/>
  <c r="AZ501" i="3" s="1"/>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c r="J25" i="21"/>
  <c r="AC25" i="21" s="1"/>
  <c r="E125" i="33"/>
  <c r="F125" i="33"/>
  <c r="G125" i="33" s="1"/>
  <c r="H43" i="33"/>
  <c r="AB43" i="33" s="1"/>
  <c r="H17" i="37"/>
  <c r="U17" i="37" s="1"/>
  <c r="AB27" i="37"/>
  <c r="U32" i="33"/>
  <c r="AA36" i="39"/>
  <c r="F39" i="33"/>
  <c r="AA39" i="33" s="1"/>
  <c r="E123" i="33"/>
  <c r="F42" i="33"/>
  <c r="AA42" i="33"/>
  <c r="H28" i="34"/>
  <c r="AB28" i="34" s="1"/>
  <c r="F14" i="36"/>
  <c r="AA14" i="36"/>
  <c r="F22" i="36"/>
  <c r="S22" i="36" s="1"/>
  <c r="F26" i="36"/>
  <c r="S26" i="36" s="1"/>
  <c r="H27" i="34"/>
  <c r="AB27" i="34" s="1"/>
  <c r="H35" i="34"/>
  <c r="U35" i="34"/>
  <c r="F41" i="34"/>
  <c r="H41" i="34"/>
  <c r="U41" i="34"/>
  <c r="J41" i="34"/>
  <c r="AC41" i="34" s="1"/>
  <c r="F10" i="35"/>
  <c r="S10" i="35" s="1"/>
  <c r="F24" i="35"/>
  <c r="AA24" i="35"/>
  <c r="H24" i="35"/>
  <c r="AB24" i="35" s="1"/>
  <c r="H23" i="37"/>
  <c r="AB23" i="37" s="1"/>
  <c r="J32" i="37"/>
  <c r="AC32" i="37" s="1"/>
  <c r="F36" i="37"/>
  <c r="AA36" i="37"/>
  <c r="F37" i="37"/>
  <c r="AA37" i="37" s="1"/>
  <c r="F31" i="40"/>
  <c r="AA31" i="40"/>
  <c r="H31" i="40"/>
  <c r="U31" i="40" s="1"/>
  <c r="F32" i="40"/>
  <c r="S32" i="40"/>
  <c r="H32" i="40"/>
  <c r="AB32" i="40" s="1"/>
  <c r="H19" i="37"/>
  <c r="AB19" i="37" s="1"/>
  <c r="F123" i="33"/>
  <c r="G123" i="33" s="1"/>
  <c r="H123" i="33" s="1"/>
  <c r="I123" i="33" s="1"/>
  <c r="J123" i="33" s="1"/>
  <c r="K123" i="33" s="1"/>
  <c r="L123" i="33" s="1"/>
  <c r="M123" i="33" s="1"/>
  <c r="H42" i="33"/>
  <c r="AB42" i="33" s="1"/>
  <c r="J43" i="33"/>
  <c r="AC43" i="33" s="1"/>
  <c r="U43" i="33"/>
  <c r="S28" i="31"/>
  <c r="S27" i="31"/>
  <c r="S26" i="31"/>
  <c r="W23" i="35"/>
  <c r="U33" i="37"/>
  <c r="U39" i="37"/>
  <c r="U26" i="37"/>
  <c r="W47" i="34"/>
  <c r="AB13" i="34"/>
  <c r="AC36" i="34"/>
  <c r="AC31" i="33"/>
  <c r="AC45" i="33"/>
  <c r="W44" i="33"/>
  <c r="U11" i="33"/>
  <c r="U19" i="21"/>
  <c r="W44" i="21"/>
  <c r="U26" i="21"/>
  <c r="AB38" i="21"/>
  <c r="F43" i="33"/>
  <c r="AA43" i="33" s="1"/>
  <c r="W15" i="34"/>
  <c r="AC15" i="34"/>
  <c r="W16" i="35"/>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AB31" i="37" s="1"/>
  <c r="F71" i="37"/>
  <c r="G71" i="37" s="1"/>
  <c r="J15" i="37"/>
  <c r="W15" i="37" s="1"/>
  <c r="AT6" i="3"/>
  <c r="H5" i="3"/>
  <c r="AA25" i="21"/>
  <c r="H19" i="40"/>
  <c r="U19" i="40" s="1"/>
  <c r="F19" i="40"/>
  <c r="S19" i="40" s="1"/>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A118" i="9"/>
  <c r="A4" i="52"/>
  <c r="B41" i="72" s="1"/>
  <c r="J11" i="39"/>
  <c r="W11" i="39"/>
  <c r="F11" i="39"/>
  <c r="AA11" i="39" s="1"/>
  <c r="G4" i="4"/>
  <c r="I4" i="4"/>
  <c r="A2" i="9"/>
  <c r="F61" i="43"/>
  <c r="H64" i="43" s="1"/>
  <c r="AZ497" i="3"/>
  <c r="BL549" i="3"/>
  <c r="AZ549" i="3" s="1"/>
  <c r="AZ502" i="3"/>
  <c r="AZ514" i="3"/>
  <c r="AZ522" i="3"/>
  <c r="AZ546" i="3"/>
  <c r="G546" i="3"/>
  <c r="G524" i="3"/>
  <c r="G303" i="3"/>
  <c r="BL304" i="3"/>
  <c r="G305" i="3"/>
  <c r="BL306" i="3"/>
  <c r="BA308" i="3"/>
  <c r="AZ308" i="3"/>
  <c r="BA309" i="3"/>
  <c r="BL309" i="3"/>
  <c r="G310" i="3"/>
  <c r="BA311" i="3"/>
  <c r="AZ311" i="3" s="1"/>
  <c r="G319" i="3"/>
  <c r="BL320" i="3"/>
  <c r="AZ320" i="3" s="1"/>
  <c r="G321" i="3"/>
  <c r="BL322" i="3"/>
  <c r="BA324" i="3"/>
  <c r="BA325" i="3"/>
  <c r="BL325" i="3"/>
  <c r="AZ325" i="3" s="1"/>
  <c r="G326" i="3"/>
  <c r="BA327" i="3"/>
  <c r="G335" i="3"/>
  <c r="BL336" i="3"/>
  <c r="G337" i="3"/>
  <c r="BL338" i="3"/>
  <c r="BA340" i="3"/>
  <c r="BA341" i="3"/>
  <c r="BL341" i="3"/>
  <c r="BA343" i="3"/>
  <c r="BA345" i="3"/>
  <c r="BL355" i="3"/>
  <c r="G356" i="3"/>
  <c r="BL357" i="3"/>
  <c r="BA359" i="3"/>
  <c r="AZ359" i="3" s="1"/>
  <c r="BA360" i="3"/>
  <c r="BL360" i="3"/>
  <c r="G361" i="3"/>
  <c r="BA362" i="3"/>
  <c r="AZ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c r="G117" i="3"/>
  <c r="BA119" i="3"/>
  <c r="BL120" i="3"/>
  <c r="AZ120" i="3" s="1"/>
  <c r="G121" i="3"/>
  <c r="BA123" i="3"/>
  <c r="BL124" i="3"/>
  <c r="G125" i="3"/>
  <c r="BA127" i="3"/>
  <c r="BL128" i="3"/>
  <c r="AZ128" i="3" s="1"/>
  <c r="G129" i="3"/>
  <c r="BA131" i="3"/>
  <c r="AZ131" i="3"/>
  <c r="BL132" i="3"/>
  <c r="AZ132" i="3" s="1"/>
  <c r="G133" i="3"/>
  <c r="BA135" i="3"/>
  <c r="BL136" i="3"/>
  <c r="G137" i="3"/>
  <c r="BA139" i="3"/>
  <c r="BL140" i="3"/>
  <c r="AZ140" i="3" s="1"/>
  <c r="G141" i="3"/>
  <c r="BA143" i="3"/>
  <c r="BL144" i="3"/>
  <c r="G145" i="3"/>
  <c r="BA147" i="3"/>
  <c r="BL148" i="3"/>
  <c r="G149" i="3"/>
  <c r="BA151" i="3"/>
  <c r="BL152" i="3"/>
  <c r="G153" i="3"/>
  <c r="BA155" i="3"/>
  <c r="BL156" i="3"/>
  <c r="G157" i="3"/>
  <c r="BA159" i="3"/>
  <c r="AZ159" i="3" s="1"/>
  <c r="BL160" i="3"/>
  <c r="G161" i="3"/>
  <c r="BA163" i="3"/>
  <c r="BL164" i="3"/>
  <c r="AZ164" i="3" s="1"/>
  <c r="G165" i="3"/>
  <c r="BA167" i="3"/>
  <c r="BL168" i="3"/>
  <c r="G169" i="3"/>
  <c r="BA171" i="3"/>
  <c r="AZ171" i="3" s="1"/>
  <c r="BL172" i="3"/>
  <c r="G173" i="3"/>
  <c r="BA175" i="3"/>
  <c r="BL176" i="3"/>
  <c r="AZ176" i="3" s="1"/>
  <c r="G177" i="3"/>
  <c r="BA179" i="3"/>
  <c r="BL180" i="3"/>
  <c r="G181" i="3"/>
  <c r="BA183" i="3"/>
  <c r="AZ183" i="3"/>
  <c r="BL184" i="3"/>
  <c r="AZ184" i="3" s="1"/>
  <c r="G185" i="3"/>
  <c r="BA187" i="3"/>
  <c r="BL188" i="3"/>
  <c r="G189" i="3"/>
  <c r="BA191" i="3"/>
  <c r="BL192" i="3"/>
  <c r="AZ192" i="3" s="1"/>
  <c r="G193" i="3"/>
  <c r="BA195" i="3"/>
  <c r="BL196" i="3"/>
  <c r="AZ196" i="3" s="1"/>
  <c r="G197" i="3"/>
  <c r="BA199" i="3"/>
  <c r="BL200" i="3"/>
  <c r="G201" i="3"/>
  <c r="BA203" i="3"/>
  <c r="AZ203" i="3"/>
  <c r="BL204" i="3"/>
  <c r="G534" i="3"/>
  <c r="G530" i="3"/>
  <c r="G522" i="3"/>
  <c r="G516" i="3"/>
  <c r="G512" i="3"/>
  <c r="G506" i="3"/>
  <c r="G498" i="3"/>
  <c r="G494" i="3"/>
  <c r="G16" i="3"/>
  <c r="G15" i="3"/>
  <c r="BA304" i="3"/>
  <c r="AZ304" i="3"/>
  <c r="BA305" i="3"/>
  <c r="AZ305" i="3" s="1"/>
  <c r="BL305" i="3"/>
  <c r="G306" i="3"/>
  <c r="G309" i="3"/>
  <c r="BL310" i="3"/>
  <c r="BA312" i="3"/>
  <c r="BA313" i="3"/>
  <c r="BL313" i="3"/>
  <c r="G314" i="3"/>
  <c r="G317" i="3"/>
  <c r="BL318" i="3"/>
  <c r="AZ318" i="3" s="1"/>
  <c r="BA320" i="3"/>
  <c r="BA321" i="3"/>
  <c r="BL321" i="3"/>
  <c r="AZ321" i="3" s="1"/>
  <c r="G322" i="3"/>
  <c r="G325" i="3"/>
  <c r="BL326" i="3"/>
  <c r="BA328" i="3"/>
  <c r="AZ328" i="3" s="1"/>
  <c r="BA329" i="3"/>
  <c r="BL329" i="3"/>
  <c r="AZ329" i="3" s="1"/>
  <c r="G330" i="3"/>
  <c r="G333" i="3"/>
  <c r="BL334" i="3"/>
  <c r="BA336" i="3"/>
  <c r="AZ336" i="3"/>
  <c r="BA337" i="3"/>
  <c r="BL337" i="3"/>
  <c r="AZ337" i="3" s="1"/>
  <c r="G338" i="3"/>
  <c r="G341" i="3"/>
  <c r="BA342" i="3"/>
  <c r="BL342" i="3"/>
  <c r="BA344" i="3"/>
  <c r="BL344" i="3"/>
  <c r="BA346" i="3"/>
  <c r="AZ346" i="3" s="1"/>
  <c r="BA347" i="3"/>
  <c r="AZ347" i="3"/>
  <c r="BL347" i="3"/>
  <c r="G350" i="3"/>
  <c r="BA351" i="3"/>
  <c r="AZ351" i="3"/>
  <c r="BL351" i="3"/>
  <c r="G352" i="3"/>
  <c r="G354" i="3"/>
  <c r="BA355" i="3"/>
  <c r="AZ355" i="3" s="1"/>
  <c r="BA356" i="3"/>
  <c r="BL356" i="3"/>
  <c r="AZ356" i="3" s="1"/>
  <c r="G357" i="3"/>
  <c r="G360" i="3"/>
  <c r="BL361" i="3"/>
  <c r="BA363" i="3"/>
  <c r="AZ363" i="3"/>
  <c r="BA364" i="3"/>
  <c r="AZ364" i="3" s="1"/>
  <c r="BL364" i="3"/>
  <c r="G365" i="3"/>
  <c r="G368" i="3"/>
  <c r="BL369" i="3"/>
  <c r="BA371" i="3"/>
  <c r="BA372" i="3"/>
  <c r="BL372" i="3"/>
  <c r="G373" i="3"/>
  <c r="G376" i="3"/>
  <c r="BL377" i="3"/>
  <c r="BL379" i="3"/>
  <c r="BA381" i="3"/>
  <c r="AZ381" i="3" s="1"/>
  <c r="BA382" i="3"/>
  <c r="AZ382" i="3" s="1"/>
  <c r="BL382" i="3"/>
  <c r="G383" i="3"/>
  <c r="G386" i="3"/>
  <c r="BL387" i="3"/>
  <c r="BA389" i="3"/>
  <c r="BA390" i="3"/>
  <c r="AZ390" i="3" s="1"/>
  <c r="BL390" i="3"/>
  <c r="G391" i="3"/>
  <c r="G394" i="3"/>
  <c r="AZ162" i="3"/>
  <c r="AZ174" i="3"/>
  <c r="AZ206" i="3"/>
  <c r="BA16" i="3"/>
  <c r="BL303" i="3"/>
  <c r="G304" i="3"/>
  <c r="BA306" i="3"/>
  <c r="BL307" i="3"/>
  <c r="G308" i="3"/>
  <c r="BA310" i="3"/>
  <c r="AZ310" i="3" s="1"/>
  <c r="BL311" i="3"/>
  <c r="G312" i="3"/>
  <c r="BA314" i="3"/>
  <c r="BL315" i="3"/>
  <c r="AZ315" i="3" s="1"/>
  <c r="G316" i="3"/>
  <c r="BA318" i="3"/>
  <c r="BL319" i="3"/>
  <c r="G320" i="3"/>
  <c r="BA322" i="3"/>
  <c r="AZ322" i="3"/>
  <c r="BL323" i="3"/>
  <c r="G324" i="3"/>
  <c r="BA326" i="3"/>
  <c r="AZ326" i="3" s="1"/>
  <c r="BL327" i="3"/>
  <c r="G328" i="3"/>
  <c r="BA330" i="3"/>
  <c r="BL331" i="3"/>
  <c r="G332" i="3"/>
  <c r="BA334" i="3"/>
  <c r="BL335" i="3"/>
  <c r="AZ335" i="3" s="1"/>
  <c r="G336" i="3"/>
  <c r="BA338" i="3"/>
  <c r="BL339" i="3"/>
  <c r="G340" i="3"/>
  <c r="BL343" i="3"/>
  <c r="G344" i="3"/>
  <c r="G348" i="3"/>
  <c r="G355" i="3"/>
  <c r="AZ222" i="3"/>
  <c r="G342" i="3"/>
  <c r="BL345" i="3"/>
  <c r="AZ345" i="3"/>
  <c r="G346" i="3"/>
  <c r="BL349" i="3"/>
  <c r="AZ349" i="3"/>
  <c r="BL352" i="3"/>
  <c r="G353" i="3"/>
  <c r="BA357" i="3"/>
  <c r="AZ357" i="3"/>
  <c r="BL358" i="3"/>
  <c r="G359" i="3"/>
  <c r="BA361" i="3"/>
  <c r="AZ361" i="3" s="1"/>
  <c r="BL362" i="3"/>
  <c r="G363" i="3"/>
  <c r="BA365" i="3"/>
  <c r="BL366" i="3"/>
  <c r="G367" i="3"/>
  <c r="BA369" i="3"/>
  <c r="BL370" i="3"/>
  <c r="AZ370" i="3" s="1"/>
  <c r="G371" i="3"/>
  <c r="BA373" i="3"/>
  <c r="BL374" i="3"/>
  <c r="G375" i="3"/>
  <c r="BA377" i="3"/>
  <c r="AZ237" i="3"/>
  <c r="BA379" i="3"/>
  <c r="BL380" i="3"/>
  <c r="G381" i="3"/>
  <c r="BA383" i="3"/>
  <c r="AZ383" i="3" s="1"/>
  <c r="BL384" i="3"/>
  <c r="G385" i="3"/>
  <c r="BA387" i="3"/>
  <c r="AZ387" i="3" s="1"/>
  <c r="BL388" i="3"/>
  <c r="G389" i="3"/>
  <c r="BA391" i="3"/>
  <c r="BL392" i="3"/>
  <c r="AZ392" i="3" s="1"/>
  <c r="G393" i="3"/>
  <c r="BO5" i="3"/>
  <c r="BM5" i="3"/>
  <c r="BJ5" i="3"/>
  <c r="BH5" i="3"/>
  <c r="BF5" i="3"/>
  <c r="BD5" i="3"/>
  <c r="BQ5" i="3"/>
  <c r="AC5" i="3"/>
  <c r="AZ496" i="3"/>
  <c r="G548" i="3"/>
  <c r="G538" i="3"/>
  <c r="G520" i="3"/>
  <c r="G502" i="3"/>
  <c r="BS5" i="3"/>
  <c r="BP5" i="3"/>
  <c r="BN5" i="3"/>
  <c r="AZ343" i="3"/>
  <c r="BK5" i="3"/>
  <c r="BI5" i="3"/>
  <c r="BG5" i="3"/>
  <c r="BE5" i="3"/>
  <c r="BC5" i="3"/>
  <c r="G17" i="3"/>
  <c r="BA17" i="3"/>
  <c r="BT5" i="3"/>
  <c r="AZ352" i="3"/>
  <c r="BA15" i="3"/>
  <c r="BR5" i="3"/>
  <c r="AZ394" i="3"/>
  <c r="G509" i="3"/>
  <c r="BL493" i="3"/>
  <c r="AZ493" i="3" s="1"/>
  <c r="AZ376" i="3"/>
  <c r="F83" i="43"/>
  <c r="H85" i="43" s="1"/>
  <c r="G85" i="43" s="1"/>
  <c r="F50" i="43"/>
  <c r="H54" i="43" s="1"/>
  <c r="F72" i="43"/>
  <c r="H75" i="43" s="1"/>
  <c r="U17" i="39"/>
  <c r="S14" i="35"/>
  <c r="U43" i="21"/>
  <c r="U35" i="21"/>
  <c r="AC35" i="21"/>
  <c r="G10" i="1"/>
  <c r="AC11" i="39"/>
  <c r="W37" i="37"/>
  <c r="W44" i="34"/>
  <c r="AC44" i="34"/>
  <c r="U13" i="37"/>
  <c r="U12" i="40"/>
  <c r="AA12" i="40"/>
  <c r="J37" i="33"/>
  <c r="W37" i="33" s="1"/>
  <c r="AC17" i="34"/>
  <c r="F106" i="33"/>
  <c r="G106" i="33"/>
  <c r="H106" i="33" s="1"/>
  <c r="I106" i="33"/>
  <c r="J106" i="33" s="1"/>
  <c r="K106" i="33" s="1"/>
  <c r="L106" i="33" s="1"/>
  <c r="M106" i="33" s="1"/>
  <c r="J34" i="33"/>
  <c r="W34" i="33" s="1"/>
  <c r="F33" i="34"/>
  <c r="S33" i="34"/>
  <c r="H20" i="36"/>
  <c r="U20" i="36"/>
  <c r="J20" i="36"/>
  <c r="W20" i="36" s="1"/>
  <c r="J27" i="36"/>
  <c r="W27" i="36" s="1"/>
  <c r="AC33" i="40"/>
  <c r="H35" i="40"/>
  <c r="U35" i="40" s="1"/>
  <c r="AC29" i="35"/>
  <c r="W29" i="35"/>
  <c r="H35" i="37"/>
  <c r="U35" i="37" s="1"/>
  <c r="AC14" i="35"/>
  <c r="H20" i="35"/>
  <c r="AB20" i="35" s="1"/>
  <c r="F20" i="35"/>
  <c r="AA20" i="35"/>
  <c r="AB23" i="35"/>
  <c r="AB29" i="36"/>
  <c r="U29" i="36"/>
  <c r="H32" i="37"/>
  <c r="U32" i="37" s="1"/>
  <c r="AB32" i="37"/>
  <c r="F96" i="37"/>
  <c r="H27" i="40"/>
  <c r="U27" i="40"/>
  <c r="J27" i="40"/>
  <c r="AC27" i="40" s="1"/>
  <c r="F27" i="40"/>
  <c r="S27" i="40"/>
  <c r="J30" i="40"/>
  <c r="AC30" i="40" s="1"/>
  <c r="F30" i="40"/>
  <c r="AA30" i="40" s="1"/>
  <c r="AC21" i="40"/>
  <c r="S31" i="39"/>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96" i="3"/>
  <c r="AZ114" i="3"/>
  <c r="AZ133" i="3"/>
  <c r="AZ50" i="3"/>
  <c r="F23" i="39"/>
  <c r="AA23" i="39" s="1"/>
  <c r="H27" i="36"/>
  <c r="U27" i="36" s="1"/>
  <c r="F27" i="36"/>
  <c r="AA27" i="36" s="1"/>
  <c r="H33" i="34"/>
  <c r="U33" i="34" s="1"/>
  <c r="F32" i="37"/>
  <c r="S32" i="37" s="1"/>
  <c r="AA32" i="37"/>
  <c r="G96" i="37"/>
  <c r="H96" i="37" s="1"/>
  <c r="I96" i="37" s="1"/>
  <c r="J96" i="37" s="1"/>
  <c r="K96" i="37" s="1"/>
  <c r="L96" i="37" s="1"/>
  <c r="M96" i="37" s="1"/>
  <c r="F20" i="36"/>
  <c r="S20" i="36" s="1"/>
  <c r="J33" i="34"/>
  <c r="AC33" i="34" s="1"/>
  <c r="H23" i="39"/>
  <c r="U23" i="39" s="1"/>
  <c r="D48" i="9"/>
  <c r="M52" i="9" s="1"/>
  <c r="K9" i="1"/>
  <c r="M9" i="1" s="1"/>
  <c r="K6" i="1"/>
  <c r="AP6" i="1" s="1"/>
  <c r="G29" i="6"/>
  <c r="W27" i="34"/>
  <c r="AC27" i="34"/>
  <c r="AB34" i="36"/>
  <c r="U34" i="36"/>
  <c r="AB33" i="36"/>
  <c r="U33" i="36"/>
  <c r="AC12" i="39"/>
  <c r="W12" i="39"/>
  <c r="AZ433" i="3"/>
  <c r="W12" i="33"/>
  <c r="AC12" i="33"/>
  <c r="AA32" i="36"/>
  <c r="S32" i="36"/>
  <c r="AZ457" i="3"/>
  <c r="AA39" i="34"/>
  <c r="F28" i="6"/>
  <c r="BL14" i="3"/>
  <c r="U30" i="33"/>
  <c r="AC13" i="34"/>
  <c r="AA47" i="34"/>
  <c r="W28" i="37"/>
  <c r="S19" i="39"/>
  <c r="F12" i="33"/>
  <c r="H12" i="39"/>
  <c r="AB12" i="39" s="1"/>
  <c r="F39" i="40"/>
  <c r="AA39" i="40" s="1"/>
  <c r="AZ367" i="3"/>
  <c r="AZ213" i="3"/>
  <c r="AZ224" i="3"/>
  <c r="AZ234" i="3"/>
  <c r="AZ197" i="3"/>
  <c r="B12" i="1"/>
  <c r="E12" i="1" s="1"/>
  <c r="B10" i="1"/>
  <c r="E10" i="1" s="1"/>
  <c r="K12" i="1"/>
  <c r="M12" i="1" s="1"/>
  <c r="S13" i="1"/>
  <c r="AR13" i="1" s="1"/>
  <c r="R13" i="1"/>
  <c r="J51" i="67"/>
  <c r="B41" i="1"/>
  <c r="AA32" i="40"/>
  <c r="AB27" i="40"/>
  <c r="S28" i="40"/>
  <c r="AA27"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U29" i="37"/>
  <c r="W30" i="37"/>
  <c r="S36" i="37"/>
  <c r="AA38" i="37"/>
  <c r="W38" i="37"/>
  <c r="AC35" i="37"/>
  <c r="W39" i="37"/>
  <c r="S30" i="37"/>
  <c r="S37" i="37"/>
  <c r="J17" i="37"/>
  <c r="W17" i="37" s="1"/>
  <c r="F17" i="37"/>
  <c r="AA17" i="37" s="1"/>
  <c r="F19" i="37"/>
  <c r="S19" i="37" s="1"/>
  <c r="F23" i="37"/>
  <c r="S23" i="37" s="1"/>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S25" i="33" s="1"/>
  <c r="J23" i="33"/>
  <c r="F85" i="33"/>
  <c r="G85" i="33" s="1"/>
  <c r="H23" i="33"/>
  <c r="AB23" i="33" s="1"/>
  <c r="F81" i="33"/>
  <c r="F19" i="33"/>
  <c r="S19" i="33"/>
  <c r="W19" i="33"/>
  <c r="J17" i="33"/>
  <c r="S15" i="33"/>
  <c r="W15"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G1" i="15"/>
  <c r="G1" i="69"/>
  <c r="G1" i="67"/>
  <c r="U32" i="40"/>
  <c r="AB31" i="40"/>
  <c r="AB28" i="40"/>
  <c r="W28" i="40"/>
  <c r="AC14" i="40"/>
  <c r="S13" i="40"/>
  <c r="S33" i="40"/>
  <c r="AA15" i="40"/>
  <c r="S31" i="40"/>
  <c r="AB13"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S29" i="21" s="1"/>
  <c r="F13" i="21"/>
  <c r="S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S39" i="40"/>
  <c r="J32" i="39"/>
  <c r="H32" i="39"/>
  <c r="AB32" i="39" s="1"/>
  <c r="AA32" i="39"/>
  <c r="S32" i="39"/>
  <c r="AB21" i="39"/>
  <c r="U21" i="39"/>
  <c r="J19" i="37"/>
  <c r="W19" i="37" s="1"/>
  <c r="J23" i="37"/>
  <c r="AC23" i="37" s="1"/>
  <c r="J10" i="37"/>
  <c r="W10"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AB25" i="33"/>
  <c r="AA25" i="33"/>
  <c r="J25" i="33"/>
  <c r="W25" i="33" s="1"/>
  <c r="U23" i="33"/>
  <c r="F23" i="33"/>
  <c r="S23" i="33" s="1"/>
  <c r="AC23" i="33"/>
  <c r="W23" i="33"/>
  <c r="AA19" i="33"/>
  <c r="H19" i="33"/>
  <c r="AB19" i="33" s="1"/>
  <c r="G81" i="33"/>
  <c r="G79" i="33"/>
  <c r="H17" i="33"/>
  <c r="U17" i="33" s="1"/>
  <c r="F17" i="33"/>
  <c r="AA17" i="33" s="1"/>
  <c r="W17" i="33"/>
  <c r="AC17" i="33"/>
  <c r="S37" i="21"/>
  <c r="AA23" i="21"/>
  <c r="AB15" i="21"/>
  <c r="J23" i="21"/>
  <c r="F85" i="21"/>
  <c r="G85" i="21" s="1"/>
  <c r="H23" i="21"/>
  <c r="AB23" i="21" s="1"/>
  <c r="AP7" i="1"/>
  <c r="AA32" i="21"/>
  <c r="S32" i="21"/>
  <c r="AB32" i="21"/>
  <c r="U32" i="21"/>
  <c r="J11" i="37"/>
  <c r="AC11" i="37" s="1"/>
  <c r="H70" i="34"/>
  <c r="I70" i="34" s="1"/>
  <c r="J70" i="34" s="1"/>
  <c r="K70" i="34" s="1"/>
  <c r="L70" i="34" s="1"/>
  <c r="M70" i="34" s="1"/>
  <c r="J11" i="34"/>
  <c r="W11" i="34" s="1"/>
  <c r="AB36" i="33"/>
  <c r="W27" i="33"/>
  <c r="AB17" i="33"/>
  <c r="U23" i="21"/>
  <c r="H109" i="9"/>
  <c r="D16" i="53" s="1"/>
  <c r="B34" i="72" s="1"/>
  <c r="H112" i="9"/>
  <c r="H111" i="9"/>
  <c r="D126" i="9" s="1"/>
  <c r="AD3" i="71"/>
  <c r="J1" i="73"/>
  <c r="H69" i="43"/>
  <c r="C22" i="7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C20" i="71"/>
  <c r="AO13" i="1"/>
  <c r="B9" i="76"/>
  <c r="E2" i="68"/>
  <c r="M23" i="67"/>
  <c r="M26" i="67"/>
  <c r="M28" i="67"/>
  <c r="B10" i="76"/>
  <c r="F13" i="15"/>
  <c r="L47" i="67"/>
  <c r="F6" i="73"/>
  <c r="E9" i="76"/>
  <c r="F37" i="67"/>
  <c r="E12" i="76"/>
  <c r="D4" i="73"/>
  <c r="E8" i="76"/>
  <c r="B7" i="76"/>
  <c r="F20" i="31"/>
  <c r="E11" i="76"/>
  <c r="M9" i="67"/>
  <c r="E13" i="76"/>
  <c r="F3" i="73"/>
  <c r="M29" i="67"/>
  <c r="L47" i="15"/>
  <c r="F36" i="67"/>
  <c r="F7" i="73"/>
  <c r="F9" i="67"/>
  <c r="E7" i="76"/>
  <c r="F38" i="67"/>
  <c r="J15" i="67"/>
  <c r="M22" i="67"/>
  <c r="B12" i="76"/>
  <c r="B8" i="76"/>
  <c r="F6" i="67"/>
  <c r="C76" i="67"/>
  <c r="F38" i="15"/>
  <c r="M24" i="15"/>
  <c r="F42" i="67"/>
  <c r="F40" i="67"/>
  <c r="F4" i="73"/>
  <c r="F8" i="67"/>
  <c r="M8" i="67"/>
  <c r="E2" i="69"/>
  <c r="M6" i="67"/>
  <c r="F16" i="67"/>
  <c r="F5" i="73"/>
  <c r="E10" i="76"/>
  <c r="F43" i="67"/>
  <c r="F26" i="67"/>
  <c r="L48" i="15"/>
  <c r="M24" i="67"/>
  <c r="B11" i="76"/>
  <c r="F7" i="67"/>
  <c r="F13" i="67"/>
  <c r="D3" i="73"/>
  <c r="B13" i="76"/>
  <c r="AC32" i="39" l="1"/>
  <c r="W32" i="39"/>
  <c r="W27" i="21"/>
  <c r="AC27" i="21"/>
  <c r="AC26" i="33"/>
  <c r="AC9" i="21"/>
  <c r="W9" i="21"/>
  <c r="C19" i="71"/>
  <c r="T20" i="71"/>
  <c r="AA23" i="33"/>
  <c r="W23" i="21"/>
  <c r="AC23" i="21"/>
  <c r="S12" i="33"/>
  <c r="AA12" i="33"/>
  <c r="S30" i="40"/>
  <c r="AZ391" i="3"/>
  <c r="AZ360" i="3"/>
  <c r="AZ519" i="3"/>
  <c r="AZ537" i="3"/>
  <c r="AZ495" i="3"/>
  <c r="AZ503" i="3"/>
  <c r="AZ513" i="3"/>
  <c r="AZ523" i="3"/>
  <c r="AZ547" i="3"/>
  <c r="AZ498" i="3"/>
  <c r="AZ554" i="3"/>
  <c r="AZ572" i="3"/>
  <c r="U23" i="34"/>
  <c r="S39" i="37"/>
  <c r="AA39" i="37"/>
  <c r="BL586" i="3"/>
  <c r="AZ586" i="3" s="1"/>
  <c r="B101" i="43"/>
  <c r="B79" i="43"/>
  <c r="C25" i="39"/>
  <c r="F26" i="37"/>
  <c r="J26" i="37"/>
  <c r="W31" i="35"/>
  <c r="AC31" i="35"/>
  <c r="W27" i="40"/>
  <c r="AC34" i="33"/>
  <c r="AZ379" i="3"/>
  <c r="AZ369" i="3"/>
  <c r="AZ372" i="3"/>
  <c r="AZ342" i="3"/>
  <c r="AZ389" i="3"/>
  <c r="W14" i="37"/>
  <c r="AZ511" i="3"/>
  <c r="AZ529" i="3"/>
  <c r="AZ555" i="3"/>
  <c r="AZ500" i="3"/>
  <c r="AZ508" i="3"/>
  <c r="S15" i="34"/>
  <c r="F9" i="33"/>
  <c r="AA9" i="33" s="1"/>
  <c r="AC30" i="36"/>
  <c r="J24" i="36"/>
  <c r="H24" i="36"/>
  <c r="H25" i="37"/>
  <c r="F25" i="37"/>
  <c r="U8" i="39"/>
  <c r="AB8" i="39"/>
  <c r="J39" i="40"/>
  <c r="H39" i="40"/>
  <c r="AA29" i="21"/>
  <c r="AC37" i="33"/>
  <c r="AC20" i="36"/>
  <c r="AA35" i="33"/>
  <c r="AZ377" i="3"/>
  <c r="AZ373" i="3"/>
  <c r="AZ338" i="3"/>
  <c r="AZ306" i="3"/>
  <c r="AZ344" i="3"/>
  <c r="AZ313" i="3"/>
  <c r="AZ378" i="3"/>
  <c r="AZ371" i="3"/>
  <c r="S11" i="39"/>
  <c r="AZ509" i="3"/>
  <c r="AZ545" i="3"/>
  <c r="AZ516" i="3"/>
  <c r="AZ538" i="3"/>
  <c r="AZ580" i="3"/>
  <c r="AZ570" i="3"/>
  <c r="AZ584" i="3"/>
  <c r="AB30" i="21"/>
  <c r="W46" i="21"/>
  <c r="W28" i="21"/>
  <c r="G587" i="3"/>
  <c r="H9" i="33"/>
  <c r="J9" i="34"/>
  <c r="AC9" i="34" s="1"/>
  <c r="AC28" i="36"/>
  <c r="W28" i="36"/>
  <c r="AZ366" i="3"/>
  <c r="AZ327" i="3"/>
  <c r="AA26" i="33"/>
  <c r="S26" i="33"/>
  <c r="J12" i="36"/>
  <c r="F12" i="36"/>
  <c r="H12" i="36"/>
  <c r="J38" i="40"/>
  <c r="G556" i="3"/>
  <c r="BL548" i="3"/>
  <c r="G14" i="3"/>
  <c r="BL16" i="3"/>
  <c r="AZ16" i="3" s="1"/>
  <c r="BL398" i="3"/>
  <c r="BL402" i="3"/>
  <c r="BL403" i="3"/>
  <c r="BL405" i="3"/>
  <c r="BA406" i="3"/>
  <c r="G409" i="3"/>
  <c r="BL409" i="3"/>
  <c r="G411" i="3"/>
  <c r="G421" i="3"/>
  <c r="BL424" i="3"/>
  <c r="BL425" i="3"/>
  <c r="G426" i="3"/>
  <c r="BL427" i="3"/>
  <c r="AZ427" i="3" s="1"/>
  <c r="BL446" i="3"/>
  <c r="BL447" i="3"/>
  <c r="BL448" i="3"/>
  <c r="G449" i="3"/>
  <c r="BL449" i="3"/>
  <c r="G466" i="3"/>
  <c r="BA467" i="3"/>
  <c r="BL471" i="3"/>
  <c r="G472" i="3"/>
  <c r="BA473" i="3"/>
  <c r="BA480" i="3"/>
  <c r="AZ480" i="3" s="1"/>
  <c r="G483" i="3"/>
  <c r="G484" i="3"/>
  <c r="BA486" i="3"/>
  <c r="BL333" i="3"/>
  <c r="F7" i="1"/>
  <c r="BL428" i="3"/>
  <c r="BL429" i="3"/>
  <c r="AZ429" i="3" s="1"/>
  <c r="BA431" i="3"/>
  <c r="AZ446" i="3"/>
  <c r="AZ449" i="3"/>
  <c r="AZ454" i="3"/>
  <c r="BA477" i="3"/>
  <c r="BL490" i="3"/>
  <c r="BA492" i="3"/>
  <c r="BA307" i="3"/>
  <c r="AZ307" i="3" s="1"/>
  <c r="BL314" i="3"/>
  <c r="AZ314" i="3" s="1"/>
  <c r="U34" i="40"/>
  <c r="W22" i="35"/>
  <c r="U30" i="37"/>
  <c r="BL585" i="3"/>
  <c r="AZ585" i="3" s="1"/>
  <c r="F12" i="35"/>
  <c r="BL399" i="3"/>
  <c r="G401" i="3"/>
  <c r="BL401" i="3"/>
  <c r="BA402" i="3"/>
  <c r="BA403" i="3"/>
  <c r="BL406" i="3"/>
  <c r="BL407" i="3"/>
  <c r="BA408" i="3"/>
  <c r="AZ408" i="3" s="1"/>
  <c r="BA410" i="3"/>
  <c r="BA412" i="3"/>
  <c r="AZ412" i="3" s="1"/>
  <c r="BA424" i="3"/>
  <c r="AZ424" i="3" s="1"/>
  <c r="BA425" i="3"/>
  <c r="BL441" i="3"/>
  <c r="BA445" i="3"/>
  <c r="AZ445" i="3" s="1"/>
  <c r="BA464" i="3"/>
  <c r="AZ464" i="3" s="1"/>
  <c r="AZ316" i="3"/>
  <c r="BA331" i="3"/>
  <c r="AZ331" i="3" s="1"/>
  <c r="BL550" i="3"/>
  <c r="BA550" i="3"/>
  <c r="AZ550" i="3" s="1"/>
  <c r="G399" i="3"/>
  <c r="BA400" i="3"/>
  <c r="AZ400" i="3" s="1"/>
  <c r="BA401" i="3"/>
  <c r="AZ401" i="3" s="1"/>
  <c r="G404" i="3"/>
  <c r="BL404" i="3"/>
  <c r="G406" i="3"/>
  <c r="BA407" i="3"/>
  <c r="AZ407" i="3" s="1"/>
  <c r="G412" i="3"/>
  <c r="BL413" i="3"/>
  <c r="AZ413" i="3" s="1"/>
  <c r="BL414" i="3"/>
  <c r="BL416" i="3"/>
  <c r="BL419" i="3"/>
  <c r="BA423" i="3"/>
  <c r="AZ423" i="3" s="1"/>
  <c r="BL430" i="3"/>
  <c r="BL431" i="3"/>
  <c r="G432" i="3"/>
  <c r="BA434" i="3"/>
  <c r="BL437" i="3"/>
  <c r="BA439" i="3"/>
  <c r="AZ439" i="3" s="1"/>
  <c r="BL450" i="3"/>
  <c r="AZ450" i="3" s="1"/>
  <c r="BA452" i="3"/>
  <c r="BL454" i="3"/>
  <c r="G456" i="3"/>
  <c r="AZ487" i="3"/>
  <c r="G488" i="3"/>
  <c r="BL316" i="3"/>
  <c r="AZ397" i="3"/>
  <c r="AZ210" i="3"/>
  <c r="BA339" i="3"/>
  <c r="AZ339" i="3" s="1"/>
  <c r="BL340" i="3"/>
  <c r="AZ340" i="3" s="1"/>
  <c r="G347" i="3"/>
  <c r="BL354" i="3"/>
  <c r="BA366" i="3"/>
  <c r="BL375" i="3"/>
  <c r="AZ375" i="3" s="1"/>
  <c r="BA388" i="3"/>
  <c r="AZ388" i="3" s="1"/>
  <c r="BL214" i="3"/>
  <c r="BL216" i="3"/>
  <c r="BL217" i="3"/>
  <c r="BL219" i="3"/>
  <c r="BL220" i="3"/>
  <c r="BL221" i="3"/>
  <c r="BL223" i="3"/>
  <c r="BA226" i="3"/>
  <c r="AZ226" i="3" s="1"/>
  <c r="BA228" i="3"/>
  <c r="BA229" i="3"/>
  <c r="AZ229" i="3" s="1"/>
  <c r="BA231" i="3"/>
  <c r="BA232" i="3"/>
  <c r="AZ232" i="3" s="1"/>
  <c r="BL235" i="3"/>
  <c r="BL236" i="3"/>
  <c r="BL238" i="3"/>
  <c r="G240" i="3"/>
  <c r="BA240" i="3"/>
  <c r="BA241" i="3"/>
  <c r="AZ241" i="3" s="1"/>
  <c r="BA243" i="3"/>
  <c r="AZ243" i="3" s="1"/>
  <c r="BA244" i="3"/>
  <c r="AZ244" i="3" s="1"/>
  <c r="G250" i="3"/>
  <c r="BA250" i="3"/>
  <c r="BA251" i="3"/>
  <c r="AZ251" i="3" s="1"/>
  <c r="BA253" i="3"/>
  <c r="AZ253" i="3" s="1"/>
  <c r="BA255" i="3"/>
  <c r="BA256" i="3"/>
  <c r="AZ256" i="3" s="1"/>
  <c r="BL259" i="3"/>
  <c r="AZ259" i="3" s="1"/>
  <c r="BL260" i="3"/>
  <c r="BL261" i="3"/>
  <c r="AZ261" i="3" s="1"/>
  <c r="BL265" i="3"/>
  <c r="BA276" i="3"/>
  <c r="BA277" i="3"/>
  <c r="BL281" i="3"/>
  <c r="BA284" i="3"/>
  <c r="AZ284" i="3" s="1"/>
  <c r="BA285" i="3"/>
  <c r="BA287" i="3"/>
  <c r="BL291" i="3"/>
  <c r="AZ291" i="3" s="1"/>
  <c r="G294" i="3"/>
  <c r="BA294" i="3"/>
  <c r="AZ294" i="3" s="1"/>
  <c r="BA295" i="3"/>
  <c r="AZ295" i="3" s="1"/>
  <c r="BL298" i="3"/>
  <c r="BL299" i="3"/>
  <c r="AZ299" i="3" s="1"/>
  <c r="G302" i="3"/>
  <c r="BA302" i="3"/>
  <c r="AZ302" i="3" s="1"/>
  <c r="BA113" i="3"/>
  <c r="BL119" i="3"/>
  <c r="AZ119" i="3" s="1"/>
  <c r="BL121" i="3"/>
  <c r="G126" i="3"/>
  <c r="BA126" i="3"/>
  <c r="AZ126" i="3" s="1"/>
  <c r="G132" i="3"/>
  <c r="BL134" i="3"/>
  <c r="BL139" i="3"/>
  <c r="AZ139" i="3" s="1"/>
  <c r="BL142" i="3"/>
  <c r="BL147" i="3"/>
  <c r="AZ147" i="3" s="1"/>
  <c r="BA149" i="3"/>
  <c r="AZ149" i="3" s="1"/>
  <c r="BL153" i="3"/>
  <c r="BL154" i="3"/>
  <c r="BL155" i="3"/>
  <c r="AZ155" i="3" s="1"/>
  <c r="BA156" i="3"/>
  <c r="AZ156" i="3" s="1"/>
  <c r="BL435" i="3"/>
  <c r="BA438" i="3"/>
  <c r="AZ438" i="3" s="1"/>
  <c r="BA441" i="3"/>
  <c r="AZ441" i="3" s="1"/>
  <c r="G443" i="3"/>
  <c r="BA443" i="3"/>
  <c r="AZ443" i="3" s="1"/>
  <c r="BA444" i="3"/>
  <c r="AZ444" i="3" s="1"/>
  <c r="BA448" i="3"/>
  <c r="AZ448" i="3" s="1"/>
  <c r="G454" i="3"/>
  <c r="BL458" i="3"/>
  <c r="BL459" i="3"/>
  <c r="BL460" i="3"/>
  <c r="G462" i="3"/>
  <c r="BA462" i="3"/>
  <c r="AZ462" i="3" s="1"/>
  <c r="BA463" i="3"/>
  <c r="AZ463" i="3" s="1"/>
  <c r="BL467" i="3"/>
  <c r="BA471" i="3"/>
  <c r="AZ471" i="3" s="1"/>
  <c r="BL474" i="3"/>
  <c r="BL476" i="3"/>
  <c r="AZ476" i="3" s="1"/>
  <c r="BL477" i="3"/>
  <c r="BL478" i="3"/>
  <c r="G480" i="3"/>
  <c r="BA482" i="3"/>
  <c r="AZ482" i="3" s="1"/>
  <c r="BA483" i="3"/>
  <c r="AZ483" i="3" s="1"/>
  <c r="BA485" i="3"/>
  <c r="AZ485" i="3" s="1"/>
  <c r="BA489" i="3"/>
  <c r="AZ489" i="3" s="1"/>
  <c r="BA490" i="3"/>
  <c r="AZ490" i="3" s="1"/>
  <c r="G307" i="3"/>
  <c r="BL312" i="3"/>
  <c r="AZ312" i="3" s="1"/>
  <c r="BA319" i="3"/>
  <c r="AZ319" i="3" s="1"/>
  <c r="BL330" i="3"/>
  <c r="AZ330" i="3" s="1"/>
  <c r="BA333" i="3"/>
  <c r="AZ333" i="3" s="1"/>
  <c r="G345" i="3"/>
  <c r="G349" i="3"/>
  <c r="BL350" i="3"/>
  <c r="AZ350" i="3" s="1"/>
  <c r="BA354" i="3"/>
  <c r="AZ354" i="3" s="1"/>
  <c r="G362" i="3"/>
  <c r="G366" i="3"/>
  <c r="BA368" i="3"/>
  <c r="BL368" i="3"/>
  <c r="BA374" i="3"/>
  <c r="AZ374" i="3" s="1"/>
  <c r="BA384" i="3"/>
  <c r="AZ384" i="3" s="1"/>
  <c r="BL395" i="3"/>
  <c r="AZ395" i="3" s="1"/>
  <c r="G397" i="3"/>
  <c r="BL208" i="3"/>
  <c r="AZ208" i="3" s="1"/>
  <c r="G210" i="3"/>
  <c r="BL211" i="3"/>
  <c r="AZ211" i="3" s="1"/>
  <c r="BL212" i="3"/>
  <c r="AZ212" i="3" s="1"/>
  <c r="G213" i="3"/>
  <c r="G216" i="3"/>
  <c r="G219" i="3"/>
  <c r="BA221" i="3"/>
  <c r="BA223" i="3"/>
  <c r="AZ223" i="3" s="1"/>
  <c r="BA225" i="3"/>
  <c r="BL233" i="3"/>
  <c r="AZ233" i="3" s="1"/>
  <c r="G234" i="3"/>
  <c r="BA236" i="3"/>
  <c r="BA238" i="3"/>
  <c r="BA239" i="3"/>
  <c r="AZ239" i="3" s="1"/>
  <c r="BL245" i="3"/>
  <c r="AZ245" i="3" s="1"/>
  <c r="G246" i="3"/>
  <c r="BL246" i="3"/>
  <c r="G248" i="3"/>
  <c r="BA248" i="3"/>
  <c r="AZ248" i="3" s="1"/>
  <c r="BA249" i="3"/>
  <c r="AZ249" i="3" s="1"/>
  <c r="BL257" i="3"/>
  <c r="AZ257" i="3" s="1"/>
  <c r="BL258" i="3"/>
  <c r="BL262" i="3"/>
  <c r="BA263" i="3"/>
  <c r="AZ263" i="3" s="1"/>
  <c r="BA264" i="3"/>
  <c r="BA265" i="3"/>
  <c r="BL269" i="3"/>
  <c r="G271" i="3"/>
  <c r="BA271" i="3"/>
  <c r="BA274" i="3"/>
  <c r="BL279" i="3"/>
  <c r="BA281" i="3"/>
  <c r="AZ281" i="3" s="1"/>
  <c r="BA282" i="3"/>
  <c r="BL285" i="3"/>
  <c r="BL286" i="3"/>
  <c r="AZ286" i="3" s="1"/>
  <c r="BL287" i="3"/>
  <c r="BL288" i="3"/>
  <c r="AZ288" i="3" s="1"/>
  <c r="G291" i="3"/>
  <c r="BL292" i="3"/>
  <c r="G299" i="3"/>
  <c r="BL300" i="3"/>
  <c r="BL115" i="3"/>
  <c r="AZ115" i="3" s="1"/>
  <c r="BL117" i="3"/>
  <c r="AZ117" i="3" s="1"/>
  <c r="BA121" i="3"/>
  <c r="AZ121" i="3" s="1"/>
  <c r="BA122" i="3"/>
  <c r="BL130" i="3"/>
  <c r="BA134" i="3"/>
  <c r="BA136" i="3"/>
  <c r="AZ136" i="3" s="1"/>
  <c r="G140" i="3"/>
  <c r="BA141" i="3"/>
  <c r="AZ141" i="3" s="1"/>
  <c r="BA142" i="3"/>
  <c r="AZ142" i="3" s="1"/>
  <c r="BA144" i="3"/>
  <c r="AZ144" i="3" s="1"/>
  <c r="BA148" i="3"/>
  <c r="AZ148" i="3" s="1"/>
  <c r="AZ153" i="3"/>
  <c r="BL434" i="3"/>
  <c r="G435" i="3"/>
  <c r="BA436" i="3"/>
  <c r="AZ436" i="3" s="1"/>
  <c r="BA437" i="3"/>
  <c r="AZ437" i="3" s="1"/>
  <c r="G446" i="3"/>
  <c r="G450" i="3"/>
  <c r="BL451" i="3"/>
  <c r="BL452" i="3"/>
  <c r="G453" i="3"/>
  <c r="BL453" i="3"/>
  <c r="BL455" i="3"/>
  <c r="BL456" i="3"/>
  <c r="G457" i="3"/>
  <c r="BA460" i="3"/>
  <c r="AZ460" i="3" s="1"/>
  <c r="BA461" i="3"/>
  <c r="AZ461" i="3" s="1"/>
  <c r="G465" i="3"/>
  <c r="BL465" i="3"/>
  <c r="AZ465" i="3" s="1"/>
  <c r="BL466" i="3"/>
  <c r="G467" i="3"/>
  <c r="BA468" i="3"/>
  <c r="AZ468" i="3" s="1"/>
  <c r="BA469" i="3"/>
  <c r="AZ469" i="3" s="1"/>
  <c r="BA470" i="3"/>
  <c r="AZ470" i="3" s="1"/>
  <c r="BL473" i="3"/>
  <c r="G474" i="3"/>
  <c r="BA475" i="3"/>
  <c r="AZ475" i="3" s="1"/>
  <c r="BA478" i="3"/>
  <c r="AZ478" i="3" s="1"/>
  <c r="BA479" i="3"/>
  <c r="AZ479" i="3" s="1"/>
  <c r="BA481" i="3"/>
  <c r="AZ481" i="3" s="1"/>
  <c r="G487" i="3"/>
  <c r="BL491" i="3"/>
  <c r="AZ491" i="3" s="1"/>
  <c r="G492" i="3"/>
  <c r="BL492" i="3"/>
  <c r="BA303" i="3"/>
  <c r="AZ303" i="3" s="1"/>
  <c r="G311" i="3"/>
  <c r="G315" i="3"/>
  <c r="BL317" i="3"/>
  <c r="AZ317" i="3" s="1"/>
  <c r="BA323" i="3"/>
  <c r="AZ323" i="3" s="1"/>
  <c r="BL324" i="3"/>
  <c r="AZ324" i="3" s="1"/>
  <c r="G329" i="3"/>
  <c r="BA332" i="3"/>
  <c r="AZ332" i="3" s="1"/>
  <c r="G339" i="3"/>
  <c r="G343" i="3"/>
  <c r="BL348" i="3"/>
  <c r="AZ348" i="3" s="1"/>
  <c r="BA353" i="3"/>
  <c r="AZ353" i="3" s="1"/>
  <c r="BA358" i="3"/>
  <c r="AZ358" i="3" s="1"/>
  <c r="BL365" i="3"/>
  <c r="AZ365" i="3" s="1"/>
  <c r="G374" i="3"/>
  <c r="G378" i="3"/>
  <c r="BA386" i="3"/>
  <c r="AZ386" i="3" s="1"/>
  <c r="BL393" i="3"/>
  <c r="AZ393" i="3" s="1"/>
  <c r="BL396" i="3"/>
  <c r="AZ396" i="3" s="1"/>
  <c r="BL209" i="3"/>
  <c r="AZ209" i="3" s="1"/>
  <c r="BA214" i="3"/>
  <c r="AZ214" i="3" s="1"/>
  <c r="BA215" i="3"/>
  <c r="AZ215" i="3" s="1"/>
  <c r="BA217" i="3"/>
  <c r="BA218" i="3"/>
  <c r="AZ218" i="3" s="1"/>
  <c r="BA220" i="3"/>
  <c r="AZ220" i="3" s="1"/>
  <c r="G227" i="3"/>
  <c r="BL227" i="3"/>
  <c r="AZ227" i="3" s="1"/>
  <c r="BL228" i="3"/>
  <c r="G229" i="3"/>
  <c r="BL230" i="3"/>
  <c r="BL231" i="3"/>
  <c r="G232" i="3"/>
  <c r="BA235" i="3"/>
  <c r="AZ235" i="3" s="1"/>
  <c r="BL240" i="3"/>
  <c r="G241" i="3"/>
  <c r="BL242" i="3"/>
  <c r="G244" i="3"/>
  <c r="BA246" i="3"/>
  <c r="AZ246" i="3" s="1"/>
  <c r="BA247" i="3"/>
  <c r="AZ247" i="3" s="1"/>
  <c r="BL250" i="3"/>
  <c r="G251" i="3"/>
  <c r="BL252" i="3"/>
  <c r="AZ252" i="3" s="1"/>
  <c r="G254" i="3"/>
  <c r="BL254" i="3"/>
  <c r="AZ254" i="3" s="1"/>
  <c r="BL255" i="3"/>
  <c r="G256" i="3"/>
  <c r="BA258" i="3"/>
  <c r="BA260" i="3"/>
  <c r="BL264" i="3"/>
  <c r="G267" i="3"/>
  <c r="G268" i="3"/>
  <c r="BL268" i="3"/>
  <c r="AZ268" i="3" s="1"/>
  <c r="BA269" i="3"/>
  <c r="AZ269" i="3" s="1"/>
  <c r="BA270" i="3"/>
  <c r="AZ270" i="3" s="1"/>
  <c r="BL274" i="3"/>
  <c r="BL275" i="3"/>
  <c r="AZ275" i="3" s="1"/>
  <c r="G277" i="3"/>
  <c r="G278" i="3"/>
  <c r="BA278" i="3"/>
  <c r="AZ278" i="3" s="1"/>
  <c r="BA279" i="3"/>
  <c r="BL282" i="3"/>
  <c r="BL283" i="3"/>
  <c r="AZ283" i="3" s="1"/>
  <c r="G285" i="3"/>
  <c r="G286" i="3"/>
  <c r="G288" i="3"/>
  <c r="BL289" i="3"/>
  <c r="BA292" i="3"/>
  <c r="BA293" i="3"/>
  <c r="AZ293" i="3" s="1"/>
  <c r="G296" i="3"/>
  <c r="G297" i="3"/>
  <c r="BL297" i="3"/>
  <c r="AZ297" i="3" s="1"/>
  <c r="BA300" i="3"/>
  <c r="BA301" i="3"/>
  <c r="AZ301" i="3" s="1"/>
  <c r="G114" i="3"/>
  <c r="G115" i="3"/>
  <c r="G116" i="3"/>
  <c r="BL118" i="3"/>
  <c r="BL122" i="3"/>
  <c r="BL123" i="3"/>
  <c r="AZ123" i="3" s="1"/>
  <c r="BA124" i="3"/>
  <c r="AZ124" i="3" s="1"/>
  <c r="BA125" i="3"/>
  <c r="AZ125" i="3" s="1"/>
  <c r="BL127" i="3"/>
  <c r="AZ127" i="3" s="1"/>
  <c r="BL129" i="3"/>
  <c r="AZ129" i="3" s="1"/>
  <c r="BA130" i="3"/>
  <c r="AZ130" i="3" s="1"/>
  <c r="BL135" i="3"/>
  <c r="AZ135" i="3" s="1"/>
  <c r="BL137" i="3"/>
  <c r="AZ137" i="3" s="1"/>
  <c r="BA138" i="3"/>
  <c r="AZ138" i="3" s="1"/>
  <c r="BL143" i="3"/>
  <c r="AZ143" i="3" s="1"/>
  <c r="BL145" i="3"/>
  <c r="AZ145" i="3" s="1"/>
  <c r="BA146" i="3"/>
  <c r="AZ146" i="3" s="1"/>
  <c r="BL149" i="3"/>
  <c r="BL150" i="3"/>
  <c r="AZ150" i="3" s="1"/>
  <c r="BL151" i="3"/>
  <c r="AZ151" i="3" s="1"/>
  <c r="BA152" i="3"/>
  <c r="AZ152" i="3" s="1"/>
  <c r="AZ40" i="3"/>
  <c r="AZ44" i="3"/>
  <c r="AZ60" i="3"/>
  <c r="BA61" i="3"/>
  <c r="AZ61" i="3" s="1"/>
  <c r="BA62" i="3"/>
  <c r="BA66" i="3"/>
  <c r="BL70" i="3"/>
  <c r="BL71" i="3"/>
  <c r="AZ71" i="3" s="1"/>
  <c r="O67" i="71"/>
  <c r="D67" i="71"/>
  <c r="C66" i="71"/>
  <c r="BA161" i="3"/>
  <c r="AZ161" i="3" s="1"/>
  <c r="BL167" i="3"/>
  <c r="AZ167" i="3" s="1"/>
  <c r="BA169" i="3"/>
  <c r="AZ169" i="3" s="1"/>
  <c r="G172" i="3"/>
  <c r="BA172" i="3"/>
  <c r="AZ172" i="3" s="1"/>
  <c r="BA180" i="3"/>
  <c r="AZ180" i="3" s="1"/>
  <c r="BL187" i="3"/>
  <c r="AZ187" i="3" s="1"/>
  <c r="G190" i="3"/>
  <c r="BA190" i="3"/>
  <c r="BL193" i="3"/>
  <c r="BL195" i="3"/>
  <c r="AZ195" i="3" s="1"/>
  <c r="BL198" i="3"/>
  <c r="BA200" i="3"/>
  <c r="AZ200" i="3" s="1"/>
  <c r="BL201" i="3"/>
  <c r="BL202" i="3"/>
  <c r="AZ202" i="3" s="1"/>
  <c r="G206" i="3"/>
  <c r="BL207" i="3"/>
  <c r="BL18" i="3"/>
  <c r="BL20" i="3"/>
  <c r="BA22" i="3"/>
  <c r="BA23" i="3"/>
  <c r="BA26" i="3"/>
  <c r="AZ26" i="3" s="1"/>
  <c r="BL30" i="3"/>
  <c r="AZ30" i="3" s="1"/>
  <c r="BL31" i="3"/>
  <c r="AZ31" i="3" s="1"/>
  <c r="BL35" i="3"/>
  <c r="BA38" i="3"/>
  <c r="AZ38" i="3" s="1"/>
  <c r="BL46" i="3"/>
  <c r="AZ46" i="3" s="1"/>
  <c r="BL47" i="3"/>
  <c r="AZ47" i="3" s="1"/>
  <c r="G50" i="3"/>
  <c r="G52" i="3"/>
  <c r="BL54" i="3"/>
  <c r="B27" i="71"/>
  <c r="B26" i="71" s="1"/>
  <c r="S28" i="71"/>
  <c r="C32" i="71"/>
  <c r="D31" i="71"/>
  <c r="D55" i="71"/>
  <c r="C56" i="71"/>
  <c r="BL158" i="3"/>
  <c r="BL165" i="3"/>
  <c r="AZ165" i="3" s="1"/>
  <c r="BL173" i="3"/>
  <c r="AZ173" i="3" s="1"/>
  <c r="BL175" i="3"/>
  <c r="AZ175" i="3" s="1"/>
  <c r="G178" i="3"/>
  <c r="BA178" i="3"/>
  <c r="AZ178" i="3" s="1"/>
  <c r="BL182" i="3"/>
  <c r="AZ182" i="3" s="1"/>
  <c r="BL185" i="3"/>
  <c r="AZ185" i="3" s="1"/>
  <c r="BA189" i="3"/>
  <c r="AZ189" i="3" s="1"/>
  <c r="BL191" i="3"/>
  <c r="AZ191" i="3" s="1"/>
  <c r="G195" i="3"/>
  <c r="BA198" i="3"/>
  <c r="AZ198" i="3" s="1"/>
  <c r="BL205" i="3"/>
  <c r="BA207" i="3"/>
  <c r="AZ207" i="3" s="1"/>
  <c r="BA18" i="3"/>
  <c r="BA20" i="3"/>
  <c r="BL24" i="3"/>
  <c r="AZ24" i="3" s="1"/>
  <c r="BL29" i="3"/>
  <c r="G33" i="3"/>
  <c r="G34" i="3"/>
  <c r="BA35" i="3"/>
  <c r="AZ35" i="3" s="1"/>
  <c r="BA36" i="3"/>
  <c r="BA41" i="3"/>
  <c r="BA43" i="3"/>
  <c r="G47" i="3"/>
  <c r="BL48" i="3"/>
  <c r="BA55" i="3"/>
  <c r="AZ55" i="3" s="1"/>
  <c r="BA56" i="3"/>
  <c r="BA57" i="3"/>
  <c r="BA59" i="3"/>
  <c r="BA64" i="3"/>
  <c r="AZ64" i="3" s="1"/>
  <c r="BA65" i="3"/>
  <c r="BL66" i="3"/>
  <c r="BL67" i="3"/>
  <c r="AZ67" i="3" s="1"/>
  <c r="BL69" i="3"/>
  <c r="BA78" i="3"/>
  <c r="AZ78" i="3" s="1"/>
  <c r="BA79" i="3"/>
  <c r="BL81" i="3"/>
  <c r="AZ81" i="3" s="1"/>
  <c r="BL82" i="3"/>
  <c r="BA85" i="3"/>
  <c r="AZ85" i="3" s="1"/>
  <c r="BL91" i="3"/>
  <c r="BL95" i="3"/>
  <c r="C35" i="71"/>
  <c r="D34" i="71"/>
  <c r="D58" i="71"/>
  <c r="C59" i="71"/>
  <c r="G147" i="3"/>
  <c r="G148" i="3"/>
  <c r="G151" i="3"/>
  <c r="BA154" i="3"/>
  <c r="AZ154" i="3" s="1"/>
  <c r="G156" i="3"/>
  <c r="BA157" i="3"/>
  <c r="AZ157" i="3" s="1"/>
  <c r="BA158" i="3"/>
  <c r="AZ158" i="3" s="1"/>
  <c r="BA160" i="3"/>
  <c r="AZ160" i="3" s="1"/>
  <c r="G162" i="3"/>
  <c r="G163" i="3"/>
  <c r="BL163" i="3"/>
  <c r="AZ163" i="3" s="1"/>
  <c r="BL166" i="3"/>
  <c r="AZ166" i="3" s="1"/>
  <c r="BA168" i="3"/>
  <c r="AZ168" i="3" s="1"/>
  <c r="G170" i="3"/>
  <c r="BL170" i="3"/>
  <c r="AZ170" i="3" s="1"/>
  <c r="G175" i="3"/>
  <c r="BA177" i="3"/>
  <c r="AZ177" i="3" s="1"/>
  <c r="BL179" i="3"/>
  <c r="AZ179" i="3" s="1"/>
  <c r="BL181" i="3"/>
  <c r="AZ181" i="3" s="1"/>
  <c r="BL186" i="3"/>
  <c r="AZ186" i="3" s="1"/>
  <c r="BA188" i="3"/>
  <c r="AZ188" i="3" s="1"/>
  <c r="BL190" i="3"/>
  <c r="G191" i="3"/>
  <c r="BA193" i="3"/>
  <c r="BA194" i="3"/>
  <c r="AZ194" i="3" s="1"/>
  <c r="BL199" i="3"/>
  <c r="AZ199" i="3" s="1"/>
  <c r="G200" i="3"/>
  <c r="BA201" i="3"/>
  <c r="BA204" i="3"/>
  <c r="AZ204" i="3" s="1"/>
  <c r="BA205" i="3"/>
  <c r="BL19" i="3"/>
  <c r="AZ19" i="3" s="1"/>
  <c r="BL21" i="3"/>
  <c r="AZ21" i="3" s="1"/>
  <c r="G23" i="3"/>
  <c r="G24" i="3"/>
  <c r="BL25" i="3"/>
  <c r="AZ25" i="3" s="1"/>
  <c r="BL27" i="3"/>
  <c r="AZ27" i="3" s="1"/>
  <c r="G28" i="3"/>
  <c r="BL28" i="3"/>
  <c r="AZ28" i="3" s="1"/>
  <c r="BA29" i="3"/>
  <c r="BL37" i="3"/>
  <c r="AZ37" i="3" s="1"/>
  <c r="G39" i="3"/>
  <c r="G40" i="3"/>
  <c r="BL40" i="3"/>
  <c r="BL42" i="3"/>
  <c r="AZ42" i="3" s="1"/>
  <c r="BL52" i="3"/>
  <c r="G53" i="3"/>
  <c r="BL53" i="3"/>
  <c r="AZ53" i="3" s="1"/>
  <c r="BL58" i="3"/>
  <c r="AZ58" i="3" s="1"/>
  <c r="G61" i="3"/>
  <c r="BL61" i="3"/>
  <c r="BL65" i="3"/>
  <c r="BL73" i="3"/>
  <c r="BL74" i="3"/>
  <c r="BA75" i="3"/>
  <c r="AZ75" i="3" s="1"/>
  <c r="BL80" i="3"/>
  <c r="BA83" i="3"/>
  <c r="AZ83" i="3" s="1"/>
  <c r="BL87" i="3"/>
  <c r="BL88" i="3"/>
  <c r="BA89" i="3"/>
  <c r="AZ89" i="3" s="1"/>
  <c r="BL93" i="3"/>
  <c r="AZ93" i="3" s="1"/>
  <c r="BL94" i="3"/>
  <c r="BL98" i="3"/>
  <c r="AZ100" i="3"/>
  <c r="G73" i="3"/>
  <c r="BA73" i="3"/>
  <c r="BA74" i="3"/>
  <c r="AZ74" i="3" s="1"/>
  <c r="BA82" i="3"/>
  <c r="AZ82" i="3" s="1"/>
  <c r="BA84" i="3"/>
  <c r="AZ84" i="3" s="1"/>
  <c r="BA86" i="3"/>
  <c r="AZ86" i="3" s="1"/>
  <c r="G89" i="3"/>
  <c r="G90" i="3"/>
  <c r="BL90" i="3"/>
  <c r="G92" i="3"/>
  <c r="G93" i="3"/>
  <c r="G95" i="3"/>
  <c r="BA95" i="3"/>
  <c r="G98" i="3"/>
  <c r="BA98" i="3"/>
  <c r="AZ98" i="3" s="1"/>
  <c r="BL100" i="3"/>
  <c r="BA101" i="3"/>
  <c r="AZ101" i="3" s="1"/>
  <c r="BA102" i="3"/>
  <c r="BA103" i="3"/>
  <c r="G106" i="3"/>
  <c r="G107" i="3"/>
  <c r="BL108" i="3"/>
  <c r="AZ108" i="3" s="1"/>
  <c r="BA109" i="3"/>
  <c r="AZ109" i="3" s="1"/>
  <c r="BL110" i="3"/>
  <c r="BL112" i="3"/>
  <c r="AB21" i="21"/>
  <c r="U21" i="33"/>
  <c r="U29" i="39"/>
  <c r="AA21" i="21"/>
  <c r="V28" i="71"/>
  <c r="AA3" i="71"/>
  <c r="D68" i="71"/>
  <c r="Y28" i="71"/>
  <c r="Z28" i="71" s="1"/>
  <c r="Y37" i="71"/>
  <c r="Z37" i="71" s="1"/>
  <c r="AA33" i="71"/>
  <c r="Y38" i="71"/>
  <c r="Z38" i="71" s="1"/>
  <c r="V76" i="71"/>
  <c r="AB26" i="71"/>
  <c r="K56" i="9"/>
  <c r="AB17" i="71"/>
  <c r="G45" i="3"/>
  <c r="BL45" i="3"/>
  <c r="AZ45" i="3" s="1"/>
  <c r="BA48" i="3"/>
  <c r="AZ48" i="3" s="1"/>
  <c r="BA49" i="3"/>
  <c r="BA51" i="3"/>
  <c r="AZ51" i="3" s="1"/>
  <c r="G54" i="3"/>
  <c r="G55" i="3"/>
  <c r="G5" i="3" s="1"/>
  <c r="B3" i="3" s="1"/>
  <c r="BL56" i="3"/>
  <c r="BL62" i="3"/>
  <c r="BL63" i="3"/>
  <c r="AZ63" i="3" s="1"/>
  <c r="G65" i="3"/>
  <c r="G66" i="3"/>
  <c r="G68" i="3"/>
  <c r="BA68" i="3"/>
  <c r="AZ68" i="3" s="1"/>
  <c r="BA69" i="3"/>
  <c r="AZ69" i="3" s="1"/>
  <c r="BA70" i="3"/>
  <c r="AZ70" i="3" s="1"/>
  <c r="BA72" i="3"/>
  <c r="AZ72" i="3" s="1"/>
  <c r="G75" i="3"/>
  <c r="G76" i="3"/>
  <c r="BL76" i="3"/>
  <c r="BL77" i="3"/>
  <c r="AZ77" i="3" s="1"/>
  <c r="G79" i="3"/>
  <c r="BL79" i="3"/>
  <c r="BA80" i="3"/>
  <c r="AZ80" i="3" s="1"/>
  <c r="G83" i="3"/>
  <c r="G85" i="3"/>
  <c r="G87" i="3"/>
  <c r="BA87" i="3"/>
  <c r="AZ87" i="3" s="1"/>
  <c r="BA88" i="3"/>
  <c r="AZ88" i="3" s="1"/>
  <c r="BA91" i="3"/>
  <c r="AZ91" i="3" s="1"/>
  <c r="BA92" i="3"/>
  <c r="AZ92" i="3" s="1"/>
  <c r="BA94" i="3"/>
  <c r="AZ94" i="3" s="1"/>
  <c r="BA97" i="3"/>
  <c r="G103" i="3"/>
  <c r="G104" i="3"/>
  <c r="BA104" i="3"/>
  <c r="AZ104" i="3" s="1"/>
  <c r="BA105" i="3"/>
  <c r="AZ105" i="3" s="1"/>
  <c r="BA106" i="3"/>
  <c r="AZ106" i="3" s="1"/>
  <c r="G111" i="3"/>
  <c r="BL111" i="3"/>
  <c r="BA112" i="3"/>
  <c r="AZ112" i="3" s="1"/>
  <c r="W18" i="36"/>
  <c r="S21" i="34"/>
  <c r="P67" i="71"/>
  <c r="AB28" i="71"/>
  <c r="C27" i="71"/>
  <c r="T68" i="71"/>
  <c r="X26" i="71"/>
  <c r="AA36" i="71"/>
  <c r="Y33" i="71"/>
  <c r="Z33" i="71" s="1"/>
  <c r="Y34" i="71"/>
  <c r="Z34" i="71" s="1"/>
  <c r="Y35" i="71"/>
  <c r="Z35" i="71" s="1"/>
  <c r="BL96" i="3"/>
  <c r="AZ96" i="3" s="1"/>
  <c r="BL97" i="3"/>
  <c r="BL99" i="3"/>
  <c r="AZ99" i="3" s="1"/>
  <c r="BL102" i="3"/>
  <c r="BL106" i="3"/>
  <c r="BL107" i="3"/>
  <c r="AZ107" i="3" s="1"/>
  <c r="BA111" i="3"/>
  <c r="AZ111" i="3" s="1"/>
  <c r="AC21" i="37"/>
  <c r="C74" i="71"/>
  <c r="D74" i="71" s="1"/>
  <c r="C79" i="71"/>
  <c r="D72" i="71"/>
  <c r="AA26" i="71"/>
  <c r="C39" i="71"/>
  <c r="X37" i="71"/>
  <c r="AA34" i="71"/>
  <c r="B59" i="71"/>
  <c r="B60" i="71" s="1"/>
  <c r="S60" i="71" s="1"/>
  <c r="F67" i="71"/>
  <c r="S17" i="33"/>
  <c r="AB45" i="21"/>
  <c r="AA21" i="39"/>
  <c r="AA13" i="21"/>
  <c r="W15" i="21"/>
  <c r="S43" i="34"/>
  <c r="AA20" i="36"/>
  <c r="S34" i="33"/>
  <c r="U20" i="35"/>
  <c r="W12" i="37"/>
  <c r="AC12" i="37"/>
  <c r="M85" i="43"/>
  <c r="N85" i="43" s="1"/>
  <c r="K85" i="43"/>
  <c r="D85" i="43" s="1"/>
  <c r="AZ341" i="3"/>
  <c r="AZ309" i="3"/>
  <c r="AZ565" i="3"/>
  <c r="AZ573" i="3"/>
  <c r="AZ581" i="3"/>
  <c r="U12" i="35"/>
  <c r="AB12" i="35"/>
  <c r="W40" i="40"/>
  <c r="AC40" i="40"/>
  <c r="U19" i="33"/>
  <c r="AC25" i="33"/>
  <c r="U9" i="21"/>
  <c r="D6" i="52"/>
  <c r="AC17" i="37"/>
  <c r="AB33" i="34"/>
  <c r="AA39" i="39"/>
  <c r="U12" i="39"/>
  <c r="F30" i="69"/>
  <c r="F48" i="69" s="1"/>
  <c r="F28" i="91"/>
  <c r="M18" i="91"/>
  <c r="F32" i="91"/>
  <c r="F60" i="91" s="1"/>
  <c r="M18" i="90"/>
  <c r="M18" i="89"/>
  <c r="F28" i="90"/>
  <c r="F28" i="89"/>
  <c r="F32" i="90"/>
  <c r="F60" i="90" s="1"/>
  <c r="F32" i="89"/>
  <c r="F60" i="89" s="1"/>
  <c r="C52" i="37"/>
  <c r="D52" i="37" s="1"/>
  <c r="E52" i="37" s="1"/>
  <c r="F52" i="37" s="1"/>
  <c r="G52" i="37" s="1"/>
  <c r="H52" i="37" s="1"/>
  <c r="I52" i="37" s="1"/>
  <c r="J52" i="37" s="1"/>
  <c r="K52" i="37" s="1"/>
  <c r="L52" i="37" s="1"/>
  <c r="M52" i="37" s="1"/>
  <c r="N52" i="37" s="1"/>
  <c r="O52" i="37" s="1"/>
  <c r="E7" i="37"/>
  <c r="I7" i="37"/>
  <c r="G7" i="37"/>
  <c r="S41" i="34"/>
  <c r="AA41" i="34"/>
  <c r="AZ559" i="3"/>
  <c r="AZ575" i="3"/>
  <c r="D20" i="71"/>
  <c r="U20" i="71" s="1"/>
  <c r="D21" i="53"/>
  <c r="B39" i="72" s="1"/>
  <c r="U32" i="39"/>
  <c r="W17" i="21"/>
  <c r="AZ334" i="3"/>
  <c r="AZ557" i="3"/>
  <c r="AZ515" i="3"/>
  <c r="AZ525" i="3"/>
  <c r="AZ533" i="3"/>
  <c r="AZ541" i="3"/>
  <c r="AA41" i="33"/>
  <c r="H12" i="33"/>
  <c r="J34" i="35"/>
  <c r="F34" i="35"/>
  <c r="F23" i="36"/>
  <c r="G526" i="3"/>
  <c r="H44" i="39"/>
  <c r="F44" i="39"/>
  <c r="AZ404" i="3"/>
  <c r="AZ416" i="3"/>
  <c r="S14" i="40"/>
  <c r="AA13" i="33"/>
  <c r="AB28" i="37"/>
  <c r="U35" i="35"/>
  <c r="AB45" i="33"/>
  <c r="AB46" i="34"/>
  <c r="AA44" i="33"/>
  <c r="S34" i="21"/>
  <c r="W9" i="34"/>
  <c r="J44" i="39"/>
  <c r="H12" i="21"/>
  <c r="H9" i="34"/>
  <c r="F9" i="36"/>
  <c r="J25" i="37"/>
  <c r="BA551" i="3"/>
  <c r="AZ551" i="3" s="1"/>
  <c r="AZ398" i="3"/>
  <c r="AZ399" i="3"/>
  <c r="AZ405" i="3"/>
  <c r="AZ409" i="3"/>
  <c r="AZ419" i="3"/>
  <c r="U14" i="40"/>
  <c r="AZ548" i="3"/>
  <c r="S11" i="36"/>
  <c r="B73" i="43"/>
  <c r="B76" i="43"/>
  <c r="J23" i="36"/>
  <c r="AZ402" i="3"/>
  <c r="AZ403" i="3"/>
  <c r="F34" i="91"/>
  <c r="F62" i="91" s="1"/>
  <c r="M20" i="91"/>
  <c r="F34" i="90"/>
  <c r="F62" i="90" s="1"/>
  <c r="F34" i="89"/>
  <c r="F62" i="89" s="1"/>
  <c r="M20" i="90"/>
  <c r="M20" i="89"/>
  <c r="BL15" i="3"/>
  <c r="AZ15" i="3" s="1"/>
  <c r="F9" i="1"/>
  <c r="G44" i="43"/>
  <c r="AZ420" i="3"/>
  <c r="BL432" i="3"/>
  <c r="AZ435" i="3"/>
  <c r="AZ453" i="3"/>
  <c r="AZ455" i="3"/>
  <c r="AZ458" i="3"/>
  <c r="AZ459" i="3"/>
  <c r="AZ467" i="3"/>
  <c r="AZ474" i="3"/>
  <c r="AZ477" i="3"/>
  <c r="AZ492" i="3"/>
  <c r="AZ230" i="3"/>
  <c r="AZ242" i="3"/>
  <c r="G416" i="3"/>
  <c r="BA417" i="3"/>
  <c r="G419" i="3"/>
  <c r="BA421" i="3"/>
  <c r="G423" i="3"/>
  <c r="G427" i="3"/>
  <c r="BA428" i="3"/>
  <c r="AZ428" i="3" s="1"/>
  <c r="AZ430" i="3"/>
  <c r="BA432" i="3"/>
  <c r="AZ432" i="3" s="1"/>
  <c r="AZ434" i="3"/>
  <c r="AZ440" i="3"/>
  <c r="AZ447" i="3"/>
  <c r="AZ451" i="3"/>
  <c r="AZ452" i="3"/>
  <c r="AZ456" i="3"/>
  <c r="AZ466" i="3"/>
  <c r="AZ484" i="3"/>
  <c r="AZ486" i="3"/>
  <c r="AZ488" i="3"/>
  <c r="AZ385" i="3"/>
  <c r="AZ228" i="3"/>
  <c r="AZ231" i="3"/>
  <c r="BB5" i="3"/>
  <c r="BL410" i="3"/>
  <c r="AZ410" i="3" s="1"/>
  <c r="BL411" i="3"/>
  <c r="AZ411" i="3" s="1"/>
  <c r="AZ414" i="3"/>
  <c r="BA415" i="3"/>
  <c r="AZ415" i="3" s="1"/>
  <c r="AZ425" i="3"/>
  <c r="BA426" i="3"/>
  <c r="AZ426" i="3" s="1"/>
  <c r="AZ431" i="3"/>
  <c r="AZ216" i="3"/>
  <c r="AZ219" i="3"/>
  <c r="AZ221" i="3"/>
  <c r="AZ225" i="3"/>
  <c r="AZ236" i="3"/>
  <c r="A15" i="62"/>
  <c r="B61" i="72" s="1"/>
  <c r="BL417" i="3"/>
  <c r="G418" i="3"/>
  <c r="BL420" i="3"/>
  <c r="BL421" i="3"/>
  <c r="G422" i="3"/>
  <c r="G429" i="3"/>
  <c r="AZ258" i="3"/>
  <c r="AZ260" i="3"/>
  <c r="BA272" i="3"/>
  <c r="AZ272" i="3" s="1"/>
  <c r="BA273" i="3"/>
  <c r="AZ273" i="3" s="1"/>
  <c r="AZ276" i="3"/>
  <c r="AZ277" i="3"/>
  <c r="AZ289" i="3"/>
  <c r="AZ298" i="3"/>
  <c r="AZ118" i="3"/>
  <c r="AZ22" i="3"/>
  <c r="AZ23" i="3"/>
  <c r="G263" i="3"/>
  <c r="BA267" i="3"/>
  <c r="AZ267" i="3" s="1"/>
  <c r="BL271" i="3"/>
  <c r="AZ271" i="3" s="1"/>
  <c r="AZ274" i="3"/>
  <c r="BL277" i="3"/>
  <c r="AZ285" i="3"/>
  <c r="BL290" i="3"/>
  <c r="AZ290" i="3" s="1"/>
  <c r="AZ113" i="3"/>
  <c r="BA262" i="3"/>
  <c r="AZ262" i="3" s="1"/>
  <c r="BL266" i="3"/>
  <c r="AZ266" i="3" s="1"/>
  <c r="G270" i="3"/>
  <c r="E270" i="3" s="1"/>
  <c r="BA280" i="3"/>
  <c r="AZ280" i="3" s="1"/>
  <c r="AZ282" i="3"/>
  <c r="AZ193" i="3"/>
  <c r="AZ201" i="3"/>
  <c r="AZ205" i="3"/>
  <c r="AZ292" i="3"/>
  <c r="AZ300" i="3"/>
  <c r="BA39" i="3"/>
  <c r="AZ39" i="3" s="1"/>
  <c r="AZ49" i="3"/>
  <c r="AZ65" i="3"/>
  <c r="AZ103" i="3"/>
  <c r="AZ62" i="3"/>
  <c r="AZ90" i="3"/>
  <c r="BL32" i="3"/>
  <c r="AZ32" i="3" s="1"/>
  <c r="BA34" i="3"/>
  <c r="AZ34" i="3" s="1"/>
  <c r="AZ56" i="3"/>
  <c r="BL33" i="3"/>
  <c r="AZ33" i="3" s="1"/>
  <c r="BL36" i="3"/>
  <c r="AZ36" i="3" s="1"/>
  <c r="BL41" i="3"/>
  <c r="AZ41" i="3" s="1"/>
  <c r="BL43" i="3"/>
  <c r="AZ43" i="3" s="1"/>
  <c r="BA52" i="3"/>
  <c r="AZ52" i="3" s="1"/>
  <c r="AZ54" i="3"/>
  <c r="BL57" i="3"/>
  <c r="AZ57" i="3" s="1"/>
  <c r="BL59" i="3"/>
  <c r="AZ59" i="3" s="1"/>
  <c r="AZ76" i="3"/>
  <c r="BA110" i="3"/>
  <c r="AZ110" i="3" s="1"/>
  <c r="W21" i="33"/>
  <c r="C52" i="71"/>
  <c r="D51" i="71"/>
  <c r="AC21" i="21"/>
  <c r="W21" i="21"/>
  <c r="P66" i="71"/>
  <c r="P65" i="71"/>
  <c r="G1" i="91"/>
  <c r="F8" i="1"/>
  <c r="G8" i="1" s="1"/>
  <c r="T32" i="71"/>
  <c r="D32" i="71"/>
  <c r="D43" i="71"/>
  <c r="C44" i="71"/>
  <c r="C64" i="71"/>
  <c r="D63" i="71"/>
  <c r="C29" i="39"/>
  <c r="B77" i="43"/>
  <c r="AA18" i="36"/>
  <c r="E30" i="71"/>
  <c r="E31" i="71" s="1"/>
  <c r="E32" i="71" s="1"/>
  <c r="U32" i="71" s="1"/>
  <c r="AA29" i="71"/>
  <c r="X29" i="71"/>
  <c r="X31" i="71"/>
  <c r="X25" i="71"/>
  <c r="E38" i="71"/>
  <c r="E39" i="71" s="1"/>
  <c r="E40" i="71" s="1"/>
  <c r="U40" i="71" s="1"/>
  <c r="AA37" i="71"/>
  <c r="AA35" i="71"/>
  <c r="AB9" i="71"/>
  <c r="AB39" i="71"/>
  <c r="AA24" i="71"/>
  <c r="E24" i="71"/>
  <c r="X21" i="71"/>
  <c r="AA21" i="71"/>
  <c r="X18" i="71"/>
  <c r="Y18" i="71"/>
  <c r="Z18" i="71" s="1"/>
  <c r="AA17" i="71"/>
  <c r="AA14" i="71"/>
  <c r="AB34" i="71"/>
  <c r="AB24" i="71"/>
  <c r="X24" i="71"/>
  <c r="Y23" i="71"/>
  <c r="Z23" i="71" s="1"/>
  <c r="AB21" i="71"/>
  <c r="Y21" i="71"/>
  <c r="Z21" i="71" s="1"/>
  <c r="Y22" i="71"/>
  <c r="Z22" i="71" s="1"/>
  <c r="AB18" i="71"/>
  <c r="Y10" i="71"/>
  <c r="Z10" i="71" s="1"/>
  <c r="Y12" i="71"/>
  <c r="Z12" i="71" s="1"/>
  <c r="C7" i="34"/>
  <c r="C59" i="34" s="1"/>
  <c r="D59" i="34" s="1"/>
  <c r="E59" i="34" s="1"/>
  <c r="F59" i="34" s="1"/>
  <c r="G59" i="34" s="1"/>
  <c r="H59" i="34" s="1"/>
  <c r="I59" i="34" s="1"/>
  <c r="J59" i="34" s="1"/>
  <c r="K59" i="34" s="1"/>
  <c r="L59" i="34" s="1"/>
  <c r="M59" i="34" s="1"/>
  <c r="N59" i="34" s="1"/>
  <c r="O59" i="34" s="1"/>
  <c r="J51" i="91"/>
  <c r="J51" i="89"/>
  <c r="J51" i="90"/>
  <c r="C7" i="86"/>
  <c r="J51" i="83"/>
  <c r="W29" i="39"/>
  <c r="B68" i="43"/>
  <c r="C70" i="71"/>
  <c r="D70" i="71" s="1"/>
  <c r="AA27" i="71"/>
  <c r="AB27" i="71"/>
  <c r="D42" i="71"/>
  <c r="D30" i="71"/>
  <c r="Y25" i="71"/>
  <c r="Z25" i="71" s="1"/>
  <c r="X30" i="71"/>
  <c r="X33" i="71"/>
  <c r="AA30" i="71"/>
  <c r="AA32" i="71"/>
  <c r="AB35" i="71"/>
  <c r="B79" i="71"/>
  <c r="B78" i="71" s="1"/>
  <c r="X22" i="71"/>
  <c r="AA18" i="71"/>
  <c r="Y17" i="71"/>
  <c r="Z17" i="71" s="1"/>
  <c r="X13" i="71"/>
  <c r="B57" i="43"/>
  <c r="X28" i="71"/>
  <c r="Y27" i="71"/>
  <c r="Z27" i="71" s="1"/>
  <c r="AB29" i="71"/>
  <c r="Y29" i="71"/>
  <c r="Z29" i="71" s="1"/>
  <c r="AB30" i="71"/>
  <c r="AB31" i="71"/>
  <c r="AB32" i="71"/>
  <c r="AB38" i="71"/>
  <c r="AA10" i="71"/>
  <c r="B43" i="71"/>
  <c r="B44" i="71" s="1"/>
  <c r="S44" i="71" s="1"/>
  <c r="E47" i="71"/>
  <c r="E48" i="71" s="1"/>
  <c r="U48" i="71" s="1"/>
  <c r="B20" i="71"/>
  <c r="AB23" i="71"/>
  <c r="AA22" i="71"/>
  <c r="AA23" i="71"/>
  <c r="X17" i="71"/>
  <c r="AB15" i="71"/>
  <c r="AB14" i="71"/>
  <c r="AB11" i="71"/>
  <c r="AB13" i="71"/>
  <c r="AB12" i="71"/>
  <c r="AA11" i="71"/>
  <c r="AB10" i="71"/>
  <c r="AB33" i="71"/>
  <c r="Y9" i="71"/>
  <c r="Z9" i="71" s="1"/>
  <c r="B67" i="71"/>
  <c r="F85" i="81"/>
  <c r="I85" i="81" s="1"/>
  <c r="B87" i="81"/>
  <c r="N56" i="9"/>
  <c r="X15" i="71"/>
  <c r="AA9" i="71"/>
  <c r="Y11" i="71"/>
  <c r="Z11" i="71" s="1"/>
  <c r="Y14" i="71"/>
  <c r="Z14" i="71" s="1"/>
  <c r="X12" i="71"/>
  <c r="X9" i="71"/>
  <c r="AA39" i="71"/>
  <c r="Y24" i="71"/>
  <c r="Z24" i="71" s="1"/>
  <c r="Y13" i="71"/>
  <c r="Z13" i="71" s="1"/>
  <c r="X10" i="71"/>
  <c r="X14" i="71"/>
  <c r="AA15" i="71"/>
  <c r="AA13" i="71"/>
  <c r="AA12" i="71"/>
  <c r="X11" i="71"/>
  <c r="G1" i="90"/>
  <c r="G1" i="89"/>
  <c r="G1" i="83"/>
  <c r="U8" i="37"/>
  <c r="U31" i="37"/>
  <c r="AC31" i="37"/>
  <c r="C21" i="68"/>
  <c r="C40" i="68"/>
  <c r="C40" i="69"/>
  <c r="AA29" i="37"/>
  <c r="W29" i="37"/>
  <c r="AB17" i="37"/>
  <c r="AC15" i="37"/>
  <c r="W23" i="37"/>
  <c r="AA23" i="37"/>
  <c r="U23" i="37"/>
  <c r="S21" i="37"/>
  <c r="U21" i="37"/>
  <c r="AC19" i="37"/>
  <c r="AA19" i="37"/>
  <c r="U19" i="37"/>
  <c r="S17" i="37"/>
  <c r="S15" i="37"/>
  <c r="U15" i="37"/>
  <c r="G7" i="1"/>
  <c r="BA14" i="3"/>
  <c r="AZ14" i="3" s="1"/>
  <c r="M7" i="1"/>
  <c r="AB37" i="40"/>
  <c r="G113" i="40"/>
  <c r="H113" i="40" s="1"/>
  <c r="I113" i="40" s="1"/>
  <c r="J113" i="40" s="1"/>
  <c r="K113" i="40" s="1"/>
  <c r="L113" i="40" s="1"/>
  <c r="M113" i="40" s="1"/>
  <c r="H36" i="40"/>
  <c r="AB36" i="40" s="1"/>
  <c r="J36" i="40"/>
  <c r="W36" i="40" s="1"/>
  <c r="F36" i="40"/>
  <c r="W37" i="40"/>
  <c r="U36" i="40"/>
  <c r="AB35" i="40"/>
  <c r="F92" i="40"/>
  <c r="G92" i="40" s="1"/>
  <c r="H23" i="40"/>
  <c r="AB23" i="40" s="1"/>
  <c r="F23" i="40"/>
  <c r="J23" i="40"/>
  <c r="J17" i="40"/>
  <c r="W17" i="40" s="1"/>
  <c r="F86" i="40"/>
  <c r="G86" i="40" s="1"/>
  <c r="H17" i="40"/>
  <c r="F17" i="40"/>
  <c r="W25" i="40"/>
  <c r="S25" i="40"/>
  <c r="U25" i="40"/>
  <c r="AA21" i="40"/>
  <c r="U21" i="40"/>
  <c r="AB19" i="40"/>
  <c r="AA19" i="40"/>
  <c r="W19" i="40"/>
  <c r="U15" i="40"/>
  <c r="AC15" i="40"/>
  <c r="AA37" i="40"/>
  <c r="W35" i="40"/>
  <c r="S35" i="40"/>
  <c r="W34" i="40"/>
  <c r="S34" i="40"/>
  <c r="U9" i="40"/>
  <c r="S9" i="40"/>
  <c r="W9" i="40"/>
  <c r="M20" i="15"/>
  <c r="F34" i="83"/>
  <c r="F62" i="83" s="1"/>
  <c r="M20" i="83"/>
  <c r="D93" i="9"/>
  <c r="D68" i="9"/>
  <c r="F31" i="12"/>
  <c r="F48" i="9"/>
  <c r="O52" i="9" s="1"/>
  <c r="F32" i="83"/>
  <c r="M18" i="83"/>
  <c r="F28" i="83"/>
  <c r="F32" i="67"/>
  <c r="F60" i="67" s="1"/>
  <c r="F54" i="9"/>
  <c r="F32" i="15"/>
  <c r="F60" i="15" s="1"/>
  <c r="F52" i="9"/>
  <c r="F30" i="68"/>
  <c r="F48" i="68" s="1"/>
  <c r="F28" i="15"/>
  <c r="F28" i="67"/>
  <c r="M18" i="15"/>
  <c r="M18" i="67"/>
  <c r="F30" i="11"/>
  <c r="C48" i="11" s="1"/>
  <c r="BL5" i="3"/>
  <c r="F29" i="6"/>
  <c r="E29" i="6" s="1"/>
  <c r="K15" i="1" s="1"/>
  <c r="G28" i="6"/>
  <c r="D19" i="53"/>
  <c r="B38" i="72" s="1"/>
  <c r="M47" i="9"/>
  <c r="C7" i="35"/>
  <c r="C48" i="35" s="1"/>
  <c r="D48" i="35" s="1"/>
  <c r="E48" i="35" s="1"/>
  <c r="C7" i="40"/>
  <c r="C63" i="40" s="1"/>
  <c r="C7" i="39"/>
  <c r="C67" i="39" s="1"/>
  <c r="D67" i="39" s="1"/>
  <c r="D69" i="39" s="1"/>
  <c r="C42" i="1"/>
  <c r="C48" i="68" s="1"/>
  <c r="C7" i="36"/>
  <c r="C46" i="36" s="1"/>
  <c r="D46" i="36" s="1"/>
  <c r="E46" i="36" s="1"/>
  <c r="F46" i="36" s="1"/>
  <c r="G46" i="36" s="1"/>
  <c r="H46" i="36" s="1"/>
  <c r="I46" i="36" s="1"/>
  <c r="C7" i="2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F30" i="6"/>
  <c r="G30" i="6"/>
  <c r="G31" i="6" s="1"/>
  <c r="E28" i="6"/>
  <c r="K14" i="1" s="1"/>
  <c r="L19" i="6"/>
  <c r="L27" i="6" s="1"/>
  <c r="M6" i="1"/>
  <c r="O6" i="1" s="1"/>
  <c r="T13" i="1"/>
  <c r="C58" i="21"/>
  <c r="D58" i="21" s="1"/>
  <c r="C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11"/>
  <c r="C21" i="69"/>
  <c r="J85" i="43"/>
  <c r="D66" i="43"/>
  <c r="D64" i="43"/>
  <c r="D62" i="43"/>
  <c r="D67" i="43"/>
  <c r="D65" i="43"/>
  <c r="D63" i="43"/>
  <c r="D69" i="43"/>
  <c r="D73" i="43"/>
  <c r="D75" i="43"/>
  <c r="D79" i="43"/>
  <c r="D22" i="67"/>
  <c r="AQ13" i="1"/>
  <c r="Q16" i="1"/>
  <c r="Q18" i="1"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T35" i="4"/>
  <c r="A19" i="51" s="1"/>
  <c r="B14" i="72" s="1"/>
  <c r="H110" i="9"/>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C6" i="67"/>
  <c r="J53" i="15"/>
  <c r="L56" i="15" s="1"/>
  <c r="J57" i="15"/>
  <c r="J55" i="15" s="1"/>
  <c r="J58" i="15" s="1"/>
  <c r="Q50" i="15" s="1"/>
  <c r="I54" i="15"/>
  <c r="K1" i="73"/>
  <c r="I1" i="73"/>
  <c r="B39" i="1" s="1"/>
  <c r="F51" i="67"/>
  <c r="F65" i="67"/>
  <c r="F66" i="67"/>
  <c r="L59" i="15"/>
  <c r="N59" i="15"/>
  <c r="L58" i="15"/>
  <c r="M59" i="15"/>
  <c r="F66" i="15"/>
  <c r="Q71" i="67"/>
  <c r="C27" i="67"/>
  <c r="F71" i="67"/>
  <c r="N59" i="67"/>
  <c r="L59" i="67"/>
  <c r="M59" i="67"/>
  <c r="B13" i="70"/>
  <c r="M7" i="67"/>
  <c r="J6" i="67" s="1"/>
  <c r="F50" i="67"/>
  <c r="F68" i="67"/>
  <c r="F64" i="67"/>
  <c r="C36" i="68"/>
  <c r="D9" i="69"/>
  <c r="C36" i="69"/>
  <c r="D9" i="68"/>
  <c r="J15" i="15"/>
  <c r="M26" i="89"/>
  <c r="F26" i="89"/>
  <c r="F40" i="89"/>
  <c r="F38" i="83"/>
  <c r="M22" i="15"/>
  <c r="F40" i="15"/>
  <c r="F42" i="15"/>
  <c r="F9" i="90"/>
  <c r="M24" i="90"/>
  <c r="M22" i="89"/>
  <c r="M28" i="15"/>
  <c r="F36" i="15"/>
  <c r="F37" i="90"/>
  <c r="J15" i="89"/>
  <c r="M6" i="90"/>
  <c r="F13" i="83"/>
  <c r="L48" i="67"/>
  <c r="F43" i="15"/>
  <c r="L48" i="90"/>
  <c r="L48" i="89"/>
  <c r="C76" i="83"/>
  <c r="M9" i="90"/>
  <c r="C17" i="89"/>
  <c r="F38" i="89"/>
  <c r="M26" i="90"/>
  <c r="F8" i="15"/>
  <c r="M6" i="83"/>
  <c r="F7" i="83"/>
  <c r="C76" i="90"/>
  <c r="M29" i="90"/>
  <c r="M8" i="15"/>
  <c r="M23" i="15"/>
  <c r="D6" i="73"/>
  <c r="F8" i="89"/>
  <c r="F13" i="89"/>
  <c r="C76" i="89"/>
  <c r="F7" i="15"/>
  <c r="F40" i="90"/>
  <c r="M23" i="89"/>
  <c r="C16" i="67"/>
  <c r="M8" i="89"/>
  <c r="F37" i="15"/>
  <c r="F9" i="15"/>
  <c r="F8" i="83"/>
  <c r="C14" i="89"/>
  <c r="F36" i="89"/>
  <c r="F42" i="83"/>
  <c r="D5" i="73"/>
  <c r="C76" i="15"/>
  <c r="M26" i="15"/>
  <c r="F16" i="89"/>
  <c r="F42" i="90"/>
  <c r="F37" i="89"/>
  <c r="M24" i="89"/>
  <c r="M9" i="83"/>
  <c r="J15" i="83"/>
  <c r="M29" i="15"/>
  <c r="G1" i="73"/>
  <c r="F8" i="90"/>
  <c r="C17" i="90"/>
  <c r="F16" i="15"/>
  <c r="L47" i="89"/>
  <c r="D7" i="73"/>
  <c r="F26" i="15"/>
  <c r="J15" i="90"/>
  <c r="M9" i="15"/>
  <c r="F64" i="15" l="1"/>
  <c r="F71" i="15"/>
  <c r="M7" i="15"/>
  <c r="F50" i="15"/>
  <c r="Q71" i="15"/>
  <c r="F68" i="15"/>
  <c r="C27" i="15"/>
  <c r="F51" i="15"/>
  <c r="C49" i="15" s="1"/>
  <c r="F65" i="15"/>
  <c r="E122" i="3"/>
  <c r="E164" i="3"/>
  <c r="E317" i="3"/>
  <c r="E350" i="3"/>
  <c r="E424" i="3"/>
  <c r="E546" i="3"/>
  <c r="E53" i="3"/>
  <c r="E501" i="3"/>
  <c r="E282" i="3"/>
  <c r="E508" i="3"/>
  <c r="O6" i="3"/>
  <c r="E569" i="3"/>
  <c r="E337" i="3"/>
  <c r="E97" i="3"/>
  <c r="E358" i="3"/>
  <c r="AR6" i="3"/>
  <c r="E506" i="3"/>
  <c r="E407" i="3"/>
  <c r="E380" i="3"/>
  <c r="E298" i="3"/>
  <c r="E130" i="3"/>
  <c r="E261" i="3"/>
  <c r="E565" i="3"/>
  <c r="E260" i="3"/>
  <c r="E503" i="3"/>
  <c r="E221" i="3"/>
  <c r="E61" i="3"/>
  <c r="E301" i="3"/>
  <c r="E402" i="3"/>
  <c r="E518" i="3"/>
  <c r="E124" i="3"/>
  <c r="AA6" i="3"/>
  <c r="E336" i="3"/>
  <c r="E366" i="3"/>
  <c r="E388" i="3"/>
  <c r="E396" i="3"/>
  <c r="E390" i="3"/>
  <c r="E561" i="3"/>
  <c r="E231" i="3"/>
  <c r="E114" i="3"/>
  <c r="E213" i="3"/>
  <c r="E180" i="3"/>
  <c r="E245" i="3"/>
  <c r="E293" i="3"/>
  <c r="E256" i="3"/>
  <c r="E92" i="3"/>
  <c r="E175" i="3"/>
  <c r="E553" i="3"/>
  <c r="E305" i="3"/>
  <c r="E328" i="3"/>
  <c r="E516" i="3"/>
  <c r="E410" i="3"/>
  <c r="E285" i="3"/>
  <c r="E151" i="3"/>
  <c r="E533" i="3"/>
  <c r="E523" i="3"/>
  <c r="V6" i="3"/>
  <c r="E439" i="3"/>
  <c r="E321" i="3"/>
  <c r="E230" i="3"/>
  <c r="E185" i="3"/>
  <c r="E304" i="3"/>
  <c r="E395" i="3"/>
  <c r="E361" i="3"/>
  <c r="E302" i="3"/>
  <c r="E290" i="3"/>
  <c r="E134" i="3"/>
  <c r="E303" i="3"/>
  <c r="E578" i="3"/>
  <c r="E495" i="3"/>
  <c r="E280" i="3"/>
  <c r="E583" i="3"/>
  <c r="E319" i="3"/>
  <c r="E343" i="3"/>
  <c r="E426" i="3"/>
  <c r="E239" i="3"/>
  <c r="E555" i="3"/>
  <c r="E359" i="3"/>
  <c r="E229" i="3"/>
  <c r="S6" i="3"/>
  <c r="E551" i="3"/>
  <c r="E538" i="3"/>
  <c r="E338" i="3"/>
  <c r="E294" i="3"/>
  <c r="E216" i="3"/>
  <c r="E237" i="3"/>
  <c r="E415" i="3"/>
  <c r="E183" i="3"/>
  <c r="E17" i="3"/>
  <c r="E117" i="3"/>
  <c r="E91" i="3"/>
  <c r="E159" i="3"/>
  <c r="E382" i="3"/>
  <c r="E586" i="3"/>
  <c r="E353" i="3"/>
  <c r="E347" i="3"/>
  <c r="E547" i="3"/>
  <c r="E29" i="3"/>
  <c r="E153" i="3"/>
  <c r="N6" i="3"/>
  <c r="E574" i="3"/>
  <c r="E143" i="3"/>
  <c r="E559" i="3"/>
  <c r="E418" i="3"/>
  <c r="E320" i="3"/>
  <c r="E169" i="3"/>
  <c r="E528" i="3"/>
  <c r="E550" i="3"/>
  <c r="E254" i="3"/>
  <c r="AN6" i="3"/>
  <c r="E399" i="3"/>
  <c r="B20" i="31"/>
  <c r="B21" i="31" s="1"/>
  <c r="J7" i="36"/>
  <c r="C77" i="9"/>
  <c r="C74" i="9" s="1"/>
  <c r="C28" i="90"/>
  <c r="F66" i="71"/>
  <c r="Q67" i="71"/>
  <c r="C40" i="71"/>
  <c r="D39" i="71"/>
  <c r="AZ97" i="3"/>
  <c r="AZ95" i="3"/>
  <c r="AZ20" i="3"/>
  <c r="T56" i="71"/>
  <c r="D56" i="71"/>
  <c r="AZ190" i="3"/>
  <c r="AZ66" i="3"/>
  <c r="AZ279" i="3"/>
  <c r="AZ265" i="3"/>
  <c r="AZ368" i="3"/>
  <c r="AZ255" i="3"/>
  <c r="AZ240" i="3"/>
  <c r="S12" i="35"/>
  <c r="AA12" i="35"/>
  <c r="AZ473" i="3"/>
  <c r="AB12" i="36"/>
  <c r="U12" i="36"/>
  <c r="AC24" i="36"/>
  <c r="W24" i="36"/>
  <c r="C18" i="71"/>
  <c r="D19" i="71"/>
  <c r="C30" i="69"/>
  <c r="C28" i="91"/>
  <c r="D35" i="71"/>
  <c r="C36" i="71"/>
  <c r="AZ18" i="3"/>
  <c r="O66" i="71"/>
  <c r="D66" i="71"/>
  <c r="O65" i="71"/>
  <c r="AZ217" i="3"/>
  <c r="AZ122" i="3"/>
  <c r="AZ264" i="3"/>
  <c r="AZ238" i="3"/>
  <c r="AZ287" i="3"/>
  <c r="S12" i="36"/>
  <c r="AA12" i="36"/>
  <c r="U39" i="40"/>
  <c r="AB39" i="40"/>
  <c r="AA25" i="37"/>
  <c r="S25" i="37"/>
  <c r="D59" i="71"/>
  <c r="C60" i="71"/>
  <c r="AZ406" i="3"/>
  <c r="AC12" i="36"/>
  <c r="W12" i="36"/>
  <c r="AC39" i="40"/>
  <c r="W39" i="40"/>
  <c r="U25" i="37"/>
  <c r="AB25" i="37"/>
  <c r="AC26" i="37"/>
  <c r="W26" i="37"/>
  <c r="C48" i="69"/>
  <c r="D79" i="71"/>
  <c r="C78" i="71"/>
  <c r="D78" i="71" s="1"/>
  <c r="D27" i="71"/>
  <c r="C26" i="71"/>
  <c r="D26" i="71" s="1"/>
  <c r="AZ102" i="3"/>
  <c r="AZ73" i="3"/>
  <c r="AZ29" i="3"/>
  <c r="AZ79" i="3"/>
  <c r="AZ134" i="3"/>
  <c r="AZ250" i="3"/>
  <c r="AC38" i="40"/>
  <c r="W38" i="40"/>
  <c r="AB9" i="33"/>
  <c r="U9" i="33"/>
  <c r="AB24" i="36"/>
  <c r="U24" i="36"/>
  <c r="AA26" i="37"/>
  <c r="S26" i="37"/>
  <c r="F27" i="69"/>
  <c r="J53" i="67"/>
  <c r="F1" i="67" s="1"/>
  <c r="J57" i="67"/>
  <c r="J55" i="67" s="1"/>
  <c r="J58" i="67" s="1"/>
  <c r="Q50" i="67" s="1"/>
  <c r="L56" i="67"/>
  <c r="I54" i="67"/>
  <c r="L58" i="67"/>
  <c r="Q73" i="67" s="1"/>
  <c r="K90" i="43"/>
  <c r="M90" i="43"/>
  <c r="N90" i="43" s="1"/>
  <c r="U23" i="40"/>
  <c r="I88" i="81"/>
  <c r="J85" i="81"/>
  <c r="J88" i="81" s="1"/>
  <c r="H88" i="81" s="1"/>
  <c r="C52" i="86"/>
  <c r="D52" i="86" s="1"/>
  <c r="E52" i="86" s="1"/>
  <c r="F52" i="86" s="1"/>
  <c r="G52" i="86" s="1"/>
  <c r="H52" i="86" s="1"/>
  <c r="I52" i="86" s="1"/>
  <c r="J52" i="86" s="1"/>
  <c r="K52" i="86" s="1"/>
  <c r="L52" i="86" s="1"/>
  <c r="M52" i="86" s="1"/>
  <c r="N52" i="86" s="1"/>
  <c r="O52" i="86" s="1"/>
  <c r="I7" i="86"/>
  <c r="G7" i="86"/>
  <c r="E7" i="86"/>
  <c r="AZ417" i="3"/>
  <c r="AZ5" i="3" s="1"/>
  <c r="AB12" i="21"/>
  <c r="U12" i="21"/>
  <c r="AA23" i="36"/>
  <c r="S23" i="36"/>
  <c r="K88" i="43"/>
  <c r="M88" i="43"/>
  <c r="N88" i="43" s="1"/>
  <c r="D20" i="53"/>
  <c r="B40" i="72" s="1"/>
  <c r="M89" i="43"/>
  <c r="N89" i="43" s="1"/>
  <c r="K89"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30" i="3"/>
  <c r="E125" i="3"/>
  <c r="C30" i="68"/>
  <c r="F35" i="89"/>
  <c r="M21" i="89" s="1"/>
  <c r="F35" i="90"/>
  <c r="E272" i="3"/>
  <c r="E432" i="3"/>
  <c r="BA5" i="3"/>
  <c r="B66" i="71"/>
  <c r="N67" i="71"/>
  <c r="E23" i="71"/>
  <c r="E22" i="71" s="1"/>
  <c r="E21" i="71" s="1"/>
  <c r="E20" i="71" s="1"/>
  <c r="V24" i="71"/>
  <c r="T64" i="71"/>
  <c r="D64" i="71"/>
  <c r="AC23" i="36"/>
  <c r="W23" i="36"/>
  <c r="AC25" i="37"/>
  <c r="W25" i="37"/>
  <c r="W44" i="39"/>
  <c r="AC44" i="39"/>
  <c r="AA44" i="39"/>
  <c r="S44" i="39"/>
  <c r="AA34" i="35"/>
  <c r="S34" i="35"/>
  <c r="C28" i="89"/>
  <c r="M83" i="43"/>
  <c r="N83" i="43" s="1"/>
  <c r="K83" i="43"/>
  <c r="G16" i="1"/>
  <c r="F10" i="39" s="1"/>
  <c r="S10" i="39" s="1"/>
  <c r="AZ421" i="3"/>
  <c r="G9" i="1"/>
  <c r="AA9" i="36"/>
  <c r="S9" i="36"/>
  <c r="AB44" i="39"/>
  <c r="U44" i="39"/>
  <c r="AC34" i="35"/>
  <c r="W34" i="35"/>
  <c r="M87" i="43"/>
  <c r="N87" i="43" s="1"/>
  <c r="K87" i="43"/>
  <c r="T44" i="71"/>
  <c r="D44" i="71"/>
  <c r="F15" i="71"/>
  <c r="F14" i="71" s="1"/>
  <c r="F13" i="71" s="1"/>
  <c r="F12" i="71" s="1"/>
  <c r="F11" i="71" s="1"/>
  <c r="F10" i="71" s="1"/>
  <c r="F9" i="71" s="1"/>
  <c r="F8" i="71" s="1"/>
  <c r="F7" i="71" s="1"/>
  <c r="F6" i="71" s="1"/>
  <c r="F5" i="71" s="1"/>
  <c r="M23" i="43"/>
  <c r="K84" i="43"/>
  <c r="M84" i="43"/>
  <c r="N84" i="43" s="1"/>
  <c r="K86" i="43"/>
  <c r="M86" i="43"/>
  <c r="N86" i="43" s="1"/>
  <c r="AF6" i="1"/>
  <c r="F41" i="89"/>
  <c r="M27" i="89" s="1"/>
  <c r="B91" i="81"/>
  <c r="B19" i="71"/>
  <c r="B18" i="71" s="1"/>
  <c r="B17" i="71" s="1"/>
  <c r="B16" i="71" s="1"/>
  <c r="S20" i="71"/>
  <c r="T52" i="71"/>
  <c r="D52" i="71"/>
  <c r="AB9" i="34"/>
  <c r="U9" i="34"/>
  <c r="U12" i="33"/>
  <c r="AB12" i="33"/>
  <c r="M11" i="91"/>
  <c r="J10" i="91" s="1"/>
  <c r="F11" i="91"/>
  <c r="L28" i="1"/>
  <c r="N28" i="1" s="1"/>
  <c r="D41" i="43"/>
  <c r="H41" i="43" s="1"/>
  <c r="Q71" i="83"/>
  <c r="F66" i="83"/>
  <c r="F51" i="83"/>
  <c r="M7" i="83"/>
  <c r="F50" i="83"/>
  <c r="Q71" i="89"/>
  <c r="C18" i="89"/>
  <c r="C15" i="89"/>
  <c r="C19" i="89"/>
  <c r="C20" i="89" s="1"/>
  <c r="C26" i="89" s="1"/>
  <c r="J53" i="89"/>
  <c r="L60" i="89"/>
  <c r="L57" i="89"/>
  <c r="J57" i="89"/>
  <c r="J55" i="89" s="1"/>
  <c r="J58" i="89" s="1"/>
  <c r="Q50" i="89" s="1"/>
  <c r="L56" i="89"/>
  <c r="I54" i="89"/>
  <c r="F66" i="89"/>
  <c r="F65" i="89"/>
  <c r="C27" i="89"/>
  <c r="F68" i="89"/>
  <c r="F51" i="89"/>
  <c r="C49" i="89" s="1"/>
  <c r="C61" i="89" s="1"/>
  <c r="L59" i="89"/>
  <c r="N59" i="89"/>
  <c r="L58" i="89"/>
  <c r="M59" i="89"/>
  <c r="F64" i="89"/>
  <c r="Q71" i="90"/>
  <c r="F68" i="90"/>
  <c r="J57" i="90"/>
  <c r="J55" i="90" s="1"/>
  <c r="J58" i="90" s="1"/>
  <c r="Q50" i="90" s="1"/>
  <c r="L57" i="90"/>
  <c r="L60" i="90"/>
  <c r="L56" i="90"/>
  <c r="I54" i="90"/>
  <c r="J53" i="90"/>
  <c r="C6" i="90"/>
  <c r="F51" i="90"/>
  <c r="C49" i="90" s="1"/>
  <c r="C61" i="90" s="1"/>
  <c r="F65" i="90"/>
  <c r="M11" i="90"/>
  <c r="J10" i="90" s="1"/>
  <c r="F11" i="90"/>
  <c r="M11" i="89"/>
  <c r="F11" i="89"/>
  <c r="AM6" i="3"/>
  <c r="E126" i="3"/>
  <c r="E403" i="3"/>
  <c r="E548" i="3"/>
  <c r="E496" i="3"/>
  <c r="E291" i="3"/>
  <c r="E71" i="3"/>
  <c r="E367" i="3"/>
  <c r="E32" i="3"/>
  <c r="E330" i="3"/>
  <c r="E128" i="3"/>
  <c r="E526" i="3"/>
  <c r="E217" i="3"/>
  <c r="E480" i="3"/>
  <c r="E334" i="3"/>
  <c r="E295" i="3"/>
  <c r="E121" i="3"/>
  <c r="E404" i="3"/>
  <c r="E581" i="3"/>
  <c r="E443" i="3"/>
  <c r="E576" i="3"/>
  <c r="E274" i="3"/>
  <c r="E344" i="3"/>
  <c r="E262" i="3"/>
  <c r="E30" i="3"/>
  <c r="E316" i="3"/>
  <c r="E166" i="3"/>
  <c r="E88" i="3"/>
  <c r="E444" i="3"/>
  <c r="E558" i="3"/>
  <c r="P6" i="3"/>
  <c r="I6" i="3"/>
  <c r="E55" i="3"/>
  <c r="Q6" i="3"/>
  <c r="E156" i="3"/>
  <c r="C11" i="40"/>
  <c r="O7" i="1"/>
  <c r="P7" i="1" s="1"/>
  <c r="AC36" i="40"/>
  <c r="AA36" i="40"/>
  <c r="S36" i="40"/>
  <c r="AC23" i="40"/>
  <c r="W23" i="40"/>
  <c r="AA23" i="40"/>
  <c r="S23" i="40"/>
  <c r="AA17" i="40"/>
  <c r="S17" i="40"/>
  <c r="U17" i="40"/>
  <c r="AB17" i="40"/>
  <c r="AC17" i="40"/>
  <c r="C28" i="83"/>
  <c r="C24" i="12"/>
  <c r="F60" i="83"/>
  <c r="M11" i="83"/>
  <c r="J10" i="83" s="1"/>
  <c r="F11" i="83"/>
  <c r="P6" i="1"/>
  <c r="C13" i="12" s="1"/>
  <c r="E441" i="3"/>
  <c r="E44" i="3"/>
  <c r="E384" i="3"/>
  <c r="E331" i="3"/>
  <c r="E210" i="3"/>
  <c r="E186" i="3"/>
  <c r="E162" i="3"/>
  <c r="E27" i="3"/>
  <c r="E447" i="3"/>
  <c r="E476" i="3"/>
  <c r="AS6" i="3"/>
  <c r="E505" i="3"/>
  <c r="E477" i="3"/>
  <c r="E414" i="3"/>
  <c r="AG6" i="3"/>
  <c r="E236" i="3"/>
  <c r="E394" i="3"/>
  <c r="E73" i="3"/>
  <c r="AE6" i="3"/>
  <c r="E437" i="3"/>
  <c r="E120" i="3"/>
  <c r="E238" i="3"/>
  <c r="E109" i="3"/>
  <c r="E572" i="3"/>
  <c r="E377" i="3"/>
  <c r="E273" i="3"/>
  <c r="E211" i="3"/>
  <c r="E182" i="3"/>
  <c r="E70" i="3"/>
  <c r="E28" i="3"/>
  <c r="E489" i="3"/>
  <c r="E531" i="3"/>
  <c r="E557" i="3"/>
  <c r="E345" i="3"/>
  <c r="E400" i="3"/>
  <c r="E448" i="3"/>
  <c r="E252" i="3"/>
  <c r="E580" i="3"/>
  <c r="E203" i="3"/>
  <c r="E429" i="3"/>
  <c r="E481" i="3"/>
  <c r="E177" i="3"/>
  <c r="E434"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6" i="3"/>
  <c r="E148" i="3"/>
  <c r="E212" i="3"/>
  <c r="E286" i="3"/>
  <c r="E575" i="3"/>
  <c r="E499" i="3"/>
  <c r="E502" i="3"/>
  <c r="E466" i="3"/>
  <c r="E541" i="3"/>
  <c r="E449" i="3"/>
  <c r="I3" i="6"/>
  <c r="E554" i="3"/>
  <c r="E539" i="3"/>
  <c r="E199" i="3"/>
  <c r="R6" i="3"/>
  <c r="E442" i="3"/>
  <c r="E430" i="3"/>
  <c r="E255" i="3"/>
  <c r="AP6" i="3"/>
  <c r="E517"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491" i="3"/>
  <c r="E37" i="3"/>
  <c r="E192" i="3"/>
  <c r="E363" i="3"/>
  <c r="E76" i="3"/>
  <c r="E425" i="3"/>
  <c r="E103" i="3"/>
  <c r="E200" i="3"/>
  <c r="E249" i="3"/>
  <c r="E371" i="3"/>
  <c r="E492" i="3"/>
  <c r="E84" i="3"/>
  <c r="E33" i="3"/>
  <c r="E184" i="3"/>
  <c r="E355" i="3"/>
  <c r="E68" i="3"/>
  <c r="E81" i="3"/>
  <c r="E158" i="3"/>
  <c r="E222" i="3"/>
  <c r="E309" i="3"/>
  <c r="E22" i="3"/>
  <c r="E389" i="3"/>
  <c r="E142" i="3"/>
  <c r="E310" i="3"/>
  <c r="E144" i="3"/>
  <c r="E63" i="3"/>
  <c r="E308" i="3"/>
  <c r="E417" i="3"/>
  <c r="E95" i="3"/>
  <c r="E258" i="3"/>
  <c r="E349" i="3"/>
  <c r="E59" i="3"/>
  <c r="E467" i="3"/>
  <c r="E160" i="3"/>
  <c r="E220" i="3"/>
  <c r="E235" i="3"/>
  <c r="E383" i="3"/>
  <c r="E522" i="3"/>
  <c r="E86" i="3"/>
  <c r="E49" i="3"/>
  <c r="E232" i="3"/>
  <c r="E370" i="3"/>
  <c r="E102" i="3"/>
  <c r="E113" i="3"/>
  <c r="E179" i="3"/>
  <c r="E283" i="3"/>
  <c r="E326" i="3"/>
  <c r="E82" i="3"/>
  <c r="E152" i="3"/>
  <c r="E409" i="3"/>
  <c r="E267" i="3"/>
  <c r="E23" i="3"/>
  <c r="E233" i="3"/>
  <c r="E154" i="3"/>
  <c r="E373" i="3"/>
  <c r="E479" i="3"/>
  <c r="E435" i="3"/>
  <c r="E56" i="3"/>
  <c r="E132" i="3"/>
  <c r="E292" i="3"/>
  <c r="E544" i="3"/>
  <c r="E484" i="3"/>
  <c r="E46" i="3"/>
  <c r="E174" i="3"/>
  <c r="E275" i="3"/>
  <c r="E324" i="3"/>
  <c r="E342" i="3"/>
  <c r="E35" i="3"/>
  <c r="E34" i="3"/>
  <c r="E206" i="3"/>
  <c r="E251" i="3"/>
  <c r="AF6" i="3"/>
  <c r="E80" i="3"/>
  <c r="E118" i="3"/>
  <c r="E287" i="3"/>
  <c r="E323" i="3"/>
  <c r="E513" i="3"/>
  <c r="E83" i="3"/>
  <c r="E241" i="3"/>
  <c r="E64" i="3"/>
  <c r="E300" i="3"/>
  <c r="E67" i="3"/>
  <c r="E381" i="3"/>
  <c r="E264" i="3"/>
  <c r="E21" i="3"/>
  <c r="E59" i="40"/>
  <c r="K16" i="1"/>
  <c r="D18" i="53"/>
  <c r="B35" i="72" s="1"/>
  <c r="F7" i="36"/>
  <c r="AA7" i="36" s="1"/>
  <c r="R36" i="36" s="1"/>
  <c r="H7" i="36"/>
  <c r="C28" i="67"/>
  <c r="J7" i="37"/>
  <c r="W7" i="37" s="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H10" i="39"/>
  <c r="U10" i="39" s="1"/>
  <c r="C7" i="43"/>
  <c r="C5" i="43" s="1"/>
  <c r="D10" i="52"/>
  <c r="D125" i="9"/>
  <c r="D11" i="52" s="1"/>
  <c r="B7" i="74"/>
  <c r="C7" i="74" s="1"/>
  <c r="F67" i="39"/>
  <c r="F59" i="67"/>
  <c r="H7" i="37"/>
  <c r="AB7" i="37" s="1"/>
  <c r="T42" i="37" s="1"/>
  <c r="G42" i="37" s="1"/>
  <c r="B40" i="1"/>
  <c r="F24" i="91" s="1"/>
  <c r="H7" i="33"/>
  <c r="J7" i="33"/>
  <c r="D65" i="40"/>
  <c r="E63" i="40"/>
  <c r="F48" i="35"/>
  <c r="S7" i="36"/>
  <c r="AB7" i="36"/>
  <c r="T36" i="36" s="1"/>
  <c r="G36" i="36" s="1"/>
  <c r="U7" i="36"/>
  <c r="F7" i="33"/>
  <c r="E58" i="21"/>
  <c r="AC7" i="36"/>
  <c r="V36" i="36" s="1"/>
  <c r="I36" i="36" s="1"/>
  <c r="W7" i="36"/>
  <c r="F7" i="37"/>
  <c r="M17" i="67"/>
  <c r="M17" i="15"/>
  <c r="F59" i="15"/>
  <c r="P28" i="43"/>
  <c r="B66" i="40" s="1"/>
  <c r="P25" i="43"/>
  <c r="C49" i="67"/>
  <c r="P29" i="43"/>
  <c r="P27" i="43"/>
  <c r="B70" i="39" s="1"/>
  <c r="C32" i="67"/>
  <c r="Q60" i="67"/>
  <c r="M11" i="67"/>
  <c r="J10" i="67" s="1"/>
  <c r="J5" i="67" s="1"/>
  <c r="F11" i="15"/>
  <c r="M11" i="15"/>
  <c r="F11" i="67"/>
  <c r="F1" i="15"/>
  <c r="Q52" i="15"/>
  <c r="J18" i="67"/>
  <c r="Q60" i="15"/>
  <c r="Q73" i="15"/>
  <c r="Q61" i="67"/>
  <c r="Q74" i="67"/>
  <c r="Q74" i="15"/>
  <c r="Q61" i="15"/>
  <c r="AE11" i="1"/>
  <c r="AE9" i="1"/>
  <c r="F27" i="68"/>
  <c r="AE12" i="1"/>
  <c r="AE10" i="1"/>
  <c r="M24" i="83"/>
  <c r="F40" i="83"/>
  <c r="C14" i="90"/>
  <c r="F38" i="91"/>
  <c r="M8" i="91"/>
  <c r="F9" i="91"/>
  <c r="M22" i="83"/>
  <c r="M24" i="91"/>
  <c r="F26" i="90"/>
  <c r="F41" i="67"/>
  <c r="M6" i="91"/>
  <c r="M22" i="91"/>
  <c r="L48" i="83"/>
  <c r="F40" i="91"/>
  <c r="F16" i="91"/>
  <c r="M29" i="83"/>
  <c r="F43" i="83"/>
  <c r="L47" i="91"/>
  <c r="F13" i="90"/>
  <c r="F8" i="91"/>
  <c r="M26" i="91"/>
  <c r="F9" i="83"/>
  <c r="M23" i="90"/>
  <c r="F16" i="90"/>
  <c r="L48" i="91"/>
  <c r="F7" i="91"/>
  <c r="F38" i="90"/>
  <c r="M9" i="91"/>
  <c r="F16" i="83"/>
  <c r="F36" i="83"/>
  <c r="M29" i="91"/>
  <c r="F36" i="90"/>
  <c r="M26" i="83"/>
  <c r="C16" i="89"/>
  <c r="L47" i="83"/>
  <c r="C16" i="15"/>
  <c r="M23" i="83"/>
  <c r="M22" i="90"/>
  <c r="M23" i="91"/>
  <c r="F6" i="91"/>
  <c r="F26" i="83"/>
  <c r="M28" i="83"/>
  <c r="F36" i="91"/>
  <c r="F13" i="91"/>
  <c r="F42" i="91"/>
  <c r="M8" i="90"/>
  <c r="M28" i="91"/>
  <c r="M8" i="83"/>
  <c r="F43" i="91"/>
  <c r="C76" i="91"/>
  <c r="F37" i="91"/>
  <c r="M27" i="90"/>
  <c r="L47" i="90"/>
  <c r="M28" i="90"/>
  <c r="F37" i="83"/>
  <c r="AE6" i="1"/>
  <c r="F26" i="91"/>
  <c r="J15" i="91"/>
  <c r="Q52" i="67" l="1"/>
  <c r="F65" i="83"/>
  <c r="L59" i="83"/>
  <c r="L58" i="83"/>
  <c r="Q73" i="83" s="1"/>
  <c r="M59" i="83"/>
  <c r="N59" i="83"/>
  <c r="L56" i="83"/>
  <c r="I54" i="83"/>
  <c r="J53" i="83"/>
  <c r="F1" i="83" s="1"/>
  <c r="J57" i="83"/>
  <c r="J55" i="83" s="1"/>
  <c r="J58" i="83" s="1"/>
  <c r="Q50" i="83" s="1"/>
  <c r="L57" i="83"/>
  <c r="L60" i="83"/>
  <c r="Q66" i="83" s="1"/>
  <c r="F71" i="83"/>
  <c r="F68" i="83"/>
  <c r="F64" i="83"/>
  <c r="C27" i="83"/>
  <c r="J6" i="83"/>
  <c r="J19" i="83" s="1"/>
  <c r="J7" i="86"/>
  <c r="W7" i="86" s="1"/>
  <c r="T40" i="71"/>
  <c r="D40" i="71"/>
  <c r="T60" i="71"/>
  <c r="D60" i="71"/>
  <c r="T36" i="71"/>
  <c r="D36" i="71"/>
  <c r="Q66" i="71"/>
  <c r="Q65" i="71"/>
  <c r="C17" i="71"/>
  <c r="D18" i="71"/>
  <c r="N59" i="90"/>
  <c r="M59" i="90"/>
  <c r="L58" i="90"/>
  <c r="Q73" i="90" s="1"/>
  <c r="L59" i="90"/>
  <c r="C18" i="90"/>
  <c r="C15" i="90"/>
  <c r="C19" i="90"/>
  <c r="C20" i="90" s="1"/>
  <c r="C26" i="90" s="1"/>
  <c r="F66" i="90"/>
  <c r="F68" i="91"/>
  <c r="C27" i="90"/>
  <c r="C6" i="91"/>
  <c r="F64" i="91"/>
  <c r="N59" i="91"/>
  <c r="L58" i="91"/>
  <c r="M59" i="91"/>
  <c r="L59" i="91"/>
  <c r="F71" i="91"/>
  <c r="F51" i="91"/>
  <c r="L57" i="91"/>
  <c r="L60" i="91"/>
  <c r="L56" i="91"/>
  <c r="J57" i="91"/>
  <c r="J55" i="91" s="1"/>
  <c r="J58" i="91" s="1"/>
  <c r="Q50" i="91" s="1"/>
  <c r="I54" i="91"/>
  <c r="J53" i="91"/>
  <c r="F50" i="91"/>
  <c r="M7" i="91"/>
  <c r="J6" i="91" s="1"/>
  <c r="J5" i="91" s="1"/>
  <c r="J26" i="91" s="1"/>
  <c r="F65" i="91"/>
  <c r="C27" i="91"/>
  <c r="F66" i="91"/>
  <c r="Q71" i="91"/>
  <c r="J6" i="90"/>
  <c r="J5" i="90" s="1"/>
  <c r="J26" i="90" s="1"/>
  <c r="F64" i="90"/>
  <c r="AY6" i="3"/>
  <c r="E3" i="6"/>
  <c r="D87" i="43"/>
  <c r="J87" i="43"/>
  <c r="E19" i="71"/>
  <c r="E18" i="71" s="1"/>
  <c r="E17" i="71" s="1"/>
  <c r="E16" i="71" s="1"/>
  <c r="V20" i="71"/>
  <c r="D89" i="43"/>
  <c r="J89" i="43"/>
  <c r="D88" i="43"/>
  <c r="J88" i="43"/>
  <c r="AC7" i="86"/>
  <c r="V42" i="86" s="1"/>
  <c r="I42" i="86" s="1"/>
  <c r="J83" i="43"/>
  <c r="D83" i="43"/>
  <c r="AA10" i="39"/>
  <c r="J10" i="39"/>
  <c r="W10" i="39" s="1"/>
  <c r="AC6" i="3"/>
  <c r="D84" i="43"/>
  <c r="J84" i="43"/>
  <c r="N65" i="71"/>
  <c r="N66" i="71"/>
  <c r="F7" i="86"/>
  <c r="U6" i="1"/>
  <c r="F6" i="89"/>
  <c r="C6" i="89" s="1"/>
  <c r="C32" i="89" s="1"/>
  <c r="D90" i="43"/>
  <c r="J90" i="43"/>
  <c r="Z6" i="1"/>
  <c r="M6" i="89"/>
  <c r="J6" i="89" s="1"/>
  <c r="J18" i="89" s="1"/>
  <c r="D86" i="43"/>
  <c r="J86" i="43"/>
  <c r="H10" i="40"/>
  <c r="AB10" i="40" s="1"/>
  <c r="J10" i="40"/>
  <c r="AC10" i="40" s="1"/>
  <c r="F10" i="40"/>
  <c r="S10" i="40" s="1"/>
  <c r="B15" i="71"/>
  <c r="B14" i="71" s="1"/>
  <c r="B13" i="71" s="1"/>
  <c r="B12" i="71" s="1"/>
  <c r="S16" i="71"/>
  <c r="H7" i="86"/>
  <c r="C53" i="91"/>
  <c r="C24" i="91"/>
  <c r="Q57" i="83"/>
  <c r="C49" i="83"/>
  <c r="C61" i="83" s="1"/>
  <c r="D33" i="43"/>
  <c r="D1" i="43" s="1"/>
  <c r="L27" i="1"/>
  <c r="L26" i="1" s="1"/>
  <c r="C32" i="90"/>
  <c r="C33" i="90"/>
  <c r="Q73" i="89"/>
  <c r="Q60" i="89"/>
  <c r="Q66" i="90"/>
  <c r="Q57" i="90"/>
  <c r="F1" i="90"/>
  <c r="Q52" i="90"/>
  <c r="Q61" i="89"/>
  <c r="Q74" i="89"/>
  <c r="Q66" i="89"/>
  <c r="Q57" i="89"/>
  <c r="Q61" i="83"/>
  <c r="Q74" i="83"/>
  <c r="Q52" i="89"/>
  <c r="F1" i="89"/>
  <c r="F24" i="89"/>
  <c r="C24" i="89" s="1"/>
  <c r="F24" i="90"/>
  <c r="C53" i="90"/>
  <c r="C48" i="90" s="1"/>
  <c r="C10" i="90"/>
  <c r="C5" i="90" s="1"/>
  <c r="F69" i="89"/>
  <c r="C53" i="89"/>
  <c r="C48" i="89" s="1"/>
  <c r="AC7" i="37"/>
  <c r="V42" i="37" s="1"/>
  <c r="I42" i="37" s="1"/>
  <c r="G47" i="37" s="1"/>
  <c r="H47" i="37" s="1"/>
  <c r="N27" i="1"/>
  <c r="N26" i="1" s="1"/>
  <c r="H11" i="40"/>
  <c r="J11" i="40"/>
  <c r="F11" i="40"/>
  <c r="L36" i="43"/>
  <c r="L37" i="43" s="1"/>
  <c r="F24" i="83"/>
  <c r="C53" i="83"/>
  <c r="E65" i="39"/>
  <c r="AC7" i="34"/>
  <c r="V49" i="34" s="1"/>
  <c r="I49" i="34" s="1"/>
  <c r="U7" i="34"/>
  <c r="AA7" i="34"/>
  <c r="R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87" i="3"/>
  <c r="AY334" i="3"/>
  <c r="AY425" i="3"/>
  <c r="AY526" i="3"/>
  <c r="AY244" i="3"/>
  <c r="AY390" i="3"/>
  <c r="AY481" i="3"/>
  <c r="AY447" i="3"/>
  <c r="AY562" i="3"/>
  <c r="AY574" i="3"/>
  <c r="AY89" i="3"/>
  <c r="AY85" i="3"/>
  <c r="AY36" i="3"/>
  <c r="AY25" i="3"/>
  <c r="AY146" i="3"/>
  <c r="AY157" i="3"/>
  <c r="AY302" i="3"/>
  <c r="AY271" i="3"/>
  <c r="AY222" i="3"/>
  <c r="AY211" i="3"/>
  <c r="BS6" i="3"/>
  <c r="BI6" i="3"/>
  <c r="AY40" i="3"/>
  <c r="AY186" i="3"/>
  <c r="AY279" i="3"/>
  <c r="AY243" i="3"/>
  <c r="AY356" i="3"/>
  <c r="AY325" i="3"/>
  <c r="AY467" i="3"/>
  <c r="AY464" i="3"/>
  <c r="AY435" i="3"/>
  <c r="AY403" i="3"/>
  <c r="BN6" i="3"/>
  <c r="AY527" i="3"/>
  <c r="AY508" i="3"/>
  <c r="AY532" i="3"/>
  <c r="AY577" i="3"/>
  <c r="AY523" i="3"/>
  <c r="AY49" i="3"/>
  <c r="AY82" i="3"/>
  <c r="AY31" i="3"/>
  <c r="AY292" i="3"/>
  <c r="AY350" i="3"/>
  <c r="AY489" i="3"/>
  <c r="AY497" i="3"/>
  <c r="AY43" i="3"/>
  <c r="AY212" i="3"/>
  <c r="AY379" i="3"/>
  <c r="AY478" i="3"/>
  <c r="AY436" i="3"/>
  <c r="AY573" i="3"/>
  <c r="AY540" i="3"/>
  <c r="AY100" i="3"/>
  <c r="AY69" i="3"/>
  <c r="AY20" i="3"/>
  <c r="AY198" i="3"/>
  <c r="AY173" i="3"/>
  <c r="AY141" i="3"/>
  <c r="AY286" i="3"/>
  <c r="AY255" i="3"/>
  <c r="AY227" i="3"/>
  <c r="AY384" i="3"/>
  <c r="AY507" i="3"/>
  <c r="BB6" i="3"/>
  <c r="AY29" i="3"/>
  <c r="AY181" i="3"/>
  <c r="AY275" i="3"/>
  <c r="AY258" i="3"/>
  <c r="AY341" i="3"/>
  <c r="AY309" i="3"/>
  <c r="AY480" i="3"/>
  <c r="AY449" i="3"/>
  <c r="AY419" i="3"/>
  <c r="AY503" i="3"/>
  <c r="AY536" i="3"/>
  <c r="AY520" i="3"/>
  <c r="AY584" i="3"/>
  <c r="AY494" i="3"/>
  <c r="AY519" i="3"/>
  <c r="AY101" i="3"/>
  <c r="AY80" i="3"/>
  <c r="AY48" i="3"/>
  <c r="AY189" i="3"/>
  <c r="AY158" i="3"/>
  <c r="AY129" i="3"/>
  <c r="AY287" i="3"/>
  <c r="AY266" i="3"/>
  <c r="AY234" i="3"/>
  <c r="AY369" i="3"/>
  <c r="AY364" i="3"/>
  <c r="AY313" i="3"/>
  <c r="AY344" i="3"/>
  <c r="AY487" i="3"/>
  <c r="AY471" i="3"/>
  <c r="AY453" i="3"/>
  <c r="AY458" i="3"/>
  <c r="AY410" i="3"/>
  <c r="AY439" i="3"/>
  <c r="AY579" i="3"/>
  <c r="AY506" i="3"/>
  <c r="D3" i="6"/>
  <c r="AY524" i="3"/>
  <c r="AY509" i="3"/>
  <c r="AY542" i="3"/>
  <c r="AY531" i="3"/>
  <c r="AY578" i="3"/>
  <c r="AY94" i="3"/>
  <c r="AY63" i="3"/>
  <c r="AY35" i="3"/>
  <c r="AY192" i="3"/>
  <c r="AY167" i="3"/>
  <c r="AY135" i="3"/>
  <c r="AY280" i="3"/>
  <c r="AY249" i="3"/>
  <c r="AY221" i="3"/>
  <c r="AY378" i="3"/>
  <c r="AY331" i="3"/>
  <c r="AY346" i="3"/>
  <c r="AY466" i="3"/>
  <c r="AY456" i="3"/>
  <c r="AY405" i="3"/>
  <c r="AY558" i="3"/>
  <c r="AY512" i="3"/>
  <c r="BL6" i="3"/>
  <c r="AY86" i="3"/>
  <c r="AY55" i="3"/>
  <c r="AY27" i="3"/>
  <c r="AY184" i="3"/>
  <c r="AY159" i="3"/>
  <c r="AY128" i="3"/>
  <c r="AY273" i="3"/>
  <c r="AY241" i="3"/>
  <c r="AY213" i="3"/>
  <c r="AY391" i="3"/>
  <c r="AY323" i="3"/>
  <c r="AY338" i="3"/>
  <c r="AY459" i="3"/>
  <c r="AY448" i="3"/>
  <c r="AY550" i="3"/>
  <c r="BD6" i="3"/>
  <c r="AY504" i="3"/>
  <c r="AY586" i="3"/>
  <c r="AY205" i="3"/>
  <c r="AY142" i="3"/>
  <c r="AY235" i="3"/>
  <c r="AY218" i="3"/>
  <c r="AY321" i="3"/>
  <c r="AY336" i="3"/>
  <c r="AY461" i="3"/>
  <c r="AY450" i="3"/>
  <c r="AY399" i="3"/>
  <c r="AY17" i="3"/>
  <c r="AY537" i="3"/>
  <c r="AY530" i="3"/>
  <c r="AY110" i="3"/>
  <c r="AY47" i="3"/>
  <c r="AY140" i="3"/>
  <c r="AY120" i="3"/>
  <c r="AY216" i="3"/>
  <c r="AY383" i="3"/>
  <c r="AY482" i="3"/>
  <c r="AY440" i="3"/>
  <c r="AY528" i="3"/>
  <c r="AY576" i="3"/>
  <c r="AY22" i="3"/>
  <c r="AY195" i="3"/>
  <c r="AY288" i="3"/>
  <c r="AY272" i="3"/>
  <c r="AY339" i="3"/>
  <c r="AY322" i="3"/>
  <c r="AY413" i="3"/>
  <c r="AY15" i="3"/>
  <c r="AY64" i="3"/>
  <c r="AY21" i="3"/>
  <c r="AY113" i="3"/>
  <c r="AY267" i="3"/>
  <c r="AY361" i="3"/>
  <c r="AY337" i="3"/>
  <c r="AY479" i="3"/>
  <c r="AY476" i="3"/>
  <c r="AY402" i="3"/>
  <c r="AY415" i="3"/>
  <c r="AY522" i="3"/>
  <c r="AY515" i="3"/>
  <c r="BP6" i="3"/>
  <c r="AY493" i="3"/>
  <c r="AY19" i="3"/>
  <c r="AY172" i="3"/>
  <c r="AY265" i="3"/>
  <c r="AY248" i="3"/>
  <c r="AY315" i="3"/>
  <c r="AY485" i="3"/>
  <c r="AY500" i="3"/>
  <c r="AY547" i="3"/>
  <c r="AY71" i="3"/>
  <c r="AY54" i="3"/>
  <c r="AY143" i="3"/>
  <c r="AY293" i="3"/>
  <c r="AY386" i="3"/>
  <c r="AY351" i="3"/>
  <c r="AY443" i="3"/>
  <c r="AY400" i="3"/>
  <c r="BT6" i="3"/>
  <c r="D3" i="21"/>
  <c r="E6" i="6"/>
  <c r="D37" i="11"/>
  <c r="D14" i="12"/>
  <c r="M18" i="9"/>
  <c r="B118" i="9" s="1"/>
  <c r="D3" i="34"/>
  <c r="D19" i="11"/>
  <c r="C19" i="11" s="1"/>
  <c r="L18" i="9"/>
  <c r="C17" i="4"/>
  <c r="B4" i="52" s="1"/>
  <c r="B43" i="72" s="1"/>
  <c r="D3" i="33"/>
  <c r="D3" i="37"/>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J24" i="67"/>
  <c r="C53" i="67"/>
  <c r="C48" i="67" s="1"/>
  <c r="C10" i="67"/>
  <c r="C5" i="67" s="1"/>
  <c r="C38" i="67" s="1"/>
  <c r="C53" i="15"/>
  <c r="C48" i="15" s="1"/>
  <c r="C66" i="15" s="1"/>
  <c r="F25" i="12"/>
  <c r="F22" i="69"/>
  <c r="F41" i="69" s="1"/>
  <c r="F24" i="67"/>
  <c r="C24" i="67" s="1"/>
  <c r="F22" i="11"/>
  <c r="F22" i="68"/>
  <c r="F24" i="15"/>
  <c r="C24" i="15" s="1"/>
  <c r="C16" i="90"/>
  <c r="M27" i="83"/>
  <c r="F41" i="15"/>
  <c r="M6" i="15"/>
  <c r="M27" i="67"/>
  <c r="C16" i="91"/>
  <c r="F6" i="15"/>
  <c r="AE8" i="1"/>
  <c r="M27" i="91"/>
  <c r="C16" i="83"/>
  <c r="F41" i="90"/>
  <c r="M27" i="15"/>
  <c r="F41" i="83"/>
  <c r="J5" i="83" l="1"/>
  <c r="J24" i="83" s="1"/>
  <c r="J18" i="83"/>
  <c r="Q60" i="83"/>
  <c r="Q52" i="83"/>
  <c r="D17" i="71"/>
  <c r="C16" i="71"/>
  <c r="J26" i="83"/>
  <c r="J18" i="90"/>
  <c r="J19" i="89"/>
  <c r="Q60" i="90"/>
  <c r="C33" i="89"/>
  <c r="J24" i="91"/>
  <c r="C10" i="89"/>
  <c r="C5" i="89" s="1"/>
  <c r="C38" i="89" s="1"/>
  <c r="J6" i="15"/>
  <c r="C6" i="15"/>
  <c r="Q61" i="90"/>
  <c r="Q74" i="90"/>
  <c r="C32" i="91"/>
  <c r="C33" i="91"/>
  <c r="C10" i="91"/>
  <c r="C5" i="91" s="1"/>
  <c r="AA7" i="86"/>
  <c r="R42" i="86" s="1"/>
  <c r="S7" i="86"/>
  <c r="I53" i="34"/>
  <c r="J53" i="34" s="1"/>
  <c r="G54" i="34"/>
  <c r="H54" i="34"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6" i="3"/>
  <c r="AY67" i="3"/>
  <c r="AY123" i="3"/>
  <c r="AY252" i="3"/>
  <c r="AY428" i="3"/>
  <c r="AY106" i="3"/>
  <c r="AY245" i="3"/>
  <c r="AY342" i="3"/>
  <c r="AY452" i="3"/>
  <c r="AY513" i="3"/>
  <c r="AY553" i="3"/>
  <c r="AY77" i="3"/>
  <c r="AY60" i="3"/>
  <c r="AY206" i="3"/>
  <c r="AY149" i="3"/>
  <c r="AY299" i="3"/>
  <c r="AY263" i="3"/>
  <c r="AY392" i="3"/>
  <c r="AY357" i="3"/>
  <c r="BJ6" i="3"/>
  <c r="AY197" i="3"/>
  <c r="AY114" i="3"/>
  <c r="AY377" i="3"/>
  <c r="AY317" i="3"/>
  <c r="AY491" i="3"/>
  <c r="AY414" i="3"/>
  <c r="AY581" i="3"/>
  <c r="AY561" i="3"/>
  <c r="AY546" i="3"/>
  <c r="AY171" i="3"/>
  <c r="AY237" i="3"/>
  <c r="AY444" i="3"/>
  <c r="AY269" i="3"/>
  <c r="AY535" i="3"/>
  <c r="AY555" i="3"/>
  <c r="AY68" i="3"/>
  <c r="AY178" i="3"/>
  <c r="AY117" i="3"/>
  <c r="AY365" i="3"/>
  <c r="AY57" i="3"/>
  <c r="AY130" i="3"/>
  <c r="AY393" i="3"/>
  <c r="AY308" i="3"/>
  <c r="AY516" i="3"/>
  <c r="AY559" i="3"/>
  <c r="AY496" i="3"/>
  <c r="AY81" i="3"/>
  <c r="AY220" i="3"/>
  <c r="AY412" i="3"/>
  <c r="AY229" i="3"/>
  <c r="AY326" i="3"/>
  <c r="AY557" i="3"/>
  <c r="AY52" i="3"/>
  <c r="AY162" i="3"/>
  <c r="AY291" i="3"/>
  <c r="AY238" i="3"/>
  <c r="AY368" i="3"/>
  <c r="AY121" i="3"/>
  <c r="AY370" i="3"/>
  <c r="AY483" i="3"/>
  <c r="AY406" i="3"/>
  <c r="AY543" i="3"/>
  <c r="AY582" i="3"/>
  <c r="AY65" i="3"/>
  <c r="AY194" i="3"/>
  <c r="AY251" i="3"/>
  <c r="AY380" i="3"/>
  <c r="AY329" i="3"/>
  <c r="AY312" i="3"/>
  <c r="AY426" i="3"/>
  <c r="AY407" i="3"/>
  <c r="AY14" i="3"/>
  <c r="AY565" i="3"/>
  <c r="AY99" i="3"/>
  <c r="AY46" i="3"/>
  <c r="AY156" i="3"/>
  <c r="AY285" i="3"/>
  <c r="AY362" i="3"/>
  <c r="AY469" i="3"/>
  <c r="AY437" i="3"/>
  <c r="AY560" i="3"/>
  <c r="AY38" i="3"/>
  <c r="AY148" i="3"/>
  <c r="AY277" i="3"/>
  <c r="AY224" i="3"/>
  <c r="AY490" i="3"/>
  <c r="AY429" i="3"/>
  <c r="AY511" i="3"/>
  <c r="AY32" i="3"/>
  <c r="AY298" i="3"/>
  <c r="AY492" i="3"/>
  <c r="AY431" i="3"/>
  <c r="AY575" i="3"/>
  <c r="AY563" i="3"/>
  <c r="AY203" i="3"/>
  <c r="AY330" i="3"/>
  <c r="AY13" i="3"/>
  <c r="AY39" i="3"/>
  <c r="AY136" i="3"/>
  <c r="AY375" i="3"/>
  <c r="AY567" i="3"/>
  <c r="AY153" i="3"/>
  <c r="AY396" i="3"/>
  <c r="AY320" i="3"/>
  <c r="AY434" i="3"/>
  <c r="AY545" i="3"/>
  <c r="AY62" i="3"/>
  <c r="AY301" i="3"/>
  <c r="AY359" i="3"/>
  <c r="AY408" i="3"/>
  <c r="AY164" i="3"/>
  <c r="AY240" i="3"/>
  <c r="AY477" i="3"/>
  <c r="AY5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51" i="3"/>
  <c r="AY207" i="3"/>
  <c r="AY124" i="3"/>
  <c r="AY42" i="3"/>
  <c r="AY281" i="3"/>
  <c r="AY168" i="3"/>
  <c r="AY366" i="3"/>
  <c r="AY139" i="3"/>
  <c r="AY318" i="3"/>
  <c r="AY395" i="3"/>
  <c r="AY569" i="3"/>
  <c r="AY170" i="3"/>
  <c r="AY246" i="3"/>
  <c r="AY41" i="3"/>
  <c r="AY274" i="3"/>
  <c r="AY457" i="3"/>
  <c r="AY16" i="3"/>
  <c r="AY311" i="3"/>
  <c r="AY254" i="3"/>
  <c r="AY422" i="3"/>
  <c r="AY132" i="3"/>
  <c r="AY105" i="3"/>
  <c r="AY72" i="3"/>
  <c r="AY572" i="3"/>
  <c r="AY137" i="3"/>
  <c r="AY468" i="3"/>
  <c r="AY570" i="3"/>
  <c r="AY232" i="3"/>
  <c r="AY91" i="3"/>
  <c r="AY354" i="3"/>
  <c r="AY352" i="3"/>
  <c r="AY233" i="3"/>
  <c r="AY432" i="3"/>
  <c r="AY538" i="3"/>
  <c r="AY107" i="3"/>
  <c r="C49" i="91"/>
  <c r="C61" i="91" s="1"/>
  <c r="J10" i="89"/>
  <c r="J5" i="89" s="1"/>
  <c r="J24" i="89" s="1"/>
  <c r="F1" i="91"/>
  <c r="Q52" i="91"/>
  <c r="E83" i="43"/>
  <c r="B81" i="43" s="1"/>
  <c r="C28" i="43" s="1"/>
  <c r="I46" i="86"/>
  <c r="J46" i="86" s="1"/>
  <c r="Q57" i="91"/>
  <c r="Q66" i="91"/>
  <c r="Q73" i="91"/>
  <c r="Q60" i="91"/>
  <c r="W10" i="40"/>
  <c r="J19" i="90"/>
  <c r="AB7" i="86"/>
  <c r="T42" i="86" s="1"/>
  <c r="G42" i="86" s="1"/>
  <c r="U7" i="86"/>
  <c r="B11" i="71"/>
  <c r="B10" i="71" s="1"/>
  <c r="B9" i="71" s="1"/>
  <c r="B8" i="71" s="1"/>
  <c r="B7" i="71" s="1"/>
  <c r="B6" i="71" s="1"/>
  <c r="B5" i="71" s="1"/>
  <c r="S12" i="71"/>
  <c r="E15" i="71"/>
  <c r="E14" i="71" s="1"/>
  <c r="E13" i="71" s="1"/>
  <c r="E12" i="71" s="1"/>
  <c r="V16" i="71"/>
  <c r="B14" i="74"/>
  <c r="B1" i="74" s="1"/>
  <c r="C14" i="74"/>
  <c r="J19" i="91"/>
  <c r="J18" i="91"/>
  <c r="Q74" i="91"/>
  <c r="Q61" i="91"/>
  <c r="C38" i="91"/>
  <c r="C48" i="83"/>
  <c r="C66" i="83" s="1"/>
  <c r="J24" i="90"/>
  <c r="F69" i="90"/>
  <c r="J29" i="90"/>
  <c r="C23" i="89"/>
  <c r="C29" i="89" s="1"/>
  <c r="C36" i="89" s="1"/>
  <c r="C66" i="90"/>
  <c r="C60" i="90"/>
  <c r="C24" i="90"/>
  <c r="C23" i="90"/>
  <c r="C38" i="90"/>
  <c r="C66" i="89"/>
  <c r="C60" i="89"/>
  <c r="F69" i="83"/>
  <c r="J29" i="83"/>
  <c r="I46" i="37"/>
  <c r="J46" i="37" s="1"/>
  <c r="W11" i="40"/>
  <c r="AC11" i="40"/>
  <c r="AB11" i="40"/>
  <c r="U11" i="40"/>
  <c r="L29" i="1"/>
  <c r="N29" i="1" s="1"/>
  <c r="L32" i="1"/>
  <c r="L30" i="1"/>
  <c r="N30" i="1" s="1"/>
  <c r="AA11" i="40"/>
  <c r="S11" i="40"/>
  <c r="M26" i="1"/>
  <c r="M25" i="1" s="1"/>
  <c r="M31" i="1" s="1"/>
  <c r="N31" i="1" s="1"/>
  <c r="M36" i="43"/>
  <c r="N36" i="43"/>
  <c r="P36" i="43"/>
  <c r="Q36" i="43"/>
  <c r="O36" i="43"/>
  <c r="C24" i="8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C17" i="83"/>
  <c r="C14" i="67"/>
  <c r="C17" i="67"/>
  <c r="C17" i="91"/>
  <c r="C17" i="15"/>
  <c r="D16" i="71" l="1"/>
  <c r="U16" i="71" s="1"/>
  <c r="C15" i="71"/>
  <c r="T16" i="71"/>
  <c r="R43" i="86"/>
  <c r="E42" i="86"/>
  <c r="C48" i="91"/>
  <c r="H21" i="6"/>
  <c r="R21" i="6" s="1"/>
  <c r="R8" i="1" s="1"/>
  <c r="E11" i="71"/>
  <c r="E10" i="71" s="1"/>
  <c r="E9" i="71" s="1"/>
  <c r="E8" i="71" s="1"/>
  <c r="E7" i="71" s="1"/>
  <c r="E6" i="71" s="1"/>
  <c r="E5" i="71" s="1"/>
  <c r="V12" i="71"/>
  <c r="G46" i="86"/>
  <c r="H46" i="86" s="1"/>
  <c r="G47" i="86"/>
  <c r="H47" i="86" s="1"/>
  <c r="C32" i="15"/>
  <c r="C10" i="15"/>
  <c r="C5" i="15" s="1"/>
  <c r="C38" i="15" s="1"/>
  <c r="T15" i="43"/>
  <c r="V15" i="43" s="1"/>
  <c r="T7" i="43"/>
  <c r="V7" i="43" s="1"/>
  <c r="T10" i="43"/>
  <c r="V10" i="43" s="1"/>
  <c r="T2" i="43"/>
  <c r="V2" i="43" s="1"/>
  <c r="C37" i="43"/>
  <c r="C38" i="43"/>
  <c r="T13" i="43"/>
  <c r="V13" i="43" s="1"/>
  <c r="T16" i="43"/>
  <c r="V16" i="43" s="1"/>
  <c r="T6" i="43"/>
  <c r="V6" i="43" s="1"/>
  <c r="C41" i="43"/>
  <c r="T11" i="43"/>
  <c r="V11" i="43" s="1"/>
  <c r="T4" i="43"/>
  <c r="V4" i="43" s="1"/>
  <c r="T5" i="43"/>
  <c r="V5" i="43" s="1"/>
  <c r="T8" i="43"/>
  <c r="V8" i="43" s="1"/>
  <c r="T14" i="43"/>
  <c r="V14" i="43" s="1"/>
  <c r="C40" i="43"/>
  <c r="C39" i="43"/>
  <c r="T9" i="43"/>
  <c r="V9" i="43" s="1"/>
  <c r="C42" i="43"/>
  <c r="T12" i="43"/>
  <c r="V12" i="43" s="1"/>
  <c r="T3" i="43"/>
  <c r="V3" i="43" s="1"/>
  <c r="J18" i="15"/>
  <c r="J10" i="15"/>
  <c r="J5" i="15" s="1"/>
  <c r="J24" i="15" s="1"/>
  <c r="C60" i="83"/>
  <c r="C29" i="90"/>
  <c r="J14" i="90" s="1"/>
  <c r="C57" i="89"/>
  <c r="C64" i="89" s="1"/>
  <c r="Q49" i="89"/>
  <c r="J59" i="89"/>
  <c r="J60" i="89" s="1"/>
  <c r="L46" i="89" s="1"/>
  <c r="J14" i="89"/>
  <c r="J13" i="89" s="1"/>
  <c r="J23" i="89" s="1"/>
  <c r="C13" i="89"/>
  <c r="C75" i="89" s="1"/>
  <c r="C25" i="11"/>
  <c r="C22" i="11" s="1"/>
  <c r="C31" i="11" s="1"/>
  <c r="N32" i="1"/>
  <c r="M32" i="1" s="1"/>
  <c r="E7" i="70"/>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AC23" i="1" s="1"/>
  <c r="U8" i="1" s="1"/>
  <c r="C42" i="37"/>
  <c r="I48" i="35"/>
  <c r="C48" i="33"/>
  <c r="C49" i="33"/>
  <c r="H58" i="21"/>
  <c r="E47" i="37"/>
  <c r="F47" i="37" s="1"/>
  <c r="E46" i="37"/>
  <c r="F46" i="37" s="1"/>
  <c r="I47" i="37"/>
  <c r="J47" i="37" s="1"/>
  <c r="E53" i="33"/>
  <c r="F53" i="33" s="1"/>
  <c r="E52" i="33"/>
  <c r="F52" i="33" s="1"/>
  <c r="C33" i="15"/>
  <c r="C33" i="67"/>
  <c r="J19" i="67"/>
  <c r="C34" i="68"/>
  <c r="M21" i="91"/>
  <c r="C14" i="83"/>
  <c r="F35" i="91"/>
  <c r="F41" i="91"/>
  <c r="C14" i="91"/>
  <c r="C14" i="15"/>
  <c r="C14" i="71" l="1"/>
  <c r="D15" i="71"/>
  <c r="F69" i="91"/>
  <c r="J29" i="91"/>
  <c r="G41" i="43"/>
  <c r="I41" i="43" s="1"/>
  <c r="E41" i="43"/>
  <c r="E38" i="43"/>
  <c r="G38" i="43"/>
  <c r="I38" i="43" s="1"/>
  <c r="E46" i="86"/>
  <c r="F46" i="86" s="1"/>
  <c r="E47" i="86"/>
  <c r="F47" i="86" s="1"/>
  <c r="I47" i="86"/>
  <c r="J47" i="86" s="1"/>
  <c r="G39" i="43"/>
  <c r="I39" i="43" s="1"/>
  <c r="E39" i="43"/>
  <c r="G37" i="43"/>
  <c r="I37" i="43" s="1"/>
  <c r="E37" i="43"/>
  <c r="C42" i="86"/>
  <c r="C43" i="86"/>
  <c r="E40" i="43"/>
  <c r="G40" i="43"/>
  <c r="I40" i="43" s="1"/>
  <c r="E42" i="43"/>
  <c r="G42" i="43"/>
  <c r="I42" i="43" s="1"/>
  <c r="C60" i="91"/>
  <c r="C66" i="91"/>
  <c r="C15" i="91"/>
  <c r="C18" i="91"/>
  <c r="F63" i="91"/>
  <c r="C62" i="91" s="1"/>
  <c r="C34" i="91"/>
  <c r="C31" i="91" s="1"/>
  <c r="J20" i="91"/>
  <c r="J17" i="91" s="1"/>
  <c r="E2" i="70"/>
  <c r="J22" i="89"/>
  <c r="Q48" i="89"/>
  <c r="C36" i="90"/>
  <c r="J59" i="90"/>
  <c r="J60" i="90" s="1"/>
  <c r="Q48" i="90" s="1"/>
  <c r="Q49" i="90"/>
  <c r="C57" i="90"/>
  <c r="C64" i="90" s="1"/>
  <c r="C13" i="90"/>
  <c r="Q70" i="90" s="1"/>
  <c r="J22" i="90"/>
  <c r="J13" i="90"/>
  <c r="J23" i="90" s="1"/>
  <c r="C56" i="89"/>
  <c r="C65" i="89" s="1"/>
  <c r="C37" i="89"/>
  <c r="Q70" i="89"/>
  <c r="AC24" i="1"/>
  <c r="AD24" i="1" s="1"/>
  <c r="AD23" i="1"/>
  <c r="C18" i="12"/>
  <c r="C15" i="83"/>
  <c r="C18" i="83"/>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F6" i="83"/>
  <c r="D14" i="71" l="1"/>
  <c r="C13" i="71"/>
  <c r="C59" i="91"/>
  <c r="B3" i="86"/>
  <c r="B2" i="86"/>
  <c r="AD25" i="1"/>
  <c r="AC25" i="1" s="1"/>
  <c r="C19" i="91"/>
  <c r="C20" i="91" s="1"/>
  <c r="C26" i="91" s="1"/>
  <c r="B116" i="43"/>
  <c r="J26" i="43"/>
  <c r="N94" i="46"/>
  <c r="E26" i="43"/>
  <c r="N370" i="46"/>
  <c r="G26" i="43"/>
  <c r="H26" i="43"/>
  <c r="Z7" i="43"/>
  <c r="F26" i="43"/>
  <c r="C56" i="90"/>
  <c r="C65" i="90" s="1"/>
  <c r="L46" i="90"/>
  <c r="C37" i="90"/>
  <c r="C75" i="90"/>
  <c r="C6" i="83"/>
  <c r="C21" i="12"/>
  <c r="C22" i="12" s="1"/>
  <c r="C19" i="83"/>
  <c r="C20" i="83" s="1"/>
  <c r="C26" i="83"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12" i="71" l="1"/>
  <c r="D13" i="71"/>
  <c r="C23" i="91"/>
  <c r="C29" i="91" s="1"/>
  <c r="J59" i="91" s="1"/>
  <c r="J60" i="91"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83"/>
  <c r="C32" i="83"/>
  <c r="C10" i="83"/>
  <c r="C5" i="83" s="1"/>
  <c r="C38" i="83" s="1"/>
  <c r="C27" i="12"/>
  <c r="C25" i="12" s="1"/>
  <c r="C30" i="12"/>
  <c r="C28" i="12" s="1"/>
  <c r="C23" i="83"/>
  <c r="C29" i="83" s="1"/>
  <c r="Q49" i="83"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90"/>
  <c r="F35" i="83"/>
  <c r="F35" i="15"/>
  <c r="M21" i="67"/>
  <c r="M21" i="83"/>
  <c r="F35" i="67"/>
  <c r="M21" i="15"/>
  <c r="C11" i="71" l="1"/>
  <c r="T12" i="71"/>
  <c r="D12" i="71"/>
  <c r="U12" i="71" s="1"/>
  <c r="E48" i="21"/>
  <c r="C13" i="91"/>
  <c r="C56" i="91" s="1"/>
  <c r="C65" i="91" s="1"/>
  <c r="C57" i="91"/>
  <c r="C64" i="91" s="1"/>
  <c r="J14" i="91"/>
  <c r="J13" i="91" s="1"/>
  <c r="J23" i="91" s="1"/>
  <c r="Q49" i="91"/>
  <c r="C36" i="91"/>
  <c r="Q48" i="91"/>
  <c r="L46" i="91"/>
  <c r="C33" i="43"/>
  <c r="E33" i="43" s="1"/>
  <c r="C30" i="43" s="1"/>
  <c r="C118" i="43"/>
  <c r="D116" i="43" s="1"/>
  <c r="J20" i="90"/>
  <c r="J17" i="90" s="1"/>
  <c r="J16" i="90" s="1"/>
  <c r="J25" i="90" s="1"/>
  <c r="F63" i="90"/>
  <c r="C62" i="90" s="1"/>
  <c r="C59" i="90" s="1"/>
  <c r="C58" i="90" s="1"/>
  <c r="C67" i="90" s="1"/>
  <c r="C68" i="90" s="1"/>
  <c r="C34" i="90"/>
  <c r="C31" i="90" s="1"/>
  <c r="C30" i="90" s="1"/>
  <c r="C39" i="90" s="1"/>
  <c r="J20" i="89"/>
  <c r="J17" i="89" s="1"/>
  <c r="J16" i="89" s="1"/>
  <c r="J25" i="89" s="1"/>
  <c r="J26" i="89" s="1"/>
  <c r="J29" i="89" s="1"/>
  <c r="F63" i="89"/>
  <c r="C62" i="89" s="1"/>
  <c r="C59" i="89" s="1"/>
  <c r="C58" i="89" s="1"/>
  <c r="C67" i="89" s="1"/>
  <c r="C68" i="89" s="1"/>
  <c r="C34" i="89"/>
  <c r="C31" i="89" s="1"/>
  <c r="C30" i="89" s="1"/>
  <c r="C39" i="89" s="1"/>
  <c r="C32" i="12"/>
  <c r="B2" i="12" s="1"/>
  <c r="B3" i="12" s="1"/>
  <c r="C36" i="83"/>
  <c r="J59" i="83"/>
  <c r="J60" i="83" s="1"/>
  <c r="L46" i="83" s="1"/>
  <c r="C57" i="83"/>
  <c r="C64" i="83" s="1"/>
  <c r="J14" i="83"/>
  <c r="J22" i="83" s="1"/>
  <c r="C13" i="83"/>
  <c r="C37" i="83" s="1"/>
  <c r="F63" i="83"/>
  <c r="C62" i="83" s="1"/>
  <c r="C59" i="83" s="1"/>
  <c r="C34" i="83"/>
  <c r="C31" i="83" s="1"/>
  <c r="J20" i="83"/>
  <c r="J17" i="8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37" i="91"/>
  <c r="C30" i="91" s="1"/>
  <c r="C39" i="91" s="1"/>
  <c r="I39" i="91" s="1"/>
  <c r="Q70" i="91"/>
  <c r="J22" i="91"/>
  <c r="J16" i="91" s="1"/>
  <c r="J25" i="91" s="1"/>
  <c r="C58" i="91"/>
  <c r="C67" i="91" s="1"/>
  <c r="C68" i="91" s="1"/>
  <c r="C71" i="91" s="1"/>
  <c r="C75" i="91"/>
  <c r="C34" i="43"/>
  <c r="E34" i="43" s="1"/>
  <c r="C31" i="43" s="1"/>
  <c r="B2" i="43"/>
  <c r="C40" i="90"/>
  <c r="C46" i="90" s="1"/>
  <c r="I39" i="90"/>
  <c r="Q69" i="90"/>
  <c r="Q68" i="90" s="1"/>
  <c r="C80" i="90"/>
  <c r="C79" i="90" s="1"/>
  <c r="C71" i="90"/>
  <c r="C40" i="89"/>
  <c r="C46" i="89" s="1"/>
  <c r="Q69" i="89"/>
  <c r="Q68" i="89" s="1"/>
  <c r="I39" i="89"/>
  <c r="C80" i="89"/>
  <c r="C79" i="89" s="1"/>
  <c r="C71" i="89"/>
  <c r="C75" i="83"/>
  <c r="Q48" i="83"/>
  <c r="C56" i="83"/>
  <c r="C65" i="83" s="1"/>
  <c r="C58" i="83" s="1"/>
  <c r="C67" i="83" s="1"/>
  <c r="C68" i="83" s="1"/>
  <c r="C71" i="83" s="1"/>
  <c r="Q70" i="83"/>
  <c r="J13" i="83"/>
  <c r="J23" i="83" s="1"/>
  <c r="J16" i="83" s="1"/>
  <c r="J25" i="83" s="1"/>
  <c r="C30" i="83"/>
  <c r="C3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1"/>
  <c r="E6" i="76"/>
  <c r="B6" i="76"/>
  <c r="L51" i="83"/>
  <c r="L51" i="90"/>
  <c r="L51" i="89"/>
  <c r="D2" i="21"/>
  <c r="D10" i="71" l="1"/>
  <c r="C9" i="71"/>
  <c r="Q69" i="91"/>
  <c r="C80" i="91"/>
  <c r="C79" i="91" s="1"/>
  <c r="Q67" i="91"/>
  <c r="C40" i="91"/>
  <c r="Q47" i="91" s="1"/>
  <c r="Q53" i="91" s="1"/>
  <c r="Q68" i="91"/>
  <c r="E2" i="76"/>
  <c r="B2" i="76"/>
  <c r="B3" i="43"/>
  <c r="Q67" i="90"/>
  <c r="Q65" i="90"/>
  <c r="Q75" i="90" s="1"/>
  <c r="C43" i="90"/>
  <c r="Q47" i="90"/>
  <c r="Q53" i="90" s="1"/>
  <c r="Q56" i="90"/>
  <c r="Q62" i="90" s="1"/>
  <c r="B2" i="90"/>
  <c r="B3" i="90" s="1"/>
  <c r="C83" i="90"/>
  <c r="C82" i="90" s="1"/>
  <c r="Q67" i="89"/>
  <c r="Q65" i="89"/>
  <c r="Q75" i="89" s="1"/>
  <c r="C43" i="89"/>
  <c r="Q47" i="89"/>
  <c r="Q53" i="89" s="1"/>
  <c r="Q56" i="89"/>
  <c r="Q62" i="89" s="1"/>
  <c r="B2" i="89"/>
  <c r="C83" i="89"/>
  <c r="C82" i="89" s="1"/>
  <c r="C40" i="83"/>
  <c r="Q56" i="83" s="1"/>
  <c r="Q62" i="83" s="1"/>
  <c r="I39" i="83"/>
  <c r="C80" i="83"/>
  <c r="C79" i="83" s="1"/>
  <c r="Q69" i="83"/>
  <c r="Q68" i="83" s="1"/>
  <c r="Q67" i="83"/>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D2" i="33"/>
  <c r="L51" i="67"/>
  <c r="C8" i="71" l="1"/>
  <c r="D9" i="71"/>
  <c r="B2" i="91"/>
  <c r="B3" i="91" s="1"/>
  <c r="Q65" i="91"/>
  <c r="Q75" i="91" s="1"/>
  <c r="C46" i="91"/>
  <c r="C83" i="91"/>
  <c r="C82" i="91" s="1"/>
  <c r="C43" i="91"/>
  <c r="Q56" i="91"/>
  <c r="Q62" i="91" s="1"/>
  <c r="B3" i="76"/>
  <c r="I2" i="89"/>
  <c r="B3" i="89"/>
  <c r="C43" i="83"/>
  <c r="C46" i="83"/>
  <c r="B2" i="83"/>
  <c r="B3" i="83" s="1"/>
  <c r="Q47" i="83"/>
  <c r="Q53" i="83" s="1"/>
  <c r="C83" i="83"/>
  <c r="C82" i="83" s="1"/>
  <c r="Q65" i="83"/>
  <c r="Q75" i="83" s="1"/>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8" i="1"/>
  <c r="AO10" i="1"/>
  <c r="C6" i="71" l="1"/>
  <c r="D7"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6" i="71" l="1"/>
  <c r="C5" i="71"/>
  <c r="D5" i="71" s="1"/>
  <c r="M24" i="43" s="1"/>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B3" i="70" s="1"/>
  <c r="G7" i="70"/>
  <c r="C42" i="40"/>
  <c r="C43" i="40"/>
  <c r="E47" i="40"/>
  <c r="F47" i="40" s="1"/>
  <c r="E46" i="40"/>
  <c r="F46" i="40" s="1"/>
  <c r="I47" i="40"/>
  <c r="J47" i="40" s="1"/>
  <c r="D19" i="9"/>
  <c r="D20" i="9"/>
  <c r="D102" i="9" l="1"/>
  <c r="D21" i="9"/>
  <c r="D103" i="9"/>
  <c r="B58" i="40"/>
  <c r="F58" i="40" s="1"/>
  <c r="B54" i="40"/>
  <c r="F54" i="40" s="1"/>
  <c r="B53" i="40"/>
  <c r="F53" i="40" s="1"/>
  <c r="B59" i="40"/>
  <c r="F59" i="40" s="1"/>
  <c r="B52" i="40"/>
  <c r="F52" i="40" s="1"/>
  <c r="B56" i="40"/>
  <c r="F56" i="40" s="1"/>
  <c r="B60" i="40"/>
  <c r="F60" i="40" s="1"/>
  <c r="B57" i="40"/>
  <c r="F57" i="40" s="1"/>
  <c r="B51" i="40"/>
  <c r="F51" i="40" s="1"/>
  <c r="F61" i="40" l="1"/>
  <c r="C6" i="68" s="1"/>
  <c r="B2" i="40" l="1"/>
  <c r="B3" i="40" s="1"/>
  <c r="C7" i="68"/>
  <c r="C5" i="68" s="1"/>
  <c r="C23" i="68" l="1"/>
  <c r="C20" i="68"/>
  <c r="C28" i="68" l="1"/>
  <c r="C27" i="68" s="1"/>
  <c r="C25" i="68"/>
  <c r="C22" i="68" s="1"/>
  <c r="C31" i="68" l="1"/>
  <c r="C52" i="68" s="1"/>
  <c r="B2" i="68" s="1"/>
  <c r="C19" i="9"/>
  <c r="C57" i="68" l="1"/>
  <c r="C56" i="68" s="1"/>
  <c r="C102" i="9"/>
  <c r="C21" i="9"/>
  <c r="D22" i="9"/>
  <c r="G19" i="9"/>
  <c r="B3" i="68"/>
  <c r="D35" i="9"/>
  <c r="D34" i="9"/>
  <c r="C20" i="9"/>
  <c r="C103" i="9" l="1"/>
  <c r="G20" i="9"/>
  <c r="C32" i="9"/>
  <c r="G21" i="9"/>
  <c r="C35" i="9" l="1"/>
  <c r="H118" i="9"/>
  <c r="H4" i="52" l="1"/>
  <c r="I118" i="9"/>
  <c r="H119" i="9"/>
  <c r="H5" i="52" s="1"/>
  <c r="H101" i="9"/>
  <c r="D14" i="74" s="1"/>
  <c r="C104" i="9"/>
  <c r="C34" i="9"/>
  <c r="D118" i="9" s="1"/>
  <c r="F118" i="9"/>
  <c r="E14" i="74" l="1"/>
  <c r="F14" i="74"/>
  <c r="B5" i="74"/>
  <c r="D5" i="74" s="1"/>
  <c r="D5" i="53"/>
  <c r="D45" i="9"/>
  <c r="H107" i="9"/>
  <c r="G14" i="74" s="1"/>
  <c r="B6" i="74" s="1"/>
  <c r="D6" i="74" s="1"/>
  <c r="M48" i="9"/>
  <c r="G118" i="9"/>
  <c r="G4" i="52" s="1"/>
  <c r="B52" i="72" s="1"/>
  <c r="F119" i="9"/>
  <c r="F5" i="52" s="1"/>
  <c r="B53" i="72" s="1"/>
  <c r="F4" i="52"/>
  <c r="B51" i="72" s="1"/>
  <c r="C105" i="9"/>
  <c r="H102" i="9"/>
  <c r="I4" i="52"/>
  <c r="D119" i="9"/>
  <c r="D5" i="52" s="1"/>
  <c r="B49" i="72" s="1"/>
  <c r="D4" i="52"/>
  <c r="B47" i="72" s="1"/>
  <c r="E118" i="9" l="1"/>
  <c r="E4" i="52" s="1"/>
  <c r="B48" i="72" s="1"/>
  <c r="H108" i="9"/>
  <c r="D122" i="9"/>
  <c r="M49" i="9"/>
  <c r="D13" i="53"/>
  <c r="C72" i="9"/>
  <c r="C64" i="9"/>
  <c r="C63" i="9" s="1"/>
  <c r="C67" i="9" s="1"/>
  <c r="D53" i="9"/>
  <c r="D55" i="9"/>
  <c r="M53" i="9" s="1"/>
  <c r="C85" i="9"/>
  <c r="D52" i="9"/>
  <c r="C78" i="9"/>
  <c r="C73" i="9" s="1"/>
  <c r="C93" i="9"/>
  <c r="C86" i="9" s="1"/>
  <c r="D7" i="53"/>
  <c r="B21" i="72" s="1"/>
  <c r="C5" i="74"/>
  <c r="D6" i="53"/>
  <c r="B22" i="72" s="1"/>
  <c r="B20" i="72"/>
  <c r="B30" i="72" l="1"/>
  <c r="D14" i="53"/>
  <c r="B32" i="72" s="1"/>
  <c r="L66" i="9"/>
  <c r="M66" i="9" s="1"/>
  <c r="L65" i="9"/>
  <c r="M65" i="9" s="1"/>
  <c r="L64" i="9"/>
  <c r="M64" i="9" s="1"/>
  <c r="L63" i="9"/>
  <c r="M63" i="9" s="1"/>
  <c r="L68" i="9"/>
  <c r="M68" i="9" s="1"/>
  <c r="L67" i="9"/>
  <c r="M67" i="9" s="1"/>
  <c r="D59" i="9"/>
  <c r="M55" i="9" s="1"/>
  <c r="C68" i="9"/>
  <c r="D54" i="9" s="1"/>
  <c r="D8" i="52"/>
  <c r="D123" i="9"/>
  <c r="D9" i="52" s="1"/>
  <c r="C95" i="9"/>
  <c r="C79" i="9"/>
  <c r="D15" i="53"/>
  <c r="B31" i="72" s="1"/>
  <c r="C6" i="74"/>
  <c r="M69" i="9" l="1"/>
  <c r="N69" i="9" s="1"/>
  <c r="C96" i="9"/>
  <c r="E96" i="9" s="1"/>
  <c r="E97" i="9" s="1"/>
  <c r="C80" i="9"/>
  <c r="E80" i="9" s="1"/>
  <c r="E81" i="9" s="1"/>
  <c r="C97" i="9" l="1"/>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7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100-000004000000}">
      <text>
        <r>
          <rPr>
            <sz val="11"/>
            <color indexed="81"/>
            <rFont val="宋体"/>
            <family val="3"/>
            <charset val="134"/>
          </rPr>
          <t>在建项目均选择“是”</t>
        </r>
      </text>
    </comment>
    <comment ref="F59" authorId="1" shapeId="0" xr:uid="{00000000-0006-0000-1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100-000006000000}">
      <text>
        <r>
          <rPr>
            <sz val="10"/>
            <color indexed="81"/>
            <rFont val="宋体"/>
            <family val="3"/>
            <charset val="134"/>
          </rPr>
          <t xml:space="preserve">在建
</t>
        </r>
      </text>
    </comment>
    <comment ref="N59" authorId="0" shapeId="0" xr:uid="{00000000-0006-0000-1100-000007000000}">
      <text>
        <r>
          <rPr>
            <sz val="10"/>
            <color indexed="81"/>
            <rFont val="宋体"/>
            <family val="3"/>
            <charset val="134"/>
          </rPr>
          <t xml:space="preserve">土地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200-000004000000}">
      <text>
        <r>
          <rPr>
            <sz val="11"/>
            <color indexed="81"/>
            <rFont val="宋体"/>
            <family val="3"/>
            <charset val="134"/>
          </rPr>
          <t>在建项目均选择“是”</t>
        </r>
      </text>
    </comment>
    <comment ref="F59" authorId="1" shapeId="0" xr:uid="{00000000-0006-0000-1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200-000006000000}">
      <text>
        <r>
          <rPr>
            <sz val="10"/>
            <color indexed="81"/>
            <rFont val="宋体"/>
            <family val="3"/>
            <charset val="134"/>
          </rPr>
          <t xml:space="preserve">在建
</t>
        </r>
      </text>
    </comment>
    <comment ref="N59" authorId="0" shapeId="0" xr:uid="{00000000-0006-0000-12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<sst xmlns="http://schemas.openxmlformats.org/spreadsheetml/2006/main" count="11093" uniqueCount="3914">
  <si>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</si>
  <si>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</si>
  <si>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</si>
  <si>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</si>
  <si>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</si>
  <si>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</si>
  <si>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</si>
  <si>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</si>
  <si>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</si>
  <si>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</si>
  <si>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</si>
  <si>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</si>
  <si>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</si>
  <si>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</si>
  <si>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</si>
  <si>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</si>
  <si>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</si>
  <si>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</si>
  <si>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</si>
  <si>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</si>
  <si>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</si>
  <si>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</si>
  <si>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</si>
  <si>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</si>
  <si>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</si>
  <si>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</si>
  <si>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</si>
  <si>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</si>
  <si>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</si>
  <si>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</si>
  <si>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</si>
  <si>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</si>
  <si>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</si>
  <si>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</si>
  <si>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</si>
  <si>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</si>
  <si>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</si>
  <si>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</si>
  <si>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</si>
  <si>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</si>
  <si>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</si>
  <si>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</si>
  <si>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</si>
  <si>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</si>
  <si>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</si>
  <si>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</si>
  <si>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</si>
  <si>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</si>
  <si>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</si>
  <si>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</si>
  <si>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</si>
  <si>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</si>
  <si>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</si>
  <si>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</si>
  <si>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</si>
  <si>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</si>
  <si>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</si>
  <si>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</si>
  <si>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</si>
  <si>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</si>
  <si>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</si>
  <si>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</si>
  <si>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</si>
  <si>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</si>
  <si>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</si>
  <si>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</si>
  <si>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</si>
  <si>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</si>
  <si>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</si>
  <si>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</si>
  <si>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</si>
  <si>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</si>
  <si>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</si>
  <si>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</si>
  <si>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</si>
  <si>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</si>
  <si>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</si>
  <si>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</si>
  <si>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</si>
  <si>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</si>
  <si>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</si>
  <si>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</si>
  <si>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</si>
  <si>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</si>
  <si>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</si>
  <si>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</si>
  <si>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</si>
  <si>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</si>
  <si>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</si>
  <si>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</si>
  <si>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</si>
  <si>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</si>
  <si>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</si>
  <si>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</si>
  <si>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</si>
  <si>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</si>
  <si>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</si>
  <si>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</si>
  <si>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</si>
  <si>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</si>
  <si>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</si>
  <si>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</si>
  <si>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</si>
  <si>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</si>
  <si>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</si>
  <si>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</si>
  <si>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</si>
  <si>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</si>
  <si>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</si>
  <si>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</si>
  <si>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</si>
  <si>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</si>
  <si>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</si>
  <si>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</si>
  <si>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</si>
  <si>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</si>
  <si>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</si>
  <si>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</si>
  <si>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</si>
  <si>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</si>
  <si>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</si>
  <si>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</si>
  <si>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</si>
  <si>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</si>
  <si>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</si>
  <si>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</si>
  <si>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</si>
  <si>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</si>
  <si>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</si>
  <si>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</si>
  <si>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</si>
  <si>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</si>
  <si>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</si>
  <si>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</si>
  <si>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</si>
  <si>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</si>
  <si>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</si>
  <si>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</si>
  <si>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</si>
  <si>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</si>
  <si>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</si>
  <si>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</si>
  <si>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</si>
  <si>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</si>
  <si>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</si>
  <si>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</si>
  <si>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</si>
  <si>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</si>
  <si>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</si>
  <si>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</si>
  <si>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</si>
  <si>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</si>
  <si>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</si>
  <si>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</si>
  <si>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</si>
  <si>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</si>
  <si>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</si>
  <si>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</si>
  <si>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</si>
  <si>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</si>
  <si>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</si>
  <si>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</si>
  <si>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</si>
  <si>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</si>
  <si>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</si>
  <si>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</si>
  <si>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</si>
  <si>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</si>
  <si>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</si>
  <si>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</si>
  <si>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</si>
  <si>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</si>
  <si>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</si>
  <si>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</si>
  <si>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</si>
  <si>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</si>
  <si>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</si>
  <si>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</si>
  <si>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</si>
  <si>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</si>
  <si>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</si>
  <si>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</si>
  <si>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</si>
  <si>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</si>
  <si>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</si>
  <si>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</si>
  <si>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</si>
  <si>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</si>
  <si>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</si>
  <si>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</si>
  <si>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</si>
  <si>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</si>
  <si>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</si>
  <si>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</si>
  <si>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</si>
  <si>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</si>
  <si>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</si>
  <si>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</si>
  <si>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</si>
  <si>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</si>
  <si>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</si>
  <si>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</si>
  <si>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</si>
  <si>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</si>
  <si>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</si>
  <si>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</si>
  <si>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</si>
  <si>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</si>
  <si>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</si>
  <si>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</si>
  <si>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</si>
  <si>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</si>
  <si>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</si>
  <si>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</si>
  <si>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</si>
  <si>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</si>
  <si>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</si>
  <si>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</si>
  <si>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</si>
  <si>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</si>
  <si>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</si>
  <si>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</si>
  <si>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</si>
  <si>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</si>
  <si>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</si>
  <si>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</si>
  <si>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</si>
  <si>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</si>
  <si>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</si>
  <si>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</si>
  <si>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</si>
  <si>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</si>
  <si>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</si>
  <si>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</si>
  <si>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</si>
  <si>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</si>
  <si>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</si>
  <si>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</si>
  <si>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</si>
  <si>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</si>
  <si>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</si>
  <si>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</si>
  <si>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</si>
  <si>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</si>
  <si>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</si>
  <si>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</si>
  <si>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</si>
  <si>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</si>
  <si>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</si>
  <si>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</si>
  <si>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</si>
  <si>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</si>
  <si>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</si>
  <si>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</si>
  <si>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</si>
  <si>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</si>
  <si>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</si>
  <si>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</si>
  <si>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</si>
  <si>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</si>
  <si>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</si>
  <si>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</si>
  <si>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</si>
  <si>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</si>
  <si>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</si>
  <si>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</si>
  <si>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</si>
  <si>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</si>
  <si>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</si>
  <si>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</si>
  <si>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</si>
  <si>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</si>
  <si>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</si>
  <si>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</si>
  <si>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</si>
  <si>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</si>
  <si>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</si>
  <si>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</si>
  <si>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</si>
  <si>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</si>
  <si>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</si>
  <si>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</si>
  <si>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</si>
  <si>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</si>
  <si>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</si>
  <si>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</si>
  <si>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</si>
  <si>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</si>
  <si>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</si>
  <si>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</si>
  <si>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</si>
  <si>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</si>
  <si>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</si>
  <si>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</si>
  <si>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</si>
  <si>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</si>
  <si>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</si>
  <si>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</si>
  <si>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</si>
  <si>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</si>
  <si>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</si>
  <si>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</si>
  <si>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</si>
  <si>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</si>
  <si>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</si>
  <si>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</si>
  <si>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</si>
  <si>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</si>
  <si>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</si>
  <si>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</si>
  <si>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</si>
  <si>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</si>
  <si>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</si>
  <si>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</si>
  <si>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</si>
  <si>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</si>
  <si>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</si>
  <si>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</si>
  <si>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</si>
  <si>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</si>
  <si>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</si>
  <si>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</si>
  <si>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</si>
  <si>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</si>
  <si>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</si>
  <si>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</si>
  <si>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</si>
  <si>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</si>
  <si>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</si>
  <si>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</si>
  <si>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</si>
  <si>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</si>
  <si>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</si>
  <si>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</si>
  <si>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</si>
  <si>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</si>
  <si>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</si>
  <si>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</si>
  <si>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</si>
  <si>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</si>
  <si>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</si>
  <si>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</si>
  <si>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</si>
  <si>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</si>
  <si>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</si>
  <si>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</si>
  <si>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</si>
  <si>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</si>
  <si>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</si>
  <si>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</si>
  <si>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</si>
  <si>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</si>
  <si>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</si>
  <si>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</si>
  <si>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</si>
  <si>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</si>
  <si>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</si>
  <si>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</si>
  <si>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</si>
  <si>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</si>
  <si>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</si>
  <si>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</si>
  <si>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</si>
  <si>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</si>
  <si>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</si>
  <si>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</si>
  <si>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</si>
  <si>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</si>
  <si>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</si>
  <si>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</si>
  <si>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</si>
  <si>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</si>
  <si>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</si>
  <si>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</si>
  <si>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</si>
  <si>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</si>
  <si>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</si>
  <si>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</si>
  <si>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</si>
  <si>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</si>
  <si>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</si>
  <si>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</si>
  <si>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</si>
  <si>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</si>
  <si>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</si>
  <si>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</si>
  <si>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</si>
  <si>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</si>
  <si>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</si>
  <si>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</si>
  <si>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</si>
  <si>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</si>
  <si>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</si>
  <si>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</si>
  <si>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</si>
  <si>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</si>
  <si>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</si>
  <si>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</si>
  <si>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</si>
  <si>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</si>
  <si>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</si>
  <si>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</si>
  <si>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</si>
  <si>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</si>
  <si>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</si>
  <si>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</si>
  <si>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</si>
  <si>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</si>
  <si>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</si>
  <si>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</si>
  <si>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</si>
  <si>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</si>
  <si>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</si>
  <si>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</si>
  <si>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</si>
  <si>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</si>
  <si>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</si>
  <si>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</si>
  <si>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</si>
  <si>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</si>
  <si>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</si>
  <si>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</si>
  <si>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</si>
  <si>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</si>
  <si>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</si>
  <si>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</si>
  <si>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</si>
  <si>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</si>
  <si>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</si>
  <si>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</si>
  <si>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</si>
  <si>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</si>
  <si>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</si>
  <si>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</si>
  <si>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</si>
  <si>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</si>
  <si>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</si>
  <si>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</si>
  <si>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</si>
  <si>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</si>
  <si>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</si>
  <si>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</si>
  <si>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</si>
  <si>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</si>
  <si>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</si>
  <si>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</si>
  <si>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</si>
  <si>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</si>
  <si>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</si>
  <si>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</si>
  <si>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</si>
  <si>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</si>
  <si>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</si>
  <si>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</si>
  <si>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</si>
  <si>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</si>
  <si>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</si>
  <si>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</si>
  <si>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</si>
  <si>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</si>
  <si>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</si>
  <si>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</si>
  <si>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</si>
  <si>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</si>
  <si>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</si>
  <si>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</si>
  <si>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</si>
  <si>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</si>
  <si>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</si>
  <si>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</si>
  <si>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</si>
  <si>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</si>
  <si>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</si>
  <si>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</si>
  <si>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</si>
  <si>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</si>
  <si>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</si>
  <si>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</si>
  <si>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</si>
  <si>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</si>
  <si>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</si>
  <si>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</si>
  <si>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</si>
  <si>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</si>
  <si>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</si>
  <si>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</si>
  <si>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</si>
  <si>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</si>
  <si>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</si>
  <si>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</si>
  <si>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</si>
  <si>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</si>
  <si>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</si>
  <si>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</si>
  <si>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</si>
  <si>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</si>
  <si>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</si>
  <si>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</si>
  <si>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</si>
  <si>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</si>
  <si>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</si>
  <si>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</si>
  <si>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</si>
  <si>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</si>
  <si>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</si>
  <si>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</si>
  <si>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</si>
  <si>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</si>
  <si>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</si>
  <si>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</si>
  <si>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</si>
  <si>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</si>
  <si>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</si>
  <si>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</si>
  <si>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</si>
  <si>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</si>
  <si>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</si>
  <si>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</si>
  <si>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</si>
  <si>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</si>
  <si>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</si>
  <si>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</si>
  <si>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</si>
  <si>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</si>
  <si>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</si>
  <si>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</si>
  <si>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</si>
  <si>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</si>
  <si>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</si>
  <si>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</si>
  <si>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</si>
  <si>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</si>
  <si>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</si>
  <si>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</si>
  <si>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</si>
  <si>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</si>
  <si>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</si>
  <si>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</si>
  <si>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</si>
  <si>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</si>
  <si>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</si>
  <si>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</si>
  <si>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</si>
  <si>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</si>
  <si>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</si>
  <si>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</si>
  <si>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</si>
  <si>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</si>
  <si>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</si>
  <si>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</si>
  <si>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</si>
  <si>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</si>
  <si>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</si>
  <si>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</si>
  <si>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</si>
  <si>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</si>
  <si>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</si>
  <si>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</si>
  <si>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</si>
  <si>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</si>
  <si>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</si>
  <si>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</si>
  <si>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</si>
  <si>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</si>
  <si>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</si>
  <si>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</si>
  <si>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</si>
  <si>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</si>
  <si>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</si>
  <si>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</si>
  <si>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</si>
  <si>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</si>
  <si>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</si>
  <si>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</si>
  <si>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</si>
  <si>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</si>
  <si>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</si>
  <si>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</si>
  <si>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</si>
  <si>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</si>
  <si>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</si>
  <si>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</si>
  <si>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</si>
  <si>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</si>
  <si>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</si>
  <si>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</si>
  <si>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</si>
  <si>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</si>
  <si>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</si>
  <si>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</si>
  <si>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</si>
  <si>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</si>
  <si>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</si>
  <si>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</si>
  <si>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</si>
  <si>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</si>
  <si>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</si>
  <si>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</si>
  <si>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</si>
  <si>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</si>
  <si>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</si>
  <si>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</si>
  <si>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</si>
  <si>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</si>
  <si>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</si>
  <si>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</si>
  <si>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</si>
  <si>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</si>
  <si>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</si>
  <si>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</si>
  <si>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</si>
  <si>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</si>
  <si>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</si>
  <si>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</si>
  <si>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</si>
  <si>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</si>
  <si>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</si>
  <si>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</si>
  <si>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</si>
  <si>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</si>
  <si>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</si>
  <si>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</si>
  <si>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</si>
  <si>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</si>
  <si>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</si>
  <si>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</si>
  <si>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</si>
  <si>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</si>
  <si>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</si>
  <si>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</si>
  <si>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</si>
  <si>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</si>
  <si>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</si>
  <si>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</si>
  <si>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</si>
  <si>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</si>
  <si>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</si>
  <si>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</si>
  <si>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</si>
  <si>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</si>
  <si>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</si>
  <si>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</si>
  <si>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</si>
  <si>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</si>
  <si>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</si>
  <si>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</si>
  <si>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</si>
  <si>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</si>
  <si>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</si>
  <si>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</si>
  <si>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</si>
  <si>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</si>
  <si>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</si>
  <si>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</si>
  <si>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</si>
  <si>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</si>
  <si>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</si>
  <si>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</si>
  <si>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</si>
  <si>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</si>
  <si>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</si>
  <si>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</si>
  <si>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</si>
  <si>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</si>
  <si>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</si>
  <si>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</si>
  <si>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</si>
  <si>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</si>
  <si>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</si>
  <si>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</si>
  <si>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</si>
  <si>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</si>
  <si>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</si>
  <si>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</si>
  <si>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</si>
  <si>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</si>
  <si>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</si>
  <si>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</si>
  <si>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</si>
  <si>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</si>
  <si>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</si>
  <si>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</si>
  <si>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</si>
  <si>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</si>
  <si>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</si>
  <si>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</si>
  <si>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</si>
  <si>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</si>
  <si>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</si>
  <si>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</si>
  <si>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</si>
  <si>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</si>
  <si>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</si>
  <si>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</si>
  <si>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</si>
  <si>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</si>
  <si>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</si>
  <si>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</si>
  <si>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</si>
  <si>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</si>
  <si>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</si>
  <si>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</si>
  <si>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</si>
  <si>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</si>
  <si>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</si>
  <si>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</si>
  <si>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</si>
  <si>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</si>
  <si>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</si>
  <si>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</si>
  <si>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</si>
  <si>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</si>
  <si>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</si>
  <si>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</si>
  <si>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</si>
  <si>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</si>
  <si>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</si>
  <si>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</si>
  <si>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</si>
  <si>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</si>
  <si>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</si>
  <si>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</si>
  <si>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</si>
  <si>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</si>
  <si>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</si>
  <si>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</si>
  <si>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</si>
  <si>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</si>
  <si>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</si>
  <si>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</si>
  <si>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</si>
  <si>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</si>
  <si>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</si>
  <si>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</si>
  <si>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</si>
  <si>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</si>
  <si>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</si>
  <si>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</si>
  <si>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</si>
  <si>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</si>
  <si>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</si>
  <si>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</si>
  <si>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</si>
  <si>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</si>
  <si>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</si>
  <si>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</si>
  <si>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</si>
  <si>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</si>
  <si>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</si>
  <si>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</si>
  <si>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</si>
  <si>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</si>
  <si>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</si>
  <si>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</si>
  <si>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</si>
  <si>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</si>
  <si>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</si>
  <si>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</si>
  <si>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</si>
  <si>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</si>
  <si>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</si>
  <si>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</si>
  <si>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</si>
  <si>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</si>
  <si>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</si>
  <si>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</si>
  <si>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</si>
  <si>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</si>
  <si>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</si>
  <si>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</si>
  <si>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</si>
  <si>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</si>
  <si>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</si>
  <si>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</si>
  <si>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</si>
  <si>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</si>
  <si>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</si>
  <si>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</si>
  <si>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</si>
  <si>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</si>
  <si>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</si>
  <si>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</si>
  <si>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</si>
  <si>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</si>
  <si>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</si>
  <si>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</si>
  <si>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</si>
  <si>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</si>
  <si>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</si>
  <si>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</si>
  <si>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</si>
  <si>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</si>
  <si>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</si>
  <si>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</si>
  <si>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</si>
  <si>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</si>
  <si>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</si>
  <si>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</si>
  <si>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</si>
  <si>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</si>
  <si>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</si>
  <si>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</si>
  <si>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</si>
  <si>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</si>
  <si>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</si>
  <si>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</si>
  <si>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</si>
  <si>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</si>
  <si>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</si>
  <si>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</si>
  <si>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</si>
  <si>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</si>
  <si>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</si>
  <si>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</si>
  <si>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</si>
  <si>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</si>
  <si>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</si>
  <si>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</si>
  <si>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</si>
  <si>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</si>
  <si>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</si>
  <si>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</si>
  <si>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</si>
  <si>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</si>
  <si>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</si>
  <si>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</si>
  <si>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</si>
  <si>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</si>
  <si>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</si>
  <si>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</si>
  <si>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</si>
  <si>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</si>
  <si>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</si>
  <si>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</si>
  <si>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</si>
  <si>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</si>
  <si>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</si>
  <si>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</si>
  <si>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</si>
  <si>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</si>
  <si>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</si>
  <si>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</si>
  <si>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</si>
  <si>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</si>
  <si>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</si>
  <si>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</si>
  <si>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</si>
  <si>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</si>
  <si>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</si>
  <si>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</si>
  <si>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</si>
  <si>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</si>
  <si>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</si>
  <si>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</si>
  <si>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</si>
  <si>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</si>
  <si>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</si>
  <si>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</si>
  <si>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</si>
  <si>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</si>
  <si>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</si>
  <si>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</si>
  <si>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</si>
  <si>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</si>
  <si>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</si>
  <si>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</si>
  <si>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</si>
  <si>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</si>
  <si>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</si>
  <si>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</si>
  <si>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</si>
  <si>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</si>
  <si>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</si>
  <si>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</si>
  <si>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</si>
  <si>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</si>
  <si>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</si>
  <si>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</si>
  <si>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</si>
  <si>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</si>
  <si>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</si>
  <si>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</si>
  <si>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</si>
  <si>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</si>
  <si>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</si>
  <si>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</si>
  <si>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</si>
  <si>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</si>
  <si>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</si>
  <si>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</si>
  <si>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</si>
  <si>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</si>
  <si>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</si>
  <si>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</si>
  <si>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</si>
  <si>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</si>
  <si>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</si>
  <si>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</si>
  <si>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</si>
  <si>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</si>
  <si>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</si>
  <si>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</si>
  <si>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</si>
  <si>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</si>
  <si>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</si>
  <si>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</si>
  <si>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</si>
  <si>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</si>
  <si>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</si>
  <si>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</si>
  <si>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</si>
  <si>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</si>
  <si>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</si>
  <si>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</si>
  <si>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</si>
  <si>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</si>
  <si>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</si>
  <si>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</si>
  <si>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</si>
  <si>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</si>
  <si>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</si>
  <si>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</si>
  <si>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</si>
  <si>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</si>
  <si>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</si>
  <si>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</si>
  <si>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</si>
  <si>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</si>
  <si>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</si>
  <si>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</si>
  <si>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</si>
  <si>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</si>
  <si>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</si>
  <si>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</si>
  <si>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</si>
  <si>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</si>
  <si>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</si>
  <si>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</si>
  <si>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</si>
  <si>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</si>
  <si>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</si>
  <si>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</si>
  <si>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</si>
  <si>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</si>
  <si>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</si>
  <si>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</si>
  <si>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</si>
  <si>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</si>
  <si>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</si>
  <si>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</si>
  <si>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</si>
  <si>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</si>
  <si>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</si>
  <si>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</si>
  <si>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</si>
  <si>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</si>
  <si>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</si>
  <si>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</si>
  <si>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</si>
  <si>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</si>
  <si>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</si>
  <si>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</si>
  <si>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</si>
  <si>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</si>
  <si>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</si>
  <si>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</si>
  <si>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</si>
  <si>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</si>
  <si>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</si>
  <si>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</si>
  <si>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</si>
  <si>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</si>
  <si>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</si>
  <si>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</si>
  <si>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</si>
  <si>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</si>
  <si>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</si>
  <si>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</si>
  <si>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</si>
  <si>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</si>
  <si>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</si>
  <si>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</si>
  <si>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</si>
  <si>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</si>
  <si>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</si>
  <si>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</si>
  <si>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</si>
  <si>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</si>
  <si>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</si>
  <si>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</si>
  <si>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</si>
  <si>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</si>
  <si>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</si>
  <si>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</si>
  <si>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</si>
  <si>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</si>
  <si>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</si>
  <si>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</si>
  <si>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</si>
  <si>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</si>
  <si>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</si>
  <si>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</si>
  <si>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</si>
  <si>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</si>
  <si>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</si>
  <si>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</si>
  <si>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</si>
  <si>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</si>
  <si>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</si>
  <si>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</si>
  <si>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</si>
  <si>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</si>
  <si>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</si>
  <si>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</si>
  <si>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</si>
  <si>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</si>
  <si>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</si>
  <si>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</si>
  <si>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</si>
  <si>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</si>
  <si>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</si>
  <si>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</si>
  <si>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</si>
  <si>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</si>
  <si>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</si>
  <si>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</si>
  <si>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</si>
  <si>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</si>
  <si>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</si>
  <si>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</si>
  <si>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</si>
  <si>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</si>
  <si>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</si>
  <si>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</si>
  <si>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</si>
  <si>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</si>
  <si>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</si>
  <si>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</si>
  <si>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</si>
  <si>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</si>
  <si>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</si>
  <si>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</si>
  <si>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</si>
  <si>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</si>
  <si>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</si>
  <si>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</si>
  <si>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</si>
  <si>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</si>
  <si>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</si>
  <si>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</si>
  <si>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</si>
  <si>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</si>
  <si>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</si>
  <si>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</si>
  <si>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</si>
  <si>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</si>
  <si>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</si>
  <si>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</si>
  <si>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</si>
  <si>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</si>
  <si>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</si>
  <si>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</si>
  <si>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</si>
  <si>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</si>
  <si>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</si>
  <si>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</si>
  <si>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</si>
  <si>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</si>
  <si>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</si>
  <si>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</si>
  <si>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</si>
  <si>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</si>
  <si>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</si>
  <si>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</si>
  <si>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</si>
  <si>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</si>
  <si>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</si>
  <si>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</si>
  <si>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</si>
  <si>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</si>
  <si>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</si>
  <si>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</si>
  <si>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</si>
  <si>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</si>
  <si>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</si>
  <si>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</si>
  <si>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</si>
  <si>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</si>
  <si>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</si>
  <si>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</si>
  <si>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</si>
  <si>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</si>
  <si>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</si>
  <si>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</si>
  <si>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</si>
  <si>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</si>
  <si>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</si>
  <si>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</si>
  <si>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</si>
  <si>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</si>
  <si>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</si>
  <si>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</si>
  <si>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</si>
  <si>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</si>
  <si>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</si>
  <si>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</si>
  <si>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</si>
  <si>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</si>
  <si>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</si>
  <si>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</si>
  <si>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</si>
  <si>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</si>
  <si>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</si>
  <si>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</si>
  <si>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</si>
  <si>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</si>
  <si>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</si>
  <si>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</si>
  <si>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</si>
  <si>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</si>
  <si>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</si>
  <si>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</si>
  <si>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</si>
  <si>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</si>
  <si>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</si>
  <si>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</si>
  <si>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</si>
  <si>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</si>
  <si>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</si>
  <si>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</si>
  <si>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</si>
  <si>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</si>
  <si>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</si>
  <si>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</si>
  <si>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</si>
  <si>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</si>
  <si>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</si>
  <si>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</si>
  <si>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</si>
  <si>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</si>
  <si>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</si>
  <si>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</si>
  <si>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</si>
  <si>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</si>
  <si>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</si>
  <si>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</si>
  <si>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</si>
  <si>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</si>
  <si>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</si>
  <si>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</si>
  <si>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</si>
  <si>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</si>
  <si>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</si>
  <si>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</si>
  <si>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</si>
  <si>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</si>
  <si>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</si>
  <si>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</si>
  <si>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</si>
  <si>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</si>
  <si>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</si>
  <si>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</si>
  <si>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</si>
  <si>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</si>
  <si>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</si>
  <si>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</si>
  <si>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</si>
  <si>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</si>
  <si>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</si>
  <si>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</si>
  <si>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</si>
  <si>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</si>
  <si>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</si>
  <si>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</si>
  <si>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</si>
  <si>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</si>
  <si>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</si>
  <si>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</si>
  <si>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</si>
  <si>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</si>
  <si>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</si>
  <si>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</si>
  <si>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</si>
  <si>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</si>
  <si>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</si>
  <si>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</si>
  <si>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</si>
  <si>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</si>
  <si>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</si>
  <si>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</si>
  <si>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</si>
  <si>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</si>
  <si>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</si>
  <si>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</si>
  <si>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</si>
  <si>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</si>
  <si>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</si>
  <si>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</si>
  <si>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</si>
  <si>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</si>
  <si>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</si>
  <si>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</si>
  <si>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</si>
  <si>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</si>
  <si>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</si>
  <si>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</si>
  <si>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</si>
  <si>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</si>
  <si>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</si>
  <si>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</si>
  <si>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</si>
  <si>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</si>
  <si>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</si>
  <si>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</si>
  <si>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</si>
  <si>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</si>
  <si>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</si>
  <si>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</si>
  <si>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</si>
  <si>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</si>
  <si>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</si>
  <si>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</si>
  <si>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</si>
  <si>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</si>
  <si>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</si>
  <si>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</si>
  <si>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</si>
  <si>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</si>
  <si>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</si>
  <si>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</si>
  <si>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</si>
  <si>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</si>
  <si>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</si>
  <si>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</si>
  <si>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</si>
  <si>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</si>
  <si>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</si>
  <si>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</si>
  <si>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</si>
  <si>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</si>
  <si>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</si>
  <si>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</si>
  <si>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</si>
  <si>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</si>
  <si>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</si>
  <si>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</si>
  <si>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</si>
  <si>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</si>
  <si>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</si>
  <si>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</si>
  <si>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</si>
  <si>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</si>
  <si>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</si>
  <si>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</si>
  <si>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</si>
  <si>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</si>
  <si>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</si>
  <si>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</si>
  <si>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</si>
  <si>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</si>
  <si>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</si>
  <si>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</si>
  <si>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</si>
  <si>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</si>
  <si>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</si>
  <si>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</si>
  <si>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</si>
  <si>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</si>
  <si>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</si>
  <si>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</si>
  <si>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</si>
  <si>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</si>
  <si>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</si>
  <si>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</si>
  <si>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</si>
  <si>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</si>
  <si>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</si>
  <si>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</si>
  <si>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</si>
  <si>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</si>
  <si>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</si>
  <si>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</si>
  <si>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</si>
  <si>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</si>
  <si>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</si>
  <si>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</si>
  <si>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</si>
  <si>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</si>
  <si>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</si>
  <si>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</si>
  <si>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</si>
  <si>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</si>
  <si>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</si>
  <si>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</si>
  <si>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</si>
  <si>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</si>
  <si>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</si>
  <si>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</si>
  <si>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</si>
  <si>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</si>
  <si>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</si>
  <si>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</si>
  <si>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</si>
  <si>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</si>
  <si>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</si>
  <si>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</si>
  <si>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</si>
  <si>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</si>
  <si>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</si>
  <si>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</si>
  <si>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</si>
  <si>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</si>
  <si>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</si>
  <si>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</si>
  <si>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</si>
  <si>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</si>
  <si>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</si>
  <si>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</si>
  <si>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</si>
  <si>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</si>
  <si>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</si>
  <si>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</si>
  <si>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</si>
  <si>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</si>
  <si>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</si>
  <si>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</si>
  <si>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</si>
  <si>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</si>
  <si>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</si>
  <si>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</si>
  <si>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</si>
  <si>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</si>
  <si>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</si>
  <si>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</si>
  <si>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</si>
  <si>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</si>
  <si>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</si>
  <si>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</si>
  <si>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</si>
  <si>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</si>
  <si>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</si>
  <si>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</si>
  <si>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</si>
  <si>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</si>
  <si>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</si>
  <si>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</si>
  <si>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</si>
  <si>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</si>
  <si>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</si>
  <si>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</si>
  <si>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</si>
  <si>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</si>
  <si>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</si>
  <si>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</si>
  <si>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</si>
  <si>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</si>
  <si>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</si>
  <si>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</si>
  <si>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</si>
  <si>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</si>
  <si>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</si>
  <si>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</si>
  <si>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</si>
  <si>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</si>
  <si>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</si>
  <si>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</si>
  <si>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</si>
  <si>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</si>
  <si>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</si>
  <si>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</si>
  <si>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</si>
  <si>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</si>
  <si>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</si>
  <si>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</si>
  <si>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</si>
  <si>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</si>
  <si>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</si>
  <si>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</si>
  <si>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</si>
  <si>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</si>
  <si>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</si>
  <si>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</si>
  <si>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</si>
  <si>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</si>
  <si>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</si>
  <si>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</si>
  <si>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</si>
  <si>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</si>
  <si>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</si>
  <si>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</si>
  <si>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</si>
  <si>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</si>
  <si>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</si>
  <si>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</si>
  <si>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</si>
  <si>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</si>
  <si>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</si>
  <si>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</si>
  <si>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</si>
  <si>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</si>
  <si>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</si>
  <si>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</si>
  <si>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</si>
  <si>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</si>
  <si>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</si>
  <si>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</si>
  <si>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</si>
  <si>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</si>
  <si>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</si>
  <si>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</si>
  <si>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</si>
  <si>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</si>
  <si>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</si>
  <si>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</si>
  <si>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</si>
  <si>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</si>
  <si>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</si>
  <si>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</si>
  <si>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</si>
  <si>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</si>
  <si>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</si>
  <si>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</si>
  <si>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</si>
  <si>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</si>
  <si>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</si>
  <si>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</si>
  <si>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</si>
  <si>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</si>
  <si>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</si>
  <si>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</si>
  <si>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</si>
  <si>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</si>
  <si>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</si>
  <si>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</si>
  <si>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</si>
  <si>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</si>
  <si>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</si>
  <si>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</si>
  <si>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</si>
  <si>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</si>
  <si>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</si>
  <si>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</si>
  <si>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</si>
  <si>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</si>
  <si>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</si>
  <si>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</si>
  <si>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</si>
  <si>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</si>
  <si>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</si>
  <si>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</si>
  <si>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</si>
  <si>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</si>
  <si>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</si>
  <si>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</si>
  <si>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</si>
  <si>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</si>
  <si>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</si>
  <si>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</si>
  <si>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</si>
  <si>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</si>
  <si>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</si>
  <si>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</si>
  <si>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</si>
  <si>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</si>
  <si>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</si>
  <si>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</si>
  <si>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</si>
  <si>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</si>
  <si>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</si>
  <si>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</si>
  <si>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</si>
  <si>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</si>
  <si>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</si>
  <si>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</si>
  <si>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</si>
  <si>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</si>
  <si>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</si>
  <si>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</si>
  <si>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</si>
  <si>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</si>
  <si>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</si>
  <si>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</si>
  <si>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</si>
  <si>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</si>
  <si>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</si>
  <si>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</si>
  <si>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</si>
  <si>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</si>
  <si>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</si>
  <si>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</si>
  <si>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</si>
  <si>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</si>
  <si>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</si>
  <si>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</si>
  <si>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</si>
  <si>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</si>
  <si>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</si>
  <si>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</si>
  <si>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</si>
  <si>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</si>
  <si>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</si>
  <si>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</si>
  <si>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</si>
  <si>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</si>
  <si>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</si>
  <si>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</si>
  <si>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</si>
  <si>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</si>
  <si>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</si>
  <si>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</si>
  <si>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</si>
  <si>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</si>
  <si>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</si>
  <si>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</si>
  <si>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</si>
  <si>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</si>
  <si>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</si>
  <si>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</si>
  <si>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</si>
  <si>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</si>
  <si>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</si>
  <si>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</si>
  <si>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</si>
  <si>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</si>
  <si>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</si>
  <si>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</si>
  <si>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</si>
  <si>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</si>
  <si>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</si>
  <si>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</si>
  <si>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</si>
  <si>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</si>
  <si>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</si>
  <si>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</si>
  <si>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</si>
  <si>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</si>
  <si>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</si>
  <si>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</si>
  <si>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</si>
  <si>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</si>
  <si>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</si>
  <si>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</si>
  <si>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</si>
  <si>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</si>
  <si>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</si>
  <si>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</si>
  <si>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</si>
  <si>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</si>
  <si>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</si>
  <si>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</si>
  <si>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</si>
  <si>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</si>
  <si>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</si>
  <si>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</si>
  <si>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</si>
  <si>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</si>
  <si>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</si>
  <si>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</si>
  <si>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</si>
  <si>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</si>
  <si>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</si>
  <si>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</si>
  <si>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</si>
  <si>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</si>
  <si>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</si>
  <si>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</si>
  <si>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</si>
  <si>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</si>
  <si>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</si>
  <si>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</si>
  <si>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</si>
  <si>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</si>
  <si>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</si>
  <si>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</si>
  <si>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</si>
  <si>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</si>
  <si>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</si>
  <si>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</si>
  <si>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</si>
  <si>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</si>
  <si>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</si>
  <si>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</si>
  <si>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</si>
  <si>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</si>
  <si>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</si>
  <si>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</si>
  <si>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</si>
  <si>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</si>
  <si>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</si>
  <si>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</si>
  <si>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</si>
  <si>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</si>
  <si>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</si>
  <si>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</si>
  <si>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</si>
  <si>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</si>
  <si>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</si>
  <si>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</si>
  <si>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</si>
  <si>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</si>
  <si>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</si>
  <si>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</si>
  <si>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</si>
  <si>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</si>
  <si>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</si>
  <si>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</si>
  <si>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</si>
  <si>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</si>
  <si>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</si>
  <si>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</si>
  <si>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</si>
  <si>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</si>
  <si>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</si>
  <si>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</si>
  <si>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</si>
  <si>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</si>
  <si>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</si>
  <si>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</si>
  <si>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</si>
  <si>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</si>
  <si>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</si>
  <si>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</si>
  <si>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</si>
  <si>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</si>
  <si>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</si>
  <si>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</si>
  <si>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</si>
  <si>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</si>
  <si>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</si>
  <si>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</si>
  <si>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</si>
  <si>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</si>
  <si>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</si>
  <si>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</si>
  <si>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</si>
  <si>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</si>
  <si>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</si>
  <si>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</si>
  <si>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</si>
  <si>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</si>
  <si>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</si>
  <si>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</si>
  <si>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</si>
  <si>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</si>
  <si>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</si>
  <si>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</si>
  <si>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</si>
  <si>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</si>
  <si>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</si>
  <si>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</si>
  <si>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</si>
  <si>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</si>
  <si>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</si>
  <si>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</si>
  <si>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</si>
  <si>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</si>
  <si>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</si>
  <si>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</si>
  <si>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</si>
  <si>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</si>
  <si>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</si>
  <si>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</si>
  <si>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</si>
  <si>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</si>
  <si>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</si>
  <si>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</si>
  <si>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</si>
  <si>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</si>
  <si>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</si>
  <si>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</si>
  <si>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</si>
  <si>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</si>
  <si>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</si>
  <si>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</si>
  <si>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</si>
  <si>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</si>
  <si>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</si>
  <si>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</si>
  <si>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</si>
  <si>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</si>
  <si>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</si>
  <si>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</si>
  <si>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</si>
  <si>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</si>
  <si>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</si>
  <si>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</si>
  <si>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</si>
  <si>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</si>
  <si>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</si>
  <si>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</si>
  <si>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</si>
  <si>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</si>
  <si>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</si>
  <si>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</si>
  <si>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</si>
  <si>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</si>
  <si>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</si>
  <si>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</si>
  <si>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</si>
  <si>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</si>
  <si>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</si>
  <si>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</si>
  <si>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</si>
  <si>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</si>
  <si>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</si>
  <si>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</si>
  <si>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</si>
  <si>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</si>
  <si>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</si>
  <si>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</si>
  <si>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</si>
  <si>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</si>
  <si>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</si>
  <si>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</si>
  <si>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</si>
  <si>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</si>
  <si>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</si>
  <si>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</si>
  <si>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</si>
  <si>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</si>
  <si>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</si>
  <si>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</si>
  <si>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</si>
  <si>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</si>
  <si>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</si>
  <si>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</si>
  <si>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</si>
  <si>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</si>
  <si>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</si>
  <si>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</si>
  <si>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</si>
  <si>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</si>
  <si>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</si>
  <si>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</si>
  <si>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</si>
  <si>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</si>
  <si>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</si>
  <si>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</si>
  <si>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</si>
  <si>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</si>
  <si>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</si>
  <si>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</si>
  <si>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</si>
  <si>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</si>
  <si>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</si>
  <si>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</si>
  <si>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</si>
  <si>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</si>
  <si>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</si>
  <si>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</si>
  <si>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</si>
  <si>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</si>
  <si>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</si>
  <si>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</si>
  <si>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</si>
  <si>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</si>
  <si>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</si>
  <si>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</si>
  <si>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</si>
  <si>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</si>
  <si>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</si>
  <si>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</si>
  <si>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</si>
  <si>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</si>
  <si>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</si>
  <si>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</si>
  <si>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</si>
  <si>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</si>
  <si>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</si>
  <si>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</si>
  <si>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</si>
  <si>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</si>
  <si>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</si>
  <si>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</si>
  <si>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</si>
  <si>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</si>
  <si>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</si>
  <si>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</si>
  <si>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</si>
  <si>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</si>
  <si>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</si>
  <si>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</si>
  <si>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</si>
  <si>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</si>
  <si>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</si>
  <si>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</si>
  <si>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</si>
  <si>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</si>
  <si>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</si>
  <si>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</si>
  <si>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</si>
  <si>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</si>
  <si>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</si>
  <si>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</si>
  <si>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</si>
  <si>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</si>
  <si>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</si>
  <si>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</si>
  <si>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</si>
  <si>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</si>
  <si>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</si>
  <si>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</si>
  <si>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</si>
  <si>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</si>
  <si>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</si>
  <si>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</si>
  <si>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</si>
  <si>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</si>
  <si>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</si>
  <si>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</si>
  <si>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</si>
  <si>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</si>
  <si>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</si>
  <si>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</si>
  <si>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</si>
  <si>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</si>
  <si>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</si>
  <si>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</si>
  <si>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</si>
  <si>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</si>
  <si>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</si>
  <si>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</si>
  <si>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</si>
  <si>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</si>
  <si>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</si>
  <si>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</si>
  <si>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</si>
  <si>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</si>
  <si>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</si>
  <si>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</si>
  <si>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</si>
  <si>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</si>
  <si>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</si>
  <si>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</si>
  <si>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</si>
  <si>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</si>
  <si>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</si>
  <si>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</si>
  <si>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</si>
  <si>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</si>
  <si>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</si>
  <si>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</si>
  <si>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</si>
  <si>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</si>
  <si>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</si>
  <si>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</si>
  <si>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</si>
  <si>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</si>
  <si>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</si>
  <si>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</si>
  <si>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</si>
  <si>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</si>
  <si>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</si>
  <si>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</si>
  <si>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</si>
  <si>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</si>
  <si>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</si>
  <si>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</si>
  <si>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</si>
  <si>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</si>
  <si>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</si>
  <si>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</si>
  <si>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</si>
  <si>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</si>
  <si>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</si>
  <si>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</si>
  <si>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</si>
  <si>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</si>
  <si>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</si>
  <si>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</si>
  <si>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</si>
  <si>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</si>
  <si>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</si>
  <si>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</si>
  <si>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</si>
  <si>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</si>
  <si>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</si>
  <si>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</si>
  <si>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</si>
  <si>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</si>
  <si>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</si>
  <si>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</si>
  <si>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</si>
  <si>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</si>
  <si>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</si>
  <si>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</si>
  <si>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</si>
  <si>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</si>
  <si>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</si>
  <si>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</si>
  <si>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</si>
  <si>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</si>
  <si>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</si>
  <si>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</si>
  <si>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</si>
  <si>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</si>
  <si>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</si>
  <si>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</si>
  <si>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</si>
  <si>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</si>
  <si>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</si>
  <si>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</si>
  <si>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</si>
  <si>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</si>
  <si>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</si>
  <si>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</si>
  <si>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</si>
  <si>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</si>
  <si>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</si>
  <si>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</si>
  <si>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</si>
  <si>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</si>
  <si>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</si>
  <si>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</si>
  <si>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</si>
  <si>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</si>
  <si>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</si>
  <si>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</si>
  <si>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</si>
  <si>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</si>
  <si>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</si>
  <si>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</si>
  <si>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</si>
  <si>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</si>
  <si>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</si>
  <si>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</si>
  <si>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</si>
  <si>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</si>
  <si>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</si>
  <si>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</si>
  <si>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</si>
  <si>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</si>
  <si>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</si>
  <si>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</si>
  <si>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</si>
  <si>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</si>
  <si>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</si>
  <si>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</si>
  <si>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</si>
  <si>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</si>
  <si>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</si>
  <si>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</si>
  <si>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</si>
  <si>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</si>
  <si>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</si>
  <si>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</si>
  <si>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</si>
  <si>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</si>
  <si>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</si>
  <si>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</si>
  <si>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</si>
  <si>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</si>
  <si>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</si>
  <si>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</si>
  <si>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</si>
  <si>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</si>
  <si>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</si>
  <si>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</si>
  <si>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</si>
  <si>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</si>
  <si>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</si>
  <si>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</si>
  <si>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</si>
  <si>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</si>
  <si>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</si>
  <si>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</si>
  <si>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</si>
  <si>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</si>
  <si>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</si>
  <si>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</si>
  <si>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</si>
  <si>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</si>
  <si>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</si>
  <si>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</si>
  <si>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</si>
  <si>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</si>
  <si>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</si>
  <si>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</si>
  <si>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</si>
  <si>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</si>
  <si>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</si>
  <si>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</si>
  <si>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</si>
  <si>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</si>
  <si>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</si>
  <si>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</si>
  <si>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</si>
  <si>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</si>
  <si>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</si>
  <si>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</si>
  <si>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</si>
  <si>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</si>
  <si>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</si>
  <si>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</si>
  <si>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</si>
  <si>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</si>
  <si>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</si>
  <si>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</si>
  <si>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</si>
  <si>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</si>
  <si>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</si>
  <si>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</si>
  <si>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</si>
  <si>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</si>
  <si>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</si>
  <si>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</si>
  <si>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</si>
  <si>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</si>
  <si>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</si>
  <si>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</si>
  <si>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</si>
  <si>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</si>
  <si>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</si>
  <si>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</si>
  <si>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</si>
  <si>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</si>
  <si>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</si>
  <si>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</si>
  <si>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</si>
  <si>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</si>
  <si>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</si>
  <si>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</si>
  <si>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</si>
  <si>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</si>
  <si>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</si>
  <si>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</si>
  <si>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</si>
  <si>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</si>
  <si>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</si>
  <si>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</si>
  <si>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</si>
  <si>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</si>
  <si>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</si>
  <si>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</si>
  <si>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</si>
  <si>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</si>
  <si>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</si>
  <si>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</si>
  <si>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</si>
  <si>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</si>
  <si>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</si>
  <si>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</si>
  <si>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</si>
  <si>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</si>
  <si>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</si>
  <si>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</si>
  <si>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</si>
  <si>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</si>
  <si>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</si>
  <si>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</si>
  <si>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</si>
  <si>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</si>
  <si>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</si>
  <si>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</si>
  <si>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</si>
  <si>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</si>
  <si>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</si>
  <si>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</si>
  <si>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</si>
  <si>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</si>
  <si>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</si>
  <si>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</si>
  <si>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</si>
  <si>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</si>
  <si>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</si>
  <si>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</si>
  <si>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</si>
  <si>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</si>
  <si>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</si>
  <si>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</si>
  <si>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</si>
  <si>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</si>
  <si>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</si>
  <si>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</si>
  <si>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</si>
  <si>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</si>
  <si>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</si>
  <si>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</si>
  <si>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</si>
  <si>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</si>
  <si>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</si>
  <si>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</si>
  <si>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</si>
  <si>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</si>
  <si>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</si>
  <si>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</si>
  <si>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</si>
  <si>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</si>
  <si>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</si>
  <si>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</si>
  <si>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</si>
  <si>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</si>
  <si>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</si>
  <si>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</si>
  <si>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</si>
  <si>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</si>
  <si>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</si>
  <si>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</si>
  <si>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</si>
  <si>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</si>
  <si>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</si>
  <si>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</si>
  <si>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</si>
  <si>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</si>
  <si>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</si>
  <si>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</si>
  <si>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</si>
  <si>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</si>
  <si>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</si>
  <si>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</si>
  <si>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</si>
  <si>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</si>
  <si>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</si>
  <si>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</si>
  <si>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</si>
  <si>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</si>
  <si>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</si>
  <si>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</si>
  <si>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</si>
  <si>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</si>
  <si>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</si>
  <si>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</si>
  <si>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</si>
  <si>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</si>
  <si>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</si>
  <si>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</si>
  <si>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</si>
  <si>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</si>
  <si>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</si>
  <si>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</si>
  <si>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</si>
  <si>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</si>
  <si>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</si>
  <si>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</si>
  <si>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</si>
  <si>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</si>
  <si>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</si>
  <si>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</si>
  <si>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</si>
  <si>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</si>
  <si>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</si>
  <si>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</si>
  <si>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</si>
  <si>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</si>
  <si>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</si>
  <si>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</si>
  <si>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</si>
  <si>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</si>
  <si>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</si>
  <si>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</si>
  <si>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</si>
  <si>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</si>
  <si>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</si>
  <si>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</si>
  <si>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</si>
  <si>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</si>
  <si>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</si>
  <si>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</si>
  <si>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</si>
  <si>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</si>
  <si>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</si>
  <si>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</si>
  <si>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</si>
  <si>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</si>
  <si>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</si>
  <si>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</si>
  <si>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</si>
  <si>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</si>
  <si>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</si>
  <si>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</si>
  <si>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</si>
  <si>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</si>
  <si>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</si>
  <si>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</si>
  <si>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</si>
  <si>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</si>
  <si>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</si>
  <si>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</si>
  <si>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</si>
  <si>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</si>
  <si>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</si>
  <si>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</si>
  <si>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</si>
  <si>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</si>
  <si>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</si>
  <si>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</si>
  <si>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</si>
  <si>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</si>
  <si>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</si>
  <si>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</si>
  <si>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</si>
  <si>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</si>
  <si>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</si>
  <si>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</si>
  <si>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</si>
  <si>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</si>
  <si>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</si>
  <si>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</si>
  <si>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</si>
  <si>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</si>
  <si>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</si>
  <si>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</si>
  <si>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</si>
  <si>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</si>
  <si>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</si>
  <si>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</si>
  <si>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</si>
  <si>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</si>
  <si>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</si>
  <si>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</si>
  <si>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</si>
  <si>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</si>
  <si>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</si>
  <si>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</si>
  <si>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</si>
  <si>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</si>
  <si>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</si>
  <si>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</si>
  <si>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</si>
  <si>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</si>
  <si>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</si>
  <si>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</si>
  <si>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</si>
  <si>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</si>
  <si>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</si>
  <si>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</si>
  <si>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</si>
  <si>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</si>
  <si>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</si>
  <si>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</si>
  <si>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</si>
  <si>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</si>
  <si>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</si>
  <si>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</si>
  <si>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</si>
  <si>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</si>
  <si>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</si>
  <si>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</si>
  <si>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</si>
  <si>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</si>
  <si>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</si>
  <si>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</si>
  <si>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</si>
  <si>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</si>
  <si>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</si>
  <si>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</si>
  <si>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</si>
  <si>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</si>
  <si>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</si>
  <si>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</si>
  <si>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</si>
  <si>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</si>
  <si>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</si>
  <si>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</si>
  <si>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</si>
  <si>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</si>
  <si>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</si>
  <si>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</si>
  <si>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</si>
  <si>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</si>
  <si>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</si>
  <si>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</si>
  <si>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</si>
  <si>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</si>
  <si>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</si>
  <si>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</si>
  <si>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</si>
  <si>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</si>
  <si>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</si>
  <si>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</si>
  <si>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</si>
  <si>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</si>
  <si>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</si>
  <si>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</si>
  <si>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</si>
  <si>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</si>
  <si>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</si>
  <si>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</si>
  <si>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</si>
  <si>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</si>
  <si>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</si>
  <si>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</si>
  <si>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</si>
  <si>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</si>
  <si>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</si>
  <si>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</si>
  <si>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</si>
  <si>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</si>
  <si>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</si>
  <si>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</si>
  <si>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</si>
  <si>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</si>
  <si>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</si>
  <si>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</si>
  <si>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</si>
  <si>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</si>
  <si>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</si>
  <si>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</si>
  <si>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</si>
  <si>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</si>
  <si>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</si>
  <si>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</si>
  <si>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</si>
  <si>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</si>
  <si>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</si>
  <si>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</si>
  <si>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</si>
  <si>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</si>
  <si>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</si>
  <si>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</si>
  <si>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</si>
  <si>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</si>
  <si>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</si>
  <si>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</si>
  <si>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</si>
  <si>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</si>
  <si>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</si>
  <si>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</si>
  <si>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</si>
  <si>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</si>
  <si>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</si>
  <si>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</si>
  <si>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</si>
  <si>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</si>
  <si>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</si>
  <si>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</si>
  <si>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</si>
  <si>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</si>
  <si>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</si>
  <si>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</si>
  <si>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</si>
  <si>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</si>
  <si>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</si>
  <si>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</si>
  <si>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</si>
  <si>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</si>
  <si>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</si>
  <si>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</si>
  <si>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</si>
  <si>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</si>
  <si>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</si>
  <si>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</si>
  <si>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</si>
  <si>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</si>
  <si>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</si>
  <si>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</si>
  <si>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</si>
  <si>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</si>
  <si>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</si>
  <si>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</si>
  <si>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</si>
  <si>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</si>
  <si>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</si>
  <si>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</si>
  <si>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</si>
  <si>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</si>
  <si>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</si>
  <si>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</si>
  <si>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</si>
  <si>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</si>
  <si>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</si>
  <si>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</si>
  <si>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</si>
  <si>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</si>
  <si>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</si>
  <si>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</si>
  <si>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</si>
  <si>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</si>
  <si>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</si>
  <si>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</si>
  <si>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</si>
  <si>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</si>
  <si>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</si>
  <si>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</si>
  <si>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</si>
  <si>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</si>
  <si>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</si>
  <si>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</si>
  <si>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</si>
  <si>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</si>
  <si>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</si>
  <si>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</si>
  <si>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</si>
  <si>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</si>
  <si>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</si>
  <si>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</si>
  <si>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</si>
  <si>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</si>
  <si>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</si>
  <si>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</si>
  <si>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</si>
  <si>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</si>
  <si>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</si>
  <si>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</si>
  <si>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</si>
  <si>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</si>
  <si>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</si>
  <si>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</si>
  <si>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</si>
  <si>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</si>
  <si>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</si>
  <si>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</si>
  <si>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</si>
  <si>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</si>
  <si>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</si>
  <si>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</si>
  <si>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</si>
  <si>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</si>
  <si>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</si>
  <si>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</si>
  <si>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</si>
  <si>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</si>
  <si>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</si>
  <si>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</si>
  <si>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</si>
  <si>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</si>
  <si>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</si>
  <si>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</si>
  <si>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</si>
  <si>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</si>
  <si>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</si>
  <si>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</si>
  <si>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</si>
  <si>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</si>
  <si>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</si>
  <si>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</si>
  <si>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</si>
  <si>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</si>
  <si>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</si>
  <si>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</si>
  <si>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</si>
  <si>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</si>
  <si>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</si>
  <si>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</si>
  <si>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</si>
  <si>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</si>
  <si>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</si>
  <si>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</si>
  <si>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</si>
  <si>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</si>
  <si>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</si>
  <si>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</si>
  <si>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</si>
  <si>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</si>
  <si>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</si>
  <si>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</si>
  <si>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</si>
  <si>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</si>
  <si>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</si>
  <si>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</si>
  <si>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</si>
  <si>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</si>
  <si>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</si>
  <si>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</si>
  <si>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</si>
  <si>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</si>
  <si>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</si>
  <si>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</si>
  <si>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</si>
  <si>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</si>
  <si>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</si>
  <si>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</si>
  <si>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</si>
  <si>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</si>
  <si>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</si>
  <si>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</si>
  <si>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</si>
  <si>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</si>
  <si>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</si>
  <si>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</si>
  <si>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</si>
  <si>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</si>
  <si>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</si>
  <si>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</si>
  <si>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</si>
  <si>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</si>
  <si>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</si>
  <si>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</si>
  <si>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</si>
  <si>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</si>
  <si>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</si>
  <si>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</si>
  <si>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</si>
  <si>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</si>
  <si>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</si>
  <si>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</si>
  <si>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</si>
  <si>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</si>
  <si>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</si>
  <si>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</si>
  <si>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</si>
  <si>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</si>
  <si>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</si>
  <si>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</si>
  <si>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</si>
  <si>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</si>
  <si>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</si>
  <si>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</si>
  <si>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</si>
  <si>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</si>
  <si>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</si>
  <si>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</si>
  <si>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</si>
  <si>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</si>
  <si>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</si>
  <si>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</si>
  <si>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</si>
  <si>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</si>
  <si>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</si>
  <si>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</si>
  <si>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</si>
  <si>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</si>
  <si>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</si>
  <si>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</si>
  <si>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</si>
  <si>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</si>
  <si>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</si>
  <si>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</si>
  <si>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</si>
  <si>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</si>
  <si>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</si>
  <si>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</si>
  <si>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</si>
  <si>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</si>
  <si>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</si>
  <si>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</si>
  <si>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</si>
  <si>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</si>
  <si>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</si>
  <si>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</si>
  <si>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</si>
  <si>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</si>
  <si>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</si>
  <si>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</si>
  <si>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</si>
  <si>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</si>
  <si>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</si>
  <si>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</si>
  <si>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</si>
  <si>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</si>
  <si>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</si>
  <si>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</si>
  <si>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</si>
  <si>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</si>
  <si>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</si>
  <si>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</si>
  <si>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</si>
  <si>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</si>
  <si>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</si>
  <si>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</si>
  <si>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</si>
  <si>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</si>
  <si>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</si>
  <si>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</si>
  <si>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</si>
  <si>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</si>
  <si>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</si>
  <si>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</si>
  <si>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</si>
  <si>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</si>
  <si>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</si>
  <si>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</si>
  <si>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</si>
  <si>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</si>
  <si>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</si>
  <si>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</si>
  <si>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</si>
  <si>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</si>
  <si>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</si>
  <si>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</si>
  <si>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</si>
  <si>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</si>
  <si>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</si>
  <si>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</si>
  <si>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</si>
  <si>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</si>
  <si>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</si>
  <si>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</si>
  <si>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</si>
  <si>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</si>
  <si>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</si>
  <si>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</si>
  <si>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</si>
  <si>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</si>
  <si>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</si>
  <si>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</si>
  <si>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</si>
  <si>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</si>
  <si>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</si>
  <si>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</si>
  <si>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</si>
  <si>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</si>
  <si>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</si>
  <si>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</si>
  <si>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</si>
  <si>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</si>
  <si>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</si>
  <si>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</si>
  <si>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</si>
  <si>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</si>
  <si>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</si>
  <si>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</si>
  <si>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</si>
  <si>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</si>
  <si>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</si>
  <si>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</si>
  <si>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</si>
  <si>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</si>
  <si>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</si>
  <si>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</si>
  <si>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</si>
  <si>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</si>
  <si>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</si>
  <si>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</si>
  <si>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</si>
  <si>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</si>
  <si>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</si>
  <si>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</si>
  <si>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</si>
  <si>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</si>
  <si>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</si>
  <si>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</si>
  <si>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</si>
  <si>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</si>
  <si>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</si>
  <si>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</si>
  <si>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</si>
  <si>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</si>
  <si>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</si>
  <si>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</si>
  <si>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</si>
  <si>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</si>
  <si>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</si>
  <si>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</si>
  <si>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</si>
  <si>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</si>
  <si>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</si>
  <si>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</si>
  <si>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</si>
  <si>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</si>
  <si>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</si>
  <si>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</si>
  <si>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</si>
  <si>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</si>
  <si>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</si>
  <si>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</si>
  <si>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</si>
  <si>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</si>
  <si>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</si>
  <si>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</si>
  <si>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</si>
  <si>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</si>
  <si>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</si>
  <si>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</si>
  <si>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</si>
  <si>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</si>
  <si>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</si>
  <si>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</si>
  <si>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</si>
  <si>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</si>
  <si>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</si>
  <si>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</si>
  <si>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</si>
  <si>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</si>
  <si>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</si>
  <si>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</si>
  <si>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</si>
  <si>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</si>
  <si>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</si>
  <si>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</si>
  <si>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</si>
  <si>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</si>
  <si>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</si>
  <si>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</si>
  <si>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</si>
  <si>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</si>
  <si>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</si>
  <si>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</si>
  <si>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</si>
  <si>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</si>
  <si>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</si>
  <si>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</si>
  <si>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</si>
  <si>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</si>
  <si>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</si>
  <si>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</si>
  <si>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</si>
  <si>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</si>
  <si>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</si>
  <si>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</si>
  <si>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</si>
  <si>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</si>
  <si>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</si>
  <si>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</si>
  <si>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</si>
  <si>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</si>
  <si>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</si>
  <si>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</si>
  <si>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</si>
  <si>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</si>
  <si>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</si>
  <si>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</si>
  <si>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</si>
  <si>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</si>
  <si>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</si>
  <si>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</si>
  <si>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</si>
  <si>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</si>
  <si>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</si>
  <si>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</si>
  <si>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</si>
  <si>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</si>
  <si>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</si>
  <si>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</si>
  <si>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</si>
  <si>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</si>
  <si>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</si>
  <si>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</si>
  <si>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</si>
  <si>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</si>
  <si>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</si>
  <si>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</si>
  <si>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</si>
  <si>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</si>
  <si>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</si>
  <si>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</si>
  <si>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</si>
  <si>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</si>
  <si>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</si>
  <si>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</si>
  <si>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</si>
  <si>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</si>
  <si>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</si>
  <si>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</si>
  <si>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</si>
  <si>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</si>
  <si>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</si>
  <si>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</si>
  <si>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</si>
  <si>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</si>
  <si>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</si>
  <si>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</si>
  <si>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</si>
  <si>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</si>
  <si>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</si>
  <si>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</si>
  <si>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</si>
  <si>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</si>
  <si>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</si>
  <si>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</si>
  <si>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</si>
  <si>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</si>
  <si>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</si>
  <si>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</si>
  <si>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</si>
  <si>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</si>
  <si>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</si>
  <si>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</si>
  <si>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</si>
  <si>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</si>
  <si>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</si>
  <si>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</si>
  <si>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</si>
  <si>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</si>
  <si>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</si>
  <si>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</si>
  <si>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</si>
  <si>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</si>
  <si>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</si>
  <si>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</si>
  <si>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</si>
  <si>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</si>
  <si>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</si>
  <si>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</si>
  <si>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</si>
  <si>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</si>
  <si>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</si>
  <si>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</si>
  <si>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</si>
  <si>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</si>
  <si>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</si>
  <si>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</si>
  <si>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</si>
  <si>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</si>
  <si>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</si>
  <si>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</si>
  <si>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</si>
  <si>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</si>
  <si>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</si>
  <si>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</si>
  <si>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</si>
  <si>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</si>
  <si>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</si>
  <si>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</si>
  <si>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</si>
  <si>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</si>
  <si>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</si>
  <si>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</si>
  <si>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</si>
  <si>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</si>
  <si>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</si>
  <si>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</si>
  <si>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</si>
  <si>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</si>
  <si>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</si>
  <si>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</si>
  <si>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</si>
  <si>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</si>
  <si>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</si>
  <si>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</si>
  <si>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</si>
  <si>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</si>
  <si>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</si>
  <si>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</si>
  <si>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</si>
  <si>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</si>
  <si>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</si>
  <si>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</si>
  <si>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</si>
  <si>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</si>
  <si>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</si>
  <si>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</si>
  <si>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</si>
  <si>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</si>
  <si>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</si>
  <si>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</si>
  <si>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</si>
  <si>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</si>
  <si>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</si>
  <si>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</si>
  <si>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</si>
  <si>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</si>
  <si>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</si>
  <si>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</si>
  <si>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</si>
  <si>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</si>
  <si>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</si>
  <si>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</si>
  <si>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</si>
  <si>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</si>
  <si>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</si>
  <si>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</si>
  <si>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</si>
  <si>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</si>
  <si>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</si>
  <si>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</si>
  <si>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</si>
  <si>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</si>
  <si>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</si>
  <si>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</si>
  <si>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</si>
  <si>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</si>
  <si>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</si>
  <si>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</si>
  <si>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</si>
  <si>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</si>
  <si>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</si>
  <si>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</si>
  <si>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</si>
  <si>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</si>
  <si>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</si>
  <si>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</si>
  <si>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</si>
  <si>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</si>
  <si>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</si>
  <si>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</si>
  <si>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</si>
  <si>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</si>
  <si>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</si>
  <si>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</si>
  <si>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</si>
  <si>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</si>
  <si>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</si>
  <si>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</si>
  <si>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</si>
  <si>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</si>
  <si>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</si>
  <si>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</si>
  <si>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</si>
  <si>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</si>
  <si>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</si>
  <si>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</si>
  <si>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</si>
  <si>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</si>
  <si>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</si>
  <si>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</si>
  <si>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</si>
  <si>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</si>
  <si>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</si>
  <si>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</si>
  <si>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</si>
  <si>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</si>
  <si>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</si>
  <si>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</si>
  <si>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</si>
  <si>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</si>
  <si>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</si>
  <si>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</si>
  <si>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</si>
  <si>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</si>
  <si>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</si>
  <si>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</si>
  <si>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</si>
  <si>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</si>
  <si>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</si>
  <si>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</si>
  <si>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</si>
  <si>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</si>
  <si>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</si>
  <si>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</si>
  <si>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</si>
  <si>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</si>
  <si>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</si>
  <si>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</si>
  <si>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</si>
  <si>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</si>
  <si>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</si>
  <si>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</si>
  <si>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</si>
  <si>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</si>
  <si>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</si>
  <si>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</si>
  <si>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</si>
  <si>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</si>
  <si>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</si>
  <si>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</si>
  <si>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</si>
  <si>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</si>
  <si>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</si>
  <si>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</si>
  <si>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</si>
  <si>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</si>
  <si>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</si>
  <si>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</si>
  <si>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</si>
  <si>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</si>
  <si>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</si>
  <si>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</si>
  <si>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</si>
  <si>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</si>
  <si>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</si>
  <si>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</si>
  <si>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</si>
  <si>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</si>
  <si>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</si>
  <si>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</si>
  <si>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</si>
  <si>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</si>
  <si>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</si>
  <si>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</si>
  <si>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</si>
  <si>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</si>
  <si>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</si>
  <si>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</si>
  <si>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</si>
  <si>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</si>
  <si>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</si>
  <si>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</si>
  <si>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</si>
  <si>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</si>
  <si>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</si>
  <si>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</si>
  <si>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</si>
  <si>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</si>
  <si>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</si>
  <si>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</si>
  <si>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</si>
  <si>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</si>
  <si>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</si>
  <si>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</si>
  <si>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</si>
  <si>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</si>
  <si>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</si>
  <si>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</si>
  <si>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</si>
  <si>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</si>
  <si>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</si>
  <si>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</si>
  <si>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</si>
  <si>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</si>
  <si>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</si>
  <si>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</si>
  <si>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</si>
  <si>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</si>
  <si>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</si>
  <si>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</si>
  <si>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</si>
  <si>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</si>
  <si>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</si>
  <si>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</si>
  <si>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</si>
  <si>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</si>
  <si>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</si>
  <si>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</si>
  <si>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</si>
  <si>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</si>
  <si>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</si>
  <si>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</si>
  <si>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</si>
  <si>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</si>
  <si>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</si>
  <si>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</si>
  <si>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</si>
  <si>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</si>
  <si>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</si>
  <si>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</si>
  <si>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</si>
  <si>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</si>
  <si>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</si>
  <si>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</si>
  <si>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</si>
  <si>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</si>
  <si>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</si>
  <si>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</si>
  <si>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</si>
  <si>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</si>
  <si>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</si>
  <si>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</si>
  <si>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</si>
  <si>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</si>
  <si>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</si>
  <si>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</si>
  <si>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</si>
  <si>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</si>
  <si>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</si>
  <si>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</si>
  <si>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</si>
  <si>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</si>
  <si>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</si>
  <si>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</si>
  <si>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</si>
  <si>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</si>
  <si>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</si>
  <si>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</si>
  <si>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</si>
  <si>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</si>
  <si>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</si>
  <si>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</si>
  <si>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</si>
  <si>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</si>
  <si>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</si>
  <si>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</si>
  <si>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</si>
  <si>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</si>
  <si>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</si>
  <si>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</si>
  <si>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</si>
  <si>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</si>
  <si>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</si>
  <si>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</si>
  <si>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</si>
  <si>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</si>
  <si>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</si>
  <si>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</si>
  <si>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</si>
  <si>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</si>
  <si>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</si>
  <si>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</si>
  <si>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</si>
  <si>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</si>
  <si>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</si>
  <si>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</si>
  <si>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</si>
  <si>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</si>
  <si>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</si>
  <si>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</si>
  <si>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</si>
  <si>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</si>
  <si>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</si>
  <si>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</si>
  <si>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</si>
  <si>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</si>
  <si>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</si>
  <si>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</si>
  <si>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</si>
  <si>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</si>
  <si>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</si>
  <si>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</si>
  <si>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</si>
  <si>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</si>
  <si>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</si>
  <si>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</si>
  <si>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</si>
  <si>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</si>
  <si>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</si>
  <si>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</si>
  <si>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</si>
  <si>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</si>
  <si>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</si>
  <si>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</si>
  <si>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</si>
  <si>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</si>
  <si>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</si>
  <si>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</si>
  <si>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</si>
  <si>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</si>
  <si>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</si>
  <si>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</si>
  <si>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</si>
  <si>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</si>
  <si>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</si>
  <si>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</si>
  <si>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</si>
  <si>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</si>
  <si>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</si>
  <si>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</si>
  <si>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</si>
  <si>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</si>
  <si>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</si>
  <si>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</si>
  <si>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</si>
  <si>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</si>
  <si>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</si>
  <si>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</si>
  <si>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</si>
  <si>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</si>
  <si>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</si>
  <si>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</si>
  <si>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</si>
  <si>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</si>
  <si>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</si>
  <si>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</si>
  <si>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</si>
  <si>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</si>
  <si>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</si>
  <si>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</si>
  <si>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</si>
  <si>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</si>
  <si>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</si>
  <si>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</si>
  <si>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</si>
  <si>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</si>
  <si>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</si>
  <si>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</si>
  <si>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</si>
  <si>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</si>
  <si>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</si>
  <si>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</si>
  <si>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</si>
  <si>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</si>
  <si>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</si>
  <si>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</si>
  <si>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</si>
  <si>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</si>
  <si>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</si>
  <si>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</si>
  <si>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</si>
  <si>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</si>
  <si>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</si>
  <si>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</si>
  <si>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</si>
  <si>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</si>
  <si>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</si>
  <si>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</si>
  <si>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</si>
  <si>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</si>
  <si>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</si>
  <si>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</si>
  <si>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</si>
  <si>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</si>
  <si>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</si>
  <si>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</si>
  <si>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</si>
  <si>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</si>
  <si>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</si>
  <si>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</si>
  <si>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</si>
  <si>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</si>
  <si>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</si>
  <si>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</si>
  <si>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</si>
  <si>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</si>
  <si>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</si>
  <si>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</si>
  <si>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</si>
  <si>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</si>
  <si>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</si>
  <si>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</si>
  <si>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</si>
  <si>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</si>
  <si>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</si>
  <si>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</si>
  <si>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</si>
  <si>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</si>
  <si>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</si>
  <si>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</si>
  <si>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</si>
  <si>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</si>
  <si>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</si>
  <si>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</si>
  <si>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</si>
  <si>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</si>
  <si>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</si>
  <si>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</si>
  <si>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</si>
  <si>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</si>
  <si>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</si>
  <si>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</si>
  <si>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</si>
  <si>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</si>
  <si>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</si>
  <si>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</si>
  <si>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</si>
  <si>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</si>
  <si>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</si>
  <si>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</si>
  <si>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</si>
  <si>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</si>
  <si>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</si>
  <si>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</si>
  <si>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</si>
  <si>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</si>
  <si>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</si>
  <si>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</si>
  <si>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</si>
  <si>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</si>
  <si>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</si>
  <si>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</si>
  <si>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</si>
  <si>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</si>
  <si>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</si>
  <si>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</si>
  <si>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</si>
  <si>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</si>
  <si>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</si>
  <si>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</si>
  <si>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</si>
  <si>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</si>
  <si>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</si>
  <si>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</si>
  <si>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</si>
  <si>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</si>
  <si>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</si>
  <si>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</si>
  <si>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</si>
  <si>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</si>
  <si>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</si>
  <si>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</si>
  <si>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</si>
  <si>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</si>
  <si>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</si>
  <si>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</si>
  <si>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</si>
  <si>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</si>
  <si>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</si>
  <si>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</si>
  <si>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</si>
  <si>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</si>
  <si>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</si>
  <si>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</si>
  <si>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</si>
  <si>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</si>
  <si>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</si>
  <si>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</si>
  <si>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</si>
  <si>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</si>
  <si>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</si>
  <si>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</si>
  <si>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</si>
  <si>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</si>
  <si>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</si>
  <si>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</si>
  <si>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</si>
  <si>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</si>
  <si>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</si>
  <si>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</si>
  <si>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</si>
  <si>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</si>
  <si>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</si>
  <si>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</si>
  <si>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</si>
  <si>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</si>
  <si>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</si>
  <si>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</si>
  <si>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</si>
  <si>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</si>
  <si>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</si>
  <si>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</si>
  <si>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</si>
  <si>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</si>
  <si>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</si>
  <si>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</si>
  <si>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</si>
  <si>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</si>
  <si>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</si>
  <si>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</si>
  <si>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</si>
  <si>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</si>
  <si>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</si>
  <si>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</si>
  <si>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</si>
  <si>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</si>
  <si>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</si>
  <si>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</si>
  <si>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</si>
  <si>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</si>
  <si>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</si>
  <si>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</si>
  <si>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</si>
  <si>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</si>
  <si>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</si>
  <si>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</si>
  <si>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</si>
  <si>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</si>
  <si>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</si>
  <si>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</si>
  <si>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</si>
  <si>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</si>
  <si>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</si>
  <si>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</si>
  <si>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</si>
  <si>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</si>
  <si>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</si>
  <si>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</si>
  <si>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</si>
  <si>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</si>
  <si>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</si>
  <si>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</si>
  <si>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</si>
  <si>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</si>
  <si>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</si>
  <si>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</si>
  <si>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</si>
  <si>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</si>
  <si>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</si>
  <si>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</si>
  <si>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</si>
  <si>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</si>
  <si>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</si>
  <si>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</si>
  <si>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</si>
  <si>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</si>
  <si>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</si>
  <si>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</si>
  <si>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</si>
  <si>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</si>
  <si>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</si>
  <si>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</si>
  <si>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</si>
  <si>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</si>
  <si>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</si>
  <si>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</si>
  <si>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</si>
  <si>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</si>
  <si>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</si>
  <si>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</si>
  <si>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</si>
  <si>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</si>
  <si>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</si>
  <si>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</si>
  <si>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</si>
  <si>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</si>
  <si>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</si>
  <si>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</si>
  <si>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</si>
  <si>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</si>
  <si>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</si>
  <si>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</si>
  <si>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</si>
  <si>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</si>
  <si>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</si>
  <si>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</si>
  <si>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</si>
  <si>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</si>
  <si>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</si>
  <si>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</si>
  <si>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</si>
  <si>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</si>
  <si>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</si>
  <si>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</si>
  <si>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</si>
  <si>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</si>
  <si>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</si>
  <si>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</si>
  <si>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</si>
  <si>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2023-3</t>
    <phoneticPr fontId="5" type="noConversion"/>
  </si>
  <si>
    <t>2024-1</t>
    <phoneticPr fontId="5" type="noConversion"/>
  </si>
  <si>
    <t>2023-4</t>
    <phoneticPr fontId="5" type="noConversion"/>
  </si>
  <si>
    <t>2023-4</t>
    <phoneticPr fontId="5" type="noConversion"/>
  </si>
  <si>
    <t>2024-3</t>
    <phoneticPr fontId="5" type="noConversion"/>
  </si>
  <si>
    <t>郑燚</t>
  </si>
  <si>
    <t>崔锴</t>
  </si>
  <si>
    <t>新韩银行</t>
    <phoneticPr fontId="8" type="noConversion"/>
  </si>
  <si>
    <t>抵押</t>
  </si>
  <si>
    <t>房地产抵押价值</t>
  </si>
  <si>
    <t>北京市</t>
  </si>
  <si>
    <t>企业</t>
  </si>
  <si>
    <t>工业项目</t>
  </si>
  <si>
    <t>无</t>
  </si>
  <si>
    <t>否</t>
  </si>
  <si>
    <t>现房</t>
  </si>
  <si>
    <t>通路</t>
  </si>
  <si>
    <t>通讯</t>
  </si>
  <si>
    <t>通上水</t>
  </si>
  <si>
    <t>通下水</t>
  </si>
  <si>
    <t>通电</t>
  </si>
  <si>
    <t>通热</t>
  </si>
  <si>
    <t>Ⅷ-生物医药基地</t>
  </si>
  <si>
    <t>地块名称</t>
  </si>
  <si>
    <t>城市</t>
  </si>
  <si>
    <t>地块编号</t>
  </si>
  <si>
    <t>区县</t>
  </si>
  <si>
    <t>板块</t>
  </si>
  <si>
    <t>用地性质</t>
  </si>
  <si>
    <t>建设用地面积(㎡)</t>
  </si>
  <si>
    <t>规划建筑面积(㎡)</t>
  </si>
  <si>
    <t>容积率</t>
  </si>
  <si>
    <t>出让方式</t>
  </si>
  <si>
    <t>建设用地分类</t>
  </si>
  <si>
    <t>详细规划</t>
  </si>
  <si>
    <t>集中供地</t>
  </si>
  <si>
    <t>成交特殊政策</t>
  </si>
  <si>
    <t>成交时间</t>
  </si>
  <si>
    <t>受让单位</t>
  </si>
  <si>
    <t>起始价(万元)</t>
  </si>
  <si>
    <t>成交价(万元)</t>
  </si>
  <si>
    <t>成交土地单价(元/㎡)</t>
  </si>
  <si>
    <t>成交每亩价(万元/亩)</t>
  </si>
  <si>
    <t>成交楼面价(元/㎡)</t>
  </si>
  <si>
    <t>溢价率(%)</t>
  </si>
  <si>
    <t>出让年限(年)</t>
  </si>
  <si>
    <t>开工进度</t>
  </si>
  <si>
    <t>折50年楼面单价</t>
    <phoneticPr fontId="136" type="noConversion"/>
  </si>
  <si>
    <t>亦庄新城YZ00-0606街区0549地块工业项目</t>
  </si>
  <si>
    <t>京开国土挂[2024]02号</t>
  </si>
  <si>
    <t xml:space="preserve"> 大兴区 </t>
  </si>
  <si>
    <t xml:space="preserve"> 路南区 </t>
  </si>
  <si>
    <t xml:space="preserve"> 工业用地 </t>
  </si>
  <si>
    <t xml:space="preserve"> 小于等于1.5 </t>
  </si>
  <si>
    <t xml:space="preserve"> 挂牌 </t>
  </si>
  <si>
    <t xml:space="preserve"> M工业用地 </t>
  </si>
  <si>
    <t xml:space="preserve"> 工业 </t>
  </si>
  <si>
    <t xml:space="preserve">-- </t>
  </si>
  <si>
    <t xml:space="preserve"> -- </t>
  </si>
  <si>
    <t xml:space="preserve"> 北京电控集成电路制造有限责任公司  </t>
  </si>
  <si>
    <t xml:space="preserve"> 未开工 </t>
  </si>
  <si>
    <t>大兴生物医药产业基地DX00-0502-0054地块M1工业用地国有建设用地使用权出让公告</t>
  </si>
  <si>
    <t>京规自挂(兴)工业[2024]001号</t>
  </si>
  <si>
    <t xml:space="preserve"> 北臧村北 </t>
  </si>
  <si>
    <t xml:space="preserve"> 工业厂房 </t>
  </si>
  <si>
    <t xml:space="preserve"> 北京曼迪卡尔科技发展有限公司  </t>
  </si>
  <si>
    <t>七通一平</t>
    <phoneticPr fontId="136" type="noConversion"/>
  </si>
  <si>
    <t>亦庄新城YZ00-0702街区N43M1-2地块 工业项目</t>
  </si>
  <si>
    <t>京开国土挂[2024]01号</t>
  </si>
  <si>
    <t xml:space="preserve"> 小于等于1 </t>
  </si>
  <si>
    <t xml:space="preserve"> M1一类工业用地 </t>
  </si>
  <si>
    <t xml:space="preserve"> 一类工业 用地 (M1) </t>
  </si>
  <si>
    <t xml:space="preserve"> 北京时代动力电池有限公司  </t>
  </si>
  <si>
    <t>土地报酬率</t>
    <phoneticPr fontId="136" type="noConversion"/>
  </si>
  <si>
    <t>亦庄新城YZ00-0803街区1502地块工业项目</t>
  </si>
  <si>
    <t>京开国土挂[2023]15号</t>
  </si>
  <si>
    <t xml:space="preserve"> 瀛海 </t>
  </si>
  <si>
    <t xml:space="preserve"> ≤1.0 </t>
  </si>
  <si>
    <t xml:space="preserve"> 一类工业用地(M1) </t>
  </si>
  <si>
    <t xml:space="preserve"> 北京亦蓝运营管理有限公司  </t>
  </si>
  <si>
    <t xml:space="preserve"> 已开工 </t>
  </si>
  <si>
    <t>年限</t>
    <phoneticPr fontId="136" type="noConversion"/>
  </si>
  <si>
    <t>修正至50年年期修正系数</t>
  </si>
  <si>
    <t>亦庄新城YZ00-0106街区15M1地块工业项目</t>
  </si>
  <si>
    <t>京开国土挂[2023]14号</t>
  </si>
  <si>
    <t xml:space="preserve"> 亦庄核心区北部 </t>
  </si>
  <si>
    <t xml:space="preserve"> ≤2.0 </t>
  </si>
  <si>
    <t xml:space="preserve"> 一类工业用地 (M1) </t>
  </si>
  <si>
    <t xml:space="preserve"> 艾美疫苗股份有限公司  </t>
  </si>
  <si>
    <t xml:space="preserve"> 20年 </t>
  </si>
  <si>
    <t>亦庄新城YZ00-0206街区X44M1地块M1/M4混合用地项目</t>
  </si>
  <si>
    <t>京开国土挂[2023]12号</t>
  </si>
  <si>
    <t xml:space="preserve"> 河西区南部 </t>
  </si>
  <si>
    <t xml:space="preserve"> ≤2.5 </t>
  </si>
  <si>
    <t xml:space="preserve"> M1/M4混合 </t>
  </si>
  <si>
    <t xml:space="preserve"> 北京国科天迅科技股份有限公司  </t>
  </si>
  <si>
    <t>亦庄新城0606街区YZ00-0606-0036地块工业项目</t>
  </si>
  <si>
    <t>京开国土挂[2023]10号</t>
  </si>
  <si>
    <t xml:space="preserve"> 马驹桥南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</si>
  <si>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</si>
  <si>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</si>
  <si>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</si>
  <si>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榆垡镇 </t>
  </si>
  <si>
    <t xml:space="preserve"> S41公共交通设施用地、S42社会停车场用地、M1一类工业用地 </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</si>
  <si>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</si>
  <si>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</si>
  <si>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</si>
  <si>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</si>
  <si>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</si>
  <si>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</si>
  <si>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</si>
  <si>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河西区北部 </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</si>
  <si>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</si>
  <si>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</si>
  <si>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</si>
  <si>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</si>
  <si>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</si>
  <si>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</si>
  <si>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</si>
  <si>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</si>
  <si>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</si>
  <si>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</si>
  <si>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</si>
  <si>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</si>
  <si>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</si>
  <si>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</si>
  <si>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≤1.5 </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</si>
  <si>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</si>
  <si>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</si>
  <si>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</si>
  <si>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</si>
  <si>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</si>
  <si>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</si>
  <si>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</si>
  <si>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</si>
  <si>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</si>
  <si>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</si>
  <si>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</si>
  <si>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</si>
  <si>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路东区北部 </t>
  </si>
  <si>
    <t xml:space="preserve"> ≤0.8 </t>
  </si>
  <si>
    <t xml:space="preserve"> 工业M1 </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</si>
  <si>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</si>
  <si>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</si>
  <si>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</si>
  <si>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</si>
  <si>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</si>
  <si>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</si>
  <si>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</si>
  <si>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</si>
  <si>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</si>
  <si>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</si>
  <si>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</si>
  <si>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</si>
  <si>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</si>
  <si>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</si>
  <si>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小于等于1.07 </t>
  </si>
  <si>
    <t xml:space="preserve"> 18年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</si>
  <si>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</si>
  <si>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</si>
  <si>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</si>
  <si>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</si>
  <si>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</si>
  <si>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</si>
  <si>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</si>
  <si>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</si>
  <si>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青云店镇 </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</si>
  <si>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</si>
  <si>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</si>
  <si>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</si>
  <si>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</si>
  <si>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</si>
  <si>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</si>
  <si>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</si>
  <si>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</si>
  <si>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</si>
  <si>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</si>
  <si>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</si>
  <si>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</si>
  <si>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</si>
  <si>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</si>
  <si>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</si>
  <si>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</si>
  <si>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</si>
  <si>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亦庄核心区南部 </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</si>
  <si>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</si>
  <si>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</si>
  <si>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</si>
  <si>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</si>
  <si>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</si>
  <si>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四通一平</t>
    <phoneticPr fontId="136" type="noConversion"/>
  </si>
  <si>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</si>
  <si>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</si>
  <si>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</si>
  <si>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</si>
  <si>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</si>
  <si>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</si>
  <si>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</si>
  <si>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</si>
  <si>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北京大兴国际机场综合保税区 DX12-0107-081-01地块W1物流用地</t>
  </si>
  <si>
    <t>京临管挂工业〔2022〕002号</t>
  </si>
  <si>
    <t xml:space="preserve"> 礼贤镇 </t>
  </si>
  <si>
    <t xml:space="preserve"> W1物流用地 </t>
  </si>
  <si>
    <t xml:space="preserve"> 上药科园信海(北京)科技发展有限公司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</si>
  <si>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</si>
  <si>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</si>
  <si>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</si>
  <si>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</si>
  <si>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</si>
  <si>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</si>
  <si>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</si>
  <si>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 xml:space="preserve"> 已竣工 </t>
  </si>
  <si>
    <t>北京经济技术开发区亦庄新城YZ00-0606-0101地块工业项目</t>
  </si>
  <si>
    <t>京开国土挂[2022] 2号</t>
  </si>
  <si>
    <t xml:space="preserve"> 小米景曦科技有限公司  </t>
  </si>
  <si>
    <t xml:space="preserve"> 50年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</si>
  <si>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</si>
  <si>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</si>
  <si>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</si>
  <si>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</si>
  <si>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</si>
  <si>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庞各庄镇 </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</si>
  <si>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</si>
  <si>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</si>
  <si>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</si>
  <si>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</si>
  <si>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</si>
  <si>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</si>
  <si>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W1一类物流仓储用地 </t>
  </si>
  <si>
    <t xml:space="preserve"> 北京宝拓仓储服务有限公司  </t>
  </si>
  <si>
    <t>大兴新城东南片区0605-015E地块</t>
  </si>
  <si>
    <t>京规自整储挂(兴)工业〔2021〕010号</t>
  </si>
  <si>
    <t xml:space="preserve"> 天宫院 </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</si>
  <si>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</si>
  <si>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</si>
  <si>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</si>
  <si>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</si>
  <si>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</si>
  <si>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</si>
  <si>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北京大兴国际机场临空经济区DX12-0107-053地块</t>
  </si>
  <si>
    <t>京临管挂工业[2021]003号</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</si>
  <si>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</si>
  <si>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</si>
  <si>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</si>
  <si>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</si>
  <si>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</si>
  <si>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</si>
  <si>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</si>
  <si>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</si>
  <si>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</si>
  <si>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</si>
  <si>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</si>
  <si>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</si>
  <si>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</si>
  <si>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</si>
  <si>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四通一平</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</si>
  <si>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</si>
  <si>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</si>
  <si>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</si>
  <si>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</si>
  <si>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</si>
  <si>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 xml:space="preserve"> 50年 </t>
    <phoneticPr fontId="136" type="noConversion"/>
  </si>
  <si>
    <t>北京经济技术开发区路东区D9M3地块</t>
  </si>
  <si>
    <t>京开国土挂[2021]6号</t>
  </si>
  <si>
    <t xml:space="preserve"> 路东区 </t>
  </si>
  <si>
    <t xml:space="preserve"> 俐玛光电科技(北京)有限公司  </t>
  </si>
  <si>
    <t>亦庄新城0803街区YZ00-0803-0405地块</t>
  </si>
  <si>
    <t>京开国土挂[2021]10号</t>
  </si>
  <si>
    <t xml:space="preserve"> G1公园绿地 </t>
  </si>
  <si>
    <t xml:space="preserve"> 东南西北四至分别为瀛祥路、瀛元街、公园绿地、瀛腾巷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</si>
  <si>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</si>
  <si>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</si>
  <si>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</si>
  <si>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</si>
  <si>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</si>
  <si>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</si>
  <si>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</si>
  <si>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</si>
  <si>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</si>
  <si>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</si>
  <si>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北京大兴国际机场综合保税区0107-037地块M1工业用地国有建设用地使用权出让</t>
  </si>
  <si>
    <t>京临管挂工业〔2021〕002号</t>
  </si>
  <si>
    <t xml:space="preserve"> ≤1 </t>
  </si>
  <si>
    <t xml:space="preserve"> M1工业用地 </t>
  </si>
  <si>
    <t xml:space="preserve"> 北京航城兴达建设实业有限公司  </t>
  </si>
  <si>
    <t>亦庄新城0606街区YZ00-0606-0032地块工业项目国有建设用地使用权挂牌供应公告</t>
  </si>
  <si>
    <t>京开国土挂[2021]8号</t>
  </si>
  <si>
    <t>北京大兴国际机场临空经济区0107-076、095地块W1一类物流仓储用地国有建设用地使用权出让</t>
  </si>
  <si>
    <t>京临管挂工业〔2021〕001号</t>
  </si>
  <si>
    <t xml:space="preserve"> W物流仓储用地 </t>
  </si>
  <si>
    <t xml:space="preserve"> 物流仓储用地 </t>
  </si>
  <si>
    <t xml:space="preserve"> 北京丰捷泰企业管理有限公司  </t>
  </si>
  <si>
    <t>北京经济技术开发区路东区B13M1、B14M1地块</t>
  </si>
  <si>
    <t>京开国土挂[2021]05号</t>
  </si>
  <si>
    <t xml:space="preserve"> ≤2.44 </t>
  </si>
  <si>
    <t>北京市经济技术开发区金桥产业基地B2-3-3-1地块</t>
  </si>
  <si>
    <t>京开国土挂【2021】04号</t>
  </si>
  <si>
    <t xml:space="preserve"> ≤1.2 </t>
  </si>
  <si>
    <t xml:space="preserve"> 工业用地M1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</si>
  <si>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</si>
  <si>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</si>
  <si>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</si>
  <si>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</si>
  <si>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</si>
  <si>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</si>
  <si>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</si>
  <si>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</si>
  <si>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</si>
  <si>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</si>
  <si>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</si>
  <si>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</si>
  <si>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</si>
  <si>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</si>
  <si>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</si>
  <si>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</si>
  <si>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</si>
  <si>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</si>
  <si>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</si>
  <si>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</si>
  <si>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</si>
  <si>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</si>
  <si>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</si>
  <si>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</si>
  <si>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</si>
  <si>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</si>
  <si>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</si>
  <si>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</si>
  <si>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</si>
  <si>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</si>
  <si>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</si>
  <si>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</si>
  <si>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</si>
  <si>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</si>
  <si>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</si>
  <si>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</si>
  <si>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</si>
  <si>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</si>
  <si>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</si>
  <si>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</si>
  <si>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</si>
  <si>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</si>
  <si>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马驹桥 </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</si>
  <si>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</si>
  <si>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</si>
  <si>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</si>
  <si>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</si>
  <si>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https://j.map.baidu.com/78/uDpi</t>
    <phoneticPr fontId="136" type="noConversion"/>
  </si>
  <si>
    <r>
      <t>1</t>
    </r>
    <r>
      <rPr>
        <sz val="10"/>
        <color indexed="8"/>
        <rFont val="宋体"/>
        <family val="3"/>
        <charset val="134"/>
      </rPr>
      <t>幢车间</t>
    </r>
    <phoneticPr fontId="5" type="noConversion"/>
  </si>
  <si>
    <t>2幢实验楼</t>
    <phoneticPr fontId="5" type="noConversion"/>
  </si>
  <si>
    <r>
      <t>1</t>
    </r>
    <r>
      <rPr>
        <sz val="10"/>
        <color indexed="8"/>
        <rFont val="宋体"/>
        <family val="3"/>
        <charset val="134"/>
      </rPr>
      <t>号楼附属楼</t>
    </r>
    <phoneticPr fontId="5" type="noConversion"/>
  </si>
  <si>
    <t>是</t>
  </si>
  <si>
    <t>地上</t>
  </si>
  <si>
    <t>车间</t>
  </si>
  <si>
    <t>工规证</t>
    <phoneticPr fontId="5" type="noConversion"/>
  </si>
  <si>
    <t>地下</t>
  </si>
  <si>
    <t>建面</t>
    <phoneticPr fontId="5" type="noConversion"/>
  </si>
  <si>
    <t>单方建安</t>
    <phoneticPr fontId="5" type="noConversion"/>
  </si>
  <si>
    <t>合计</t>
    <phoneticPr fontId="5" type="noConversion"/>
  </si>
  <si>
    <t>建安</t>
    <phoneticPr fontId="5" type="noConversion"/>
  </si>
  <si>
    <t>主体</t>
    <phoneticPr fontId="5" type="noConversion"/>
  </si>
  <si>
    <t>地上</t>
    <phoneticPr fontId="5" type="noConversion"/>
  </si>
  <si>
    <t>地下</t>
    <phoneticPr fontId="5" type="noConversion"/>
  </si>
  <si>
    <t>装修</t>
    <phoneticPr fontId="5" type="noConversion"/>
  </si>
  <si>
    <t>设备</t>
    <phoneticPr fontId="5" type="noConversion"/>
  </si>
  <si>
    <t>人防设备</t>
    <phoneticPr fontId="5" type="noConversion"/>
  </si>
  <si>
    <t>综合平均</t>
    <phoneticPr fontId="5" type="noConversion"/>
  </si>
  <si>
    <t>成新度</t>
  </si>
  <si>
    <t>建成年代</t>
    <phoneticPr fontId="5" type="noConversion"/>
  </si>
  <si>
    <t>楼号</t>
    <phoneticPr fontId="5" type="noConversion"/>
  </si>
  <si>
    <t>楼层</t>
    <phoneticPr fontId="5" type="noConversion"/>
  </si>
  <si>
    <t>车间</t>
    <phoneticPr fontId="5" type="noConversion"/>
  </si>
  <si>
    <r>
      <t>5</t>
    </r>
    <r>
      <rPr>
        <sz val="10"/>
        <color indexed="8"/>
        <rFont val="宋体"/>
        <family val="3"/>
        <charset val="134"/>
      </rPr>
      <t>（</t>
    </r>
    <r>
      <rPr>
        <sz val="10"/>
        <color indexed="8"/>
        <rFont val="Arial"/>
        <family val="2"/>
      </rPr>
      <t>-01</t>
    </r>
    <r>
      <rPr>
        <sz val="10"/>
        <color indexed="8"/>
        <rFont val="宋体"/>
        <family val="3"/>
        <charset val="134"/>
      </rPr>
      <t>）</t>
    </r>
    <phoneticPr fontId="5" type="noConversion"/>
  </si>
  <si>
    <t>结构</t>
    <phoneticPr fontId="5" type="noConversion"/>
  </si>
  <si>
    <t>钢</t>
  </si>
  <si>
    <t>钢</t>
    <phoneticPr fontId="5" type="noConversion"/>
  </si>
  <si>
    <t>钢混</t>
  </si>
  <si>
    <t>钢混</t>
    <phoneticPr fontId="5" type="noConversion"/>
  </si>
  <si>
    <t>现状用途</t>
    <phoneticPr fontId="5" type="noConversion"/>
  </si>
  <si>
    <r>
      <t>1</t>
    </r>
    <r>
      <rPr>
        <sz val="10"/>
        <color indexed="8"/>
        <rFont val="宋体"/>
        <family val="3"/>
        <charset val="134"/>
      </rPr>
      <t>幢车间</t>
    </r>
    <r>
      <rPr>
        <sz val="10"/>
        <color indexed="8"/>
        <rFont val="Arial"/>
        <family val="2"/>
      </rPr>
      <t>-</t>
    </r>
    <r>
      <rPr>
        <sz val="10"/>
        <color indexed="8"/>
        <rFont val="Arial"/>
        <family val="2"/>
      </rPr>
      <t>2</t>
    </r>
    <r>
      <rPr>
        <sz val="10"/>
        <color indexed="8"/>
        <rFont val="宋体"/>
        <family val="3"/>
        <charset val="134"/>
      </rPr>
      <t>号楼</t>
    </r>
    <phoneticPr fontId="5" type="noConversion"/>
  </si>
  <si>
    <t>办公</t>
    <phoneticPr fontId="5" type="noConversion"/>
  </si>
  <si>
    <t>办公、宿舍</t>
    <phoneticPr fontId="5" type="noConversion"/>
  </si>
  <si>
    <t>建面</t>
    <phoneticPr fontId="5" type="noConversion"/>
  </si>
  <si>
    <t>成新</t>
    <phoneticPr fontId="5" type="noConversion"/>
  </si>
  <si>
    <t>押一</t>
  </si>
  <si>
    <t>生产用房</t>
  </si>
  <si>
    <t>收益法-车间</t>
    <phoneticPr fontId="18" type="noConversion"/>
  </si>
  <si>
    <t>收益法-办公</t>
  </si>
  <si>
    <t>收益法-办公</t>
    <phoneticPr fontId="18" type="noConversion"/>
  </si>
  <si>
    <t>N为估价对象土地年限</t>
    <phoneticPr fontId="136" type="noConversion"/>
  </si>
  <si>
    <t>n为案例土地年限</t>
    <phoneticPr fontId="136" type="noConversion"/>
  </si>
  <si>
    <r>
      <t>V（</t>
    </r>
    <r>
      <rPr>
        <sz val="11"/>
        <color theme="1"/>
        <rFont val="宋体"/>
        <family val="3"/>
        <charset val="134"/>
        <scheme val="minor"/>
      </rPr>
      <t>n）为案例楼面单价</t>
    </r>
    <phoneticPr fontId="136" type="noConversion"/>
  </si>
  <si>
    <t>V（N）为修正后案例楼面单价</t>
    <phoneticPr fontId="136" type="noConversion"/>
  </si>
  <si>
    <t>https://www.beijing.gov.cn/zhengce/zhengcefagui/201905/t20190522_57522.html</t>
    <phoneticPr fontId="5" type="noConversion"/>
  </si>
  <si>
    <t>非生产用房</t>
  </si>
  <si>
    <t>总价</t>
  </si>
  <si>
    <t>成本比率</t>
  </si>
  <si>
    <t>成本法</t>
  </si>
  <si>
    <t>收益法（汇总）</t>
  </si>
  <si>
    <t>2021-1</t>
    <phoneticPr fontId="34" type="noConversion"/>
  </si>
  <si>
    <t>工业</t>
    <phoneticPr fontId="34" type="noConversion"/>
  </si>
  <si>
    <t>七通</t>
  </si>
  <si>
    <t>六通</t>
  </si>
  <si>
    <t>五通</t>
  </si>
  <si>
    <t>四通</t>
  </si>
  <si>
    <t>三通</t>
  </si>
  <si>
    <t>较规则</t>
  </si>
  <si>
    <t>较规则</t>
    <phoneticPr fontId="34" type="noConversion"/>
  </si>
  <si>
    <t>较好</t>
  </si>
  <si>
    <t>较好</t>
    <phoneticPr fontId="34" type="noConversion"/>
  </si>
  <si>
    <t>楼面地价</t>
  </si>
  <si>
    <t>正常</t>
  </si>
  <si>
    <t>一般</t>
  </si>
  <si>
    <t>实验楼有地下消防水池、泵房工规证建面765.8</t>
    <phoneticPr fontId="5" type="noConversion"/>
  </si>
  <si>
    <t>层高</t>
    <phoneticPr fontId="5" type="noConversion"/>
  </si>
  <si>
    <r>
      <t>1</t>
    </r>
    <r>
      <rPr>
        <sz val="10"/>
        <color indexed="8"/>
        <rFont val="宋体"/>
        <family val="3"/>
        <charset val="134"/>
      </rPr>
      <t>层</t>
    </r>
    <r>
      <rPr>
        <sz val="10"/>
        <color indexed="8"/>
        <rFont val="Arial"/>
        <family val="2"/>
      </rPr>
      <t>8.7-10.6</t>
    </r>
    <r>
      <rPr>
        <sz val="10"/>
        <color indexed="8"/>
        <rFont val="宋体"/>
        <family val="3"/>
        <charset val="134"/>
      </rPr>
      <t>米，</t>
    </r>
    <r>
      <rPr>
        <sz val="10"/>
        <color indexed="8"/>
        <rFont val="Arial"/>
        <family val="2"/>
      </rPr>
      <t>2</t>
    </r>
    <r>
      <rPr>
        <sz val="10"/>
        <color indexed="8"/>
        <rFont val="宋体"/>
        <family val="3"/>
        <charset val="134"/>
      </rPr>
      <t>层</t>
    </r>
    <r>
      <rPr>
        <sz val="10"/>
        <color indexed="8"/>
        <rFont val="Arial"/>
        <family val="2"/>
      </rPr>
      <t>8.4</t>
    </r>
    <r>
      <rPr>
        <sz val="10"/>
        <color indexed="8"/>
        <rFont val="宋体"/>
        <family val="3"/>
        <charset val="134"/>
      </rPr>
      <t>米</t>
    </r>
    <phoneticPr fontId="5" type="noConversion"/>
  </si>
  <si>
    <r>
      <t>3-3.9</t>
    </r>
    <r>
      <rPr>
        <sz val="10"/>
        <color indexed="8"/>
        <rFont val="宋体"/>
        <family val="3"/>
        <charset val="134"/>
      </rPr>
      <t>米，地下</t>
    </r>
    <r>
      <rPr>
        <sz val="10"/>
        <color indexed="8"/>
        <rFont val="Arial"/>
        <family val="2"/>
      </rPr>
      <t>4.9</t>
    </r>
    <r>
      <rPr>
        <sz val="10"/>
        <color indexed="8"/>
        <rFont val="宋体"/>
        <family val="3"/>
        <charset val="134"/>
      </rPr>
      <t>米</t>
    </r>
    <phoneticPr fontId="5" type="noConversion"/>
  </si>
  <si>
    <r>
      <t>2.4-4</t>
    </r>
    <r>
      <rPr>
        <sz val="10"/>
        <color indexed="8"/>
        <rFont val="宋体"/>
        <family val="3"/>
        <charset val="134"/>
      </rPr>
      <t>米</t>
    </r>
    <phoneticPr fontId="5" type="noConversion"/>
  </si>
  <si>
    <t>建安</t>
    <phoneticPr fontId="5" type="noConversion"/>
  </si>
  <si>
    <t>未包含在土地购买价格中</t>
  </si>
  <si>
    <t>全部缴纳</t>
  </si>
  <si>
    <t>已包含在土地取得成本中</t>
  </si>
  <si>
    <t>估价对象容积率</t>
  </si>
  <si>
    <t>不临65条商业街</t>
  </si>
  <si>
    <t>与级别开发程度不一致</t>
  </si>
  <si>
    <t>平整</t>
  </si>
  <si>
    <t>较差</t>
  </si>
  <si>
    <t>建筑面积</t>
  </si>
  <si>
    <t>土地面积</t>
  </si>
  <si>
    <t>建筑物价值</t>
  </si>
  <si>
    <t>2幢实验楼-1号楼</t>
  </si>
  <si>
    <t>2幢实验楼-1号楼</t>
    <phoneticPr fontId="136" type="noConversion"/>
  </si>
  <si>
    <t>楼层</t>
    <phoneticPr fontId="136" type="noConversion"/>
  </si>
  <si>
    <t>租赁面积</t>
    <phoneticPr fontId="136" type="noConversion"/>
  </si>
  <si>
    <t>用途</t>
    <phoneticPr fontId="136" type="noConversion"/>
  </si>
  <si>
    <t>办公</t>
    <phoneticPr fontId="136" type="noConversion"/>
  </si>
  <si>
    <t>起租日</t>
    <phoneticPr fontId="136" type="noConversion"/>
  </si>
  <si>
    <t>结束日</t>
    <phoneticPr fontId="136" type="noConversion"/>
  </si>
  <si>
    <t>日租金</t>
    <phoneticPr fontId="136" type="noConversion"/>
  </si>
  <si>
    <t>租户</t>
    <phoneticPr fontId="136" type="noConversion"/>
  </si>
  <si>
    <t>博昊云天</t>
    <phoneticPr fontId="136" type="noConversion"/>
  </si>
  <si>
    <t>楼宇</t>
    <phoneticPr fontId="136" type="noConversion"/>
  </si>
  <si>
    <t>2幢实验楼-1号楼</t>
    <phoneticPr fontId="136" type="noConversion"/>
  </si>
  <si>
    <t>1号楼附属楼-3号楼</t>
  </si>
  <si>
    <t>1号楼附属楼-3号楼</t>
    <phoneticPr fontId="136" type="noConversion"/>
  </si>
  <si>
    <t>数字科怡</t>
    <phoneticPr fontId="136" type="noConversion"/>
  </si>
  <si>
    <t>年租金</t>
    <phoneticPr fontId="136" type="noConversion"/>
  </si>
  <si>
    <t>1幢车间-2号楼</t>
  </si>
  <si>
    <t>1幢车间-2号楼</t>
    <phoneticPr fontId="136" type="noConversion"/>
  </si>
  <si>
    <t>仓储和托管服务</t>
    <phoneticPr fontId="136" type="noConversion"/>
  </si>
  <si>
    <r>
      <t>第3</t>
    </r>
    <r>
      <rPr>
        <sz val="11"/>
        <color theme="1"/>
        <rFont val="宋体"/>
        <family val="3"/>
        <charset val="134"/>
        <scheme val="minor"/>
      </rPr>
      <t>-4年</t>
    </r>
    <phoneticPr fontId="136" type="noConversion"/>
  </si>
  <si>
    <r>
      <t>第5-6年</t>
    </r>
    <r>
      <rPr>
        <sz val="11"/>
        <color theme="1"/>
        <rFont val="宋体"/>
        <family val="2"/>
        <charset val="134"/>
        <scheme val="minor"/>
      </rPr>
      <t/>
    </r>
    <phoneticPr fontId="136" type="noConversion"/>
  </si>
  <si>
    <r>
      <t>第7-8年</t>
    </r>
    <r>
      <rPr>
        <sz val="11"/>
        <color theme="1"/>
        <rFont val="宋体"/>
        <family val="2"/>
        <charset val="134"/>
        <scheme val="minor"/>
      </rPr>
      <t/>
    </r>
    <phoneticPr fontId="136" type="noConversion"/>
  </si>
  <si>
    <r>
      <t>第9-10年</t>
    </r>
    <r>
      <rPr>
        <sz val="11"/>
        <color theme="1"/>
        <rFont val="宋体"/>
        <family val="2"/>
        <charset val="134"/>
        <scheme val="minor"/>
      </rPr>
      <t/>
    </r>
    <phoneticPr fontId="136" type="noConversion"/>
  </si>
  <si>
    <r>
      <t>第11-12年</t>
    </r>
    <r>
      <rPr>
        <sz val="11"/>
        <color theme="1"/>
        <rFont val="宋体"/>
        <family val="2"/>
        <charset val="134"/>
        <scheme val="minor"/>
      </rPr>
      <t/>
    </r>
    <phoneticPr fontId="136" type="noConversion"/>
  </si>
  <si>
    <r>
      <t>第13-15年</t>
    </r>
    <r>
      <rPr>
        <sz val="11"/>
        <color theme="1"/>
        <rFont val="宋体"/>
        <family val="2"/>
        <charset val="134"/>
        <scheme val="minor"/>
      </rPr>
      <t/>
    </r>
    <phoneticPr fontId="136" type="noConversion"/>
  </si>
  <si>
    <t>天科合达</t>
    <phoneticPr fontId="136" type="noConversion"/>
  </si>
  <si>
    <t>厂房</t>
  </si>
  <si>
    <t>建面</t>
    <phoneticPr fontId="136" type="noConversion"/>
  </si>
  <si>
    <t>租赁面积</t>
    <phoneticPr fontId="136" type="noConversion"/>
  </si>
  <si>
    <t>车间</t>
    <phoneticPr fontId="136" type="noConversion"/>
  </si>
  <si>
    <t>办公</t>
    <phoneticPr fontId="136" type="noConversion"/>
  </si>
  <si>
    <t>项目模式</t>
  </si>
  <si>
    <t>租金</t>
  </si>
  <si>
    <t>工业</t>
    <phoneticPr fontId="33" type="noConversion"/>
  </si>
  <si>
    <t>报价</t>
  </si>
  <si>
    <t>报价</t>
    <phoneticPr fontId="33" type="noConversion"/>
  </si>
  <si>
    <t>爱生科技园</t>
    <phoneticPr fontId="5" type="noConversion"/>
  </si>
  <si>
    <t>天河西路25号</t>
    <phoneticPr fontId="5" type="noConversion"/>
  </si>
  <si>
    <r>
      <rPr>
        <sz val="11"/>
        <rFont val="宋体"/>
        <family val="3"/>
        <charset val="134"/>
      </rPr>
      <t>可生产可办公，层高</t>
    </r>
    <r>
      <rPr>
        <sz val="11"/>
        <rFont val="Arial"/>
        <family val="2"/>
      </rPr>
      <t>4-5</t>
    </r>
    <r>
      <rPr>
        <sz val="11"/>
        <rFont val="宋体"/>
        <family val="3"/>
        <charset val="134"/>
      </rPr>
      <t>米，租金</t>
    </r>
    <r>
      <rPr>
        <sz val="11"/>
        <rFont val="Arial"/>
        <family val="2"/>
      </rPr>
      <t>2-2.4</t>
    </r>
    <phoneticPr fontId="33" type="noConversion"/>
  </si>
  <si>
    <t>办公</t>
    <phoneticPr fontId="33" type="noConversion"/>
  </si>
  <si>
    <t>厂房</t>
    <phoneticPr fontId="33" type="noConversion"/>
  </si>
  <si>
    <t>永兴路25号</t>
    <phoneticPr fontId="5" type="noConversion"/>
  </si>
  <si>
    <t>租金</t>
    <phoneticPr fontId="5" type="noConversion"/>
  </si>
  <si>
    <r>
      <t>爱生科技园，可生产可办公，租金2</t>
    </r>
    <r>
      <rPr>
        <sz val="11"/>
        <color theme="1"/>
        <rFont val="宋体"/>
        <family val="3"/>
        <charset val="134"/>
        <scheme val="minor"/>
      </rPr>
      <t>-2.4，不含物业费，含税</t>
    </r>
    <phoneticPr fontId="136" type="noConversion"/>
  </si>
  <si>
    <t>好景象科技园</t>
    <phoneticPr fontId="5" type="noConversion"/>
  </si>
  <si>
    <t>中粮达瑞兴生命健康产业园</t>
    <phoneticPr fontId="5" type="noConversion"/>
  </si>
  <si>
    <t>中粮达瑞兴生命健康产业园，1层车间层高7.2米，2层6米多，3层3米多，3层以上办公，租金一样2.1，含税不含物业费</t>
    <phoneticPr fontId="136" type="noConversion"/>
  </si>
  <si>
    <t>好景象科技园，可办公，可生产，1层办公700多平，车间1300多平，高4-5米多，租金2.1，不含物业费，物业费1毛，2层2000多平，可生产可办公，1.8含物业费</t>
    <phoneticPr fontId="136" type="noConversion"/>
  </si>
  <si>
    <t>大兴生物医药基地，车间层高8米，1.2含税不含物业费，整栋租便宜，楼上可办公</t>
    <phoneticPr fontId="136" type="noConversion"/>
  </si>
  <si>
    <t>民和路11号厂房</t>
    <phoneticPr fontId="136" type="noConversion"/>
  </si>
  <si>
    <t>民和路11号，车间5-6米，租金1.6-1.5，净租金</t>
    <phoneticPr fontId="136" type="noConversion"/>
  </si>
  <si>
    <t>大庄桥东侧，车间7-8米，租金1.5左右，13520456181杜</t>
    <phoneticPr fontId="136" type="noConversion"/>
  </si>
  <si>
    <t>大庄桥东侧与天河北路附近</t>
    <phoneticPr fontId="5" type="noConversion"/>
  </si>
  <si>
    <t>大兴生物医药基地</t>
    <phoneticPr fontId="136" type="noConversion"/>
  </si>
  <si>
    <t>可办公、可生产</t>
    <phoneticPr fontId="33" type="noConversion"/>
  </si>
  <si>
    <t>钢混</t>
    <phoneticPr fontId="33" type="noConversion"/>
  </si>
  <si>
    <t>办公</t>
    <phoneticPr fontId="136" type="noConversion"/>
  </si>
  <si>
    <t>车间</t>
    <phoneticPr fontId="136" type="noConversion"/>
  </si>
  <si>
    <t>建面租金</t>
    <phoneticPr fontId="136" type="noConversion"/>
  </si>
  <si>
    <t>租赁年度</t>
    <phoneticPr fontId="249" type="noConversion"/>
  </si>
  <si>
    <t>合计</t>
    <phoneticPr fontId="249" type="noConversion"/>
  </si>
  <si>
    <t>租金</t>
    <phoneticPr fontId="249" type="noConversion"/>
  </si>
  <si>
    <t>平均增幅试算</t>
    <phoneticPr fontId="249" type="noConversion"/>
  </si>
  <si>
    <t>数据→模拟分析→单变量求解→目标单元格C10→可变单元格C9→目标值B3（手动录入数值）→“确定”</t>
    <phoneticPr fontId="249" type="noConversion"/>
  </si>
  <si>
    <t>首年租金</t>
    <phoneticPr fontId="249" type="noConversion"/>
  </si>
  <si>
    <t>A</t>
    <phoneticPr fontId="249" type="noConversion"/>
  </si>
  <si>
    <t>租期</t>
    <phoneticPr fontId="249" type="noConversion"/>
  </si>
  <si>
    <t>n</t>
    <phoneticPr fontId="249" type="noConversion"/>
  </si>
  <si>
    <t>平均增幅</t>
    <phoneticPr fontId="249" type="noConversion"/>
  </si>
  <si>
    <t>g</t>
    <phoneticPr fontId="249" type="noConversion"/>
  </si>
  <si>
    <t>∑A</t>
    <phoneticPr fontId="249" type="noConversion"/>
  </si>
  <si>
    <t>面积</t>
    <phoneticPr fontId="249" type="noConversion"/>
  </si>
  <si>
    <t>单价</t>
    <phoneticPr fontId="249" type="noConversion"/>
  </si>
  <si>
    <t>总价</t>
    <phoneticPr fontId="249" type="noConversion"/>
  </si>
  <si>
    <t>办公（平均增幅1.81%）</t>
    <phoneticPr fontId="136" type="noConversion"/>
  </si>
  <si>
    <t>办公（平均增幅2.18%）</t>
    <phoneticPr fontId="136" type="noConversion"/>
  </si>
  <si>
    <t>价值时点</t>
    <phoneticPr fontId="136" type="noConversion"/>
  </si>
  <si>
    <t>起始日</t>
    <phoneticPr fontId="136" type="noConversion"/>
  </si>
  <si>
    <t>终止日</t>
    <phoneticPr fontId="136" type="noConversion"/>
  </si>
  <si>
    <t>天数</t>
    <phoneticPr fontId="136" type="noConversion"/>
  </si>
  <si>
    <t>日租金</t>
    <phoneticPr fontId="136" type="noConversion"/>
  </si>
  <si>
    <t>年租金</t>
    <phoneticPr fontId="136" type="noConversion"/>
  </si>
  <si>
    <t>综合</t>
    <phoneticPr fontId="136" type="noConversion"/>
  </si>
  <si>
    <t>最长租期终止日</t>
    <phoneticPr fontId="136" type="noConversion"/>
  </si>
  <si>
    <t>剩余租赁期</t>
    <phoneticPr fontId="136" type="noConversion"/>
  </si>
  <si>
    <t>市场租金</t>
    <phoneticPr fontId="136" type="noConversion"/>
  </si>
  <si>
    <t>到期后成新度</t>
    <phoneticPr fontId="136" type="noConversion"/>
  </si>
  <si>
    <t>年租金增长率</t>
    <phoneticPr fontId="136" type="noConversion"/>
  </si>
  <si>
    <t>租约期外租金</t>
    <phoneticPr fontId="136" type="noConversion"/>
  </si>
  <si>
    <t>平均增长率</t>
    <phoneticPr fontId="136" type="noConversion"/>
  </si>
  <si>
    <t>办公（平均增幅1.18%）</t>
    <phoneticPr fontId="136" type="noConversion"/>
  </si>
  <si>
    <t>办公（平均增幅1.64%）</t>
    <phoneticPr fontId="136" type="noConversion"/>
  </si>
  <si>
    <t>厂房（平均增幅2.12%）</t>
    <phoneticPr fontId="136" type="noConversion"/>
  </si>
  <si>
    <t>建面</t>
    <phoneticPr fontId="136" type="noConversion"/>
  </si>
  <si>
    <t>租赁面积</t>
    <phoneticPr fontId="136" type="noConversion"/>
  </si>
  <si>
    <t>占比</t>
    <phoneticPr fontId="136" type="noConversion"/>
  </si>
  <si>
    <t>未出租-车间</t>
  </si>
  <si>
    <t>未出租-车间</t>
    <phoneticPr fontId="9" type="noConversion"/>
  </si>
  <si>
    <t>已出租-车间</t>
  </si>
  <si>
    <t>已出租-车间</t>
    <phoneticPr fontId="9" type="noConversion"/>
  </si>
  <si>
    <t>办公</t>
    <phoneticPr fontId="9" type="noConversion"/>
  </si>
  <si>
    <t>收益法-已出租车间</t>
  </si>
  <si>
    <t>收益法-已出租车间</t>
    <phoneticPr fontId="18" type="noConversion"/>
  </si>
  <si>
    <t>收益法-未出租车间</t>
  </si>
  <si>
    <t>收益法-未出租车间</t>
    <phoneticPr fontId="18" type="noConversion"/>
  </si>
  <si>
    <t>1层大堂</t>
    <phoneticPr fontId="136" type="noConversion"/>
  </si>
  <si>
    <t>北京市大兴区人民政府关于印发大兴区城市基础设施建设费暂行办法的通知</t>
    <phoneticPr fontId="5" type="noConversion"/>
  </si>
  <si>
    <r>
      <t>1</t>
    </r>
    <r>
      <rPr>
        <sz val="10"/>
        <color indexed="8"/>
        <rFont val="宋体"/>
        <family val="3"/>
        <charset val="134"/>
      </rPr>
      <t>号楼附属楼</t>
    </r>
    <r>
      <rPr>
        <sz val="10"/>
        <color indexed="8"/>
        <rFont val="Arial"/>
        <family val="2"/>
      </rPr>
      <t>-1</t>
    </r>
    <r>
      <rPr>
        <sz val="10"/>
        <color indexed="8"/>
        <rFont val="宋体"/>
        <family val="3"/>
        <charset val="134"/>
      </rPr>
      <t>号楼</t>
    </r>
    <phoneticPr fontId="5" type="noConversion"/>
  </si>
  <si>
    <r>
      <t>2</t>
    </r>
    <r>
      <rPr>
        <sz val="10"/>
        <color indexed="8"/>
        <rFont val="宋体"/>
        <family val="3"/>
        <charset val="134"/>
      </rPr>
      <t>幢实验楼</t>
    </r>
    <r>
      <rPr>
        <sz val="10"/>
        <color indexed="8"/>
        <rFont val="Arial"/>
        <family val="2"/>
      </rPr>
      <t>-3</t>
    </r>
    <r>
      <rPr>
        <sz val="10"/>
        <color indexed="8"/>
        <rFont val="宋体"/>
        <family val="3"/>
        <charset val="134"/>
      </rPr>
      <t>号楼</t>
    </r>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</si>
</sst>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1"/>
      <name val="宋体"/>
      <family val="3"/>
      <charset val="134"/>
      <scheme val="minor"/>
    </font>
    <font>
      <sz val="8"/>
      <color theme="1"/>
      <name val="宋体"/>
      <family val="2"/>
      <charset val="134"/>
      <scheme val="minor"/>
    </font>
    <font>
      <sz val="11"/>
      <color rgb="FFC00000"/>
      <name val="宋体"/>
      <family val="2"/>
      <charset val="134"/>
      <scheme val="minor"/>
    </font>
    <font>
      <sz val="11"/>
      <color rgb="FFC00000"/>
      <name val="宋体"/>
      <family val="3"/>
      <charset val="134"/>
      <scheme val="minor"/>
    </font>
    <font>
      <sz val="9"/>
      <color theme="1"/>
      <name val="宋体"/>
      <family val="2"/>
      <charset val="134"/>
      <scheme val="minor"/>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2" fillId="0" borderId="0" applyNumberForma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cellStyleXfs>
  <cellXfs count="3565">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79" fillId="7" borderId="150" xfId="0" applyFont="1" applyFill="1" applyBorder="1" applyAlignment="1" applyProtection="1">
      <alignment vertical="center" wrapText="1"/>
      <protection locked="0"/>
    </xf>
    <xf numFmtId="0" fontId="109" fillId="0" borderId="0" xfId="10" applyFont="1" applyAlignment="1">
      <alignment horizontal="left" vertical="center" wrapText="1"/>
    </xf>
    <xf numFmtId="0" fontId="271" fillId="0" borderId="0" xfId="10" applyFont="1" applyAlignment="1">
      <alignment horizontal="left" vertical="center" wrapText="1"/>
    </xf>
    <xf numFmtId="0" fontId="109" fillId="0" borderId="0" xfId="10" applyFont="1" applyAlignment="1">
      <alignment horizontal="left" vertical="center"/>
    </xf>
    <xf numFmtId="14" fontId="109" fillId="0" borderId="0" xfId="10" applyNumberFormat="1" applyFont="1" applyAlignment="1">
      <alignment horizontal="left" vertical="center"/>
    </xf>
    <xf numFmtId="0" fontId="271" fillId="0" borderId="0" xfId="10" applyFont="1" applyAlignment="1">
      <alignment horizontal="left" vertical="center"/>
    </xf>
    <xf numFmtId="0" fontId="109" fillId="5" borderId="0" xfId="10" applyFont="1" applyFill="1" applyAlignment="1">
      <alignment horizontal="left" vertical="center"/>
    </xf>
    <xf numFmtId="14" fontId="109" fillId="5" borderId="0" xfId="10" applyNumberFormat="1" applyFont="1" applyFill="1" applyAlignment="1">
      <alignment horizontal="left" vertical="center"/>
    </xf>
    <xf numFmtId="0" fontId="271" fillId="5" borderId="0" xfId="10" applyFont="1" applyFill="1" applyAlignment="1">
      <alignment horizontal="left" vertical="center"/>
    </xf>
    <xf numFmtId="0" fontId="272" fillId="0" borderId="0" xfId="19" applyNumberFormat="1" applyAlignment="1">
      <alignment horizontal="left" vertical="center"/>
    </xf>
    <xf numFmtId="0" fontId="79" fillId="0" borderId="1" xfId="0" applyFont="1" applyBorder="1" applyAlignment="1" applyProtection="1">
      <alignment horizontal="center" vertical="center" wrapText="1"/>
      <protection locked="0"/>
    </xf>
    <xf numFmtId="0" fontId="79" fillId="12" borderId="0" xfId="0" applyFont="1" applyFill="1" applyAlignment="1" applyProtection="1">
      <alignment horizontal="center" vertical="center"/>
      <protection locked="0"/>
    </xf>
    <xf numFmtId="0" fontId="79" fillId="12" borderId="0" xfId="0" applyFont="1" applyFill="1" applyProtection="1">
      <alignment vertical="center"/>
      <protection locked="0"/>
    </xf>
    <xf numFmtId="0" fontId="81" fillId="12" borderId="1" xfId="0" applyFont="1" applyFill="1" applyBorder="1" applyAlignment="1" applyProtection="1">
      <alignment horizontal="left" vertical="center"/>
      <protection locked="0"/>
    </xf>
    <xf numFmtId="0" fontId="54" fillId="12" borderId="1" xfId="0" applyFont="1" applyFill="1" applyBorder="1" applyAlignment="1" applyProtection="1">
      <alignment horizontal="left" vertical="center"/>
      <protection locked="0"/>
    </xf>
    <xf numFmtId="1" fontId="54" fillId="12" borderId="1" xfId="0" applyNumberFormat="1"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176" fontId="49" fillId="12" borderId="1" xfId="0" applyNumberFormat="1" applyFont="1" applyFill="1" applyBorder="1" applyAlignment="1" applyProtection="1">
      <alignment horizontal="left" vertical="center"/>
      <protection locked="0"/>
    </xf>
    <xf numFmtId="1" fontId="49" fillId="12" borderId="1" xfId="0" applyNumberFormat="1" applyFont="1" applyFill="1" applyBorder="1" applyAlignment="1" applyProtection="1">
      <alignment horizontal="left" vertical="center"/>
      <protection locked="0"/>
    </xf>
    <xf numFmtId="0" fontId="49"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center" vertical="center"/>
      <protection locked="0"/>
    </xf>
    <xf numFmtId="176" fontId="49" fillId="12" borderId="1" xfId="0" applyNumberFormat="1" applyFont="1" applyFill="1" applyBorder="1" applyAlignment="1" applyProtection="1">
      <alignment horizontal="center" vertical="center"/>
      <protection locked="0"/>
    </xf>
    <xf numFmtId="0" fontId="49" fillId="12" borderId="1" xfId="0" applyFont="1" applyFill="1" applyBorder="1" applyAlignment="1" applyProtection="1">
      <alignment horizontal="center" vertical="center"/>
      <protection locked="0"/>
    </xf>
    <xf numFmtId="176" fontId="54" fillId="12" borderId="1" xfId="0" applyNumberFormat="1" applyFont="1" applyFill="1" applyBorder="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49" fillId="12" borderId="0" xfId="0" applyFont="1" applyFill="1" applyAlignment="1" applyProtection="1">
      <alignment horizontal="left" vertical="center"/>
      <protection locked="0"/>
    </xf>
    <xf numFmtId="0" fontId="97" fillId="0" borderId="0" xfId="0" applyFont="1" applyAlignment="1" applyProtection="1">
      <alignment horizontal="left" vertical="center"/>
      <protection locked="0"/>
    </xf>
    <xf numFmtId="0" fontId="130" fillId="12" borderId="0" xfId="0" applyFont="1" applyFill="1" applyAlignment="1" applyProtection="1">
      <alignment horizontal="center" vertical="center"/>
      <protection locked="0"/>
    </xf>
    <xf numFmtId="0" fontId="96" fillId="0" borderId="9"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0" fillId="0" borderId="1" xfId="0" applyBorder="1" applyAlignment="1">
      <alignment horizontal="left" vertical="center"/>
    </xf>
    <xf numFmtId="14" fontId="0" fillId="0" borderId="1" xfId="0" applyNumberFormat="1" applyBorder="1" applyAlignment="1">
      <alignment horizontal="left" vertical="center"/>
    </xf>
    <xf numFmtId="14" fontId="273" fillId="0" borderId="1" xfId="0" applyNumberFormat="1" applyFont="1" applyBorder="1" applyAlignment="1">
      <alignment horizontal="left" vertical="center"/>
    </xf>
    <xf numFmtId="0" fontId="98" fillId="0" borderId="1" xfId="0" applyFont="1" applyBorder="1" applyAlignment="1">
      <alignment horizontal="left" vertical="center"/>
    </xf>
    <xf numFmtId="2" fontId="98" fillId="0" borderId="1" xfId="0" applyNumberFormat="1" applyFont="1" applyBorder="1" applyAlignment="1">
      <alignment horizontal="left" vertical="center"/>
    </xf>
    <xf numFmtId="0" fontId="97" fillId="10" borderId="1" xfId="0" applyFont="1" applyFill="1" applyBorder="1" applyAlignment="1">
      <alignment horizontal="left" vertical="center"/>
    </xf>
    <xf numFmtId="14" fontId="0" fillId="10" borderId="1" xfId="0" applyNumberFormat="1" applyFill="1" applyBorder="1" applyAlignment="1">
      <alignment horizontal="left" vertical="center"/>
    </xf>
    <xf numFmtId="0" fontId="0" fillId="10" borderId="1" xfId="0" applyFill="1" applyBorder="1" applyAlignment="1">
      <alignment horizontal="left" vertical="center"/>
    </xf>
    <xf numFmtId="0" fontId="0" fillId="10" borderId="0" xfId="0" applyFill="1" applyAlignment="1">
      <alignment horizontal="left" vertical="center"/>
    </xf>
    <xf numFmtId="0" fontId="98" fillId="10" borderId="1" xfId="0" applyFont="1" applyFill="1" applyBorder="1" applyAlignment="1">
      <alignment horizontal="left" vertical="center"/>
    </xf>
    <xf numFmtId="2" fontId="98" fillId="10" borderId="1" xfId="0" applyNumberFormat="1" applyFont="1" applyFill="1" applyBorder="1" applyAlignment="1">
      <alignment horizontal="left" vertical="center"/>
    </xf>
    <xf numFmtId="0" fontId="130" fillId="0" borderId="51" xfId="0" applyFont="1" applyBorder="1" applyAlignment="1" applyProtection="1">
      <alignment horizontal="center" vertical="center" wrapText="1"/>
      <protection locked="0"/>
    </xf>
    <xf numFmtId="0" fontId="130" fillId="0" borderId="2" xfId="0" applyFont="1" applyBorder="1" applyAlignment="1" applyProtection="1">
      <alignment horizontal="center" vertical="center" wrapText="1"/>
      <protection locked="0"/>
    </xf>
    <xf numFmtId="0" fontId="2" fillId="22" borderId="1" xfId="20" applyFill="1" applyBorder="1" applyAlignment="1">
      <alignment horizontal="left" vertical="center"/>
    </xf>
    <xf numFmtId="0" fontId="2" fillId="0" borderId="0" xfId="20" applyAlignment="1" applyProtection="1">
      <alignment horizontal="left" vertical="center"/>
      <protection locked="0"/>
    </xf>
    <xf numFmtId="0" fontId="274" fillId="0" borderId="1" xfId="20" applyFont="1" applyBorder="1" applyAlignment="1" applyProtection="1">
      <alignment horizontal="left" vertical="center"/>
      <protection locked="0"/>
    </xf>
    <xf numFmtId="181" fontId="0" fillId="0" borderId="0" xfId="21" applyNumberFormat="1" applyFont="1" applyAlignment="1" applyProtection="1">
      <alignment horizontal="left" vertical="center"/>
      <protection locked="0"/>
    </xf>
    <xf numFmtId="0" fontId="2" fillId="22" borderId="0" xfId="20" applyFill="1" applyAlignment="1">
      <alignment horizontal="left" vertical="center"/>
    </xf>
    <xf numFmtId="0" fontId="275" fillId="23" borderId="0" xfId="20" applyFont="1" applyFill="1" applyAlignment="1">
      <alignment horizontal="left" vertical="center"/>
    </xf>
    <xf numFmtId="0" fontId="276" fillId="23" borderId="0" xfId="20" applyFont="1" applyFill="1" applyAlignment="1">
      <alignment horizontal="left" vertical="center"/>
    </xf>
    <xf numFmtId="0" fontId="277" fillId="22" borderId="0" xfId="20" applyFont="1" applyFill="1" applyAlignment="1">
      <alignment horizontal="left" vertical="center"/>
    </xf>
    <xf numFmtId="176" fontId="0" fillId="0" borderId="0" xfId="21" applyNumberFormat="1" applyFont="1" applyAlignment="1" applyProtection="1">
      <alignment horizontal="left" vertical="center"/>
      <protection locked="0"/>
    </xf>
    <xf numFmtId="10" fontId="277" fillId="5" borderId="0" xfId="20" applyNumberFormat="1" applyFont="1" applyFill="1" applyAlignment="1" applyProtection="1">
      <alignment horizontal="left" vertical="center"/>
      <protection locked="0"/>
    </xf>
    <xf numFmtId="10" fontId="2" fillId="0" borderId="0" xfId="20" applyNumberFormat="1" applyAlignment="1" applyProtection="1">
      <alignment horizontal="left" vertical="center"/>
      <protection locked="0"/>
    </xf>
    <xf numFmtId="0" fontId="97" fillId="10" borderId="0" xfId="0" applyFont="1" applyFill="1" applyAlignment="1">
      <alignment horizontal="left" vertical="center"/>
    </xf>
    <xf numFmtId="14" fontId="278" fillId="0" borderId="1" xfId="0" applyNumberFormat="1" applyFont="1" applyBorder="1" applyAlignment="1">
      <alignment horizontal="left" vertical="center"/>
    </xf>
    <xf numFmtId="0" fontId="56" fillId="6" borderId="0" xfId="0" applyFont="1" applyFill="1" applyAlignment="1" applyProtection="1">
      <alignment horizontal="center"/>
      <protection locked="0"/>
    </xf>
    <xf numFmtId="10" fontId="0" fillId="0" borderId="0" xfId="0" applyNumberFormat="1" applyAlignment="1">
      <alignment horizontal="left" vertical="center"/>
    </xf>
    <xf numFmtId="0" fontId="55" fillId="24" borderId="0" xfId="0" applyFont="1" applyFill="1" applyAlignment="1" applyProtection="1">
      <alignment horizontal="center" vertical="center"/>
      <protection locked="0"/>
    </xf>
    <xf numFmtId="9" fontId="0" fillId="0" borderId="1" xfId="0" applyNumberFormat="1" applyBorder="1" applyAlignment="1">
      <alignment horizontal="left" vertical="center"/>
    </xf>
    <xf numFmtId="196" fontId="0" fillId="0" borderId="0" xfId="0" applyNumberFormat="1" applyAlignment="1">
      <alignment horizontal="left" vertical="center"/>
    </xf>
    <xf numFmtId="0" fontId="0" fillId="5" borderId="1" xfId="0" applyFill="1" applyBorder="1" applyAlignment="1">
      <alignment horizontal="left" vertical="center"/>
    </xf>
    <xf numFmtId="0" fontId="0" fillId="18" borderId="1" xfId="0" applyFill="1" applyBorder="1" applyAlignment="1">
      <alignment horizontal="left" vertical="center"/>
    </xf>
    <xf numFmtId="179" fontId="0" fillId="0" borderId="0" xfId="0" applyNumberFormat="1" applyAlignment="1">
      <alignment horizontal="left" vertical="center"/>
    </xf>
    <xf numFmtId="10" fontId="53" fillId="18" borderId="1" xfId="0" applyNumberFormat="1" applyFont="1" applyFill="1" applyBorder="1" applyAlignment="1" applyProtection="1">
      <alignment horizontal="center" vertical="center"/>
      <protection locked="0"/>
    </xf>
    <xf numFmtId="10" fontId="55" fillId="18" borderId="1" xfId="0" applyNumberFormat="1" applyFont="1" applyFill="1" applyBorder="1" applyAlignment="1" applyProtection="1">
      <alignment horizontal="center" vertical="center"/>
      <protection locked="0"/>
    </xf>
    <xf numFmtId="0" fontId="53" fillId="18" borderId="41" xfId="0" applyFont="1" applyFill="1" applyBorder="1" applyAlignment="1" applyProtection="1">
      <alignment horizontal="center" vertical="center" wrapText="1"/>
      <protection locked="0"/>
    </xf>
    <xf numFmtId="0" fontId="63" fillId="18" borderId="3" xfId="0" applyFont="1" applyFill="1" applyBorder="1" applyAlignment="1" applyProtection="1">
      <alignment horizontal="center" vertical="center" wrapText="1"/>
      <protection locked="0"/>
    </xf>
    <xf numFmtId="0" fontId="53" fillId="5" borderId="41" xfId="0" applyFont="1" applyFill="1" applyBorder="1" applyAlignment="1" applyProtection="1">
      <alignment horizontal="center" vertical="center" wrapText="1"/>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97" fillId="0" borderId="1" xfId="0"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97" fillId="0" borderId="13" xfId="0" applyFont="1" applyBorder="1" applyAlignment="1">
      <alignment horizontal="center" vertical="center"/>
    </xf>
    <xf numFmtId="0" fontId="97" fillId="0" borderId="15" xfId="0" applyFont="1" applyBorder="1" applyAlignment="1">
      <alignment horizontal="center" vertical="center"/>
    </xf>
    <xf numFmtId="0" fontId="97" fillId="0" borderId="2" xfId="0" applyFont="1" applyBorder="1" applyAlignment="1">
      <alignment horizontal="center" vertical="center"/>
    </xf>
    <xf numFmtId="0" fontId="0" fillId="10" borderId="13" xfId="0" applyFill="1" applyBorder="1" applyAlignment="1">
      <alignment horizontal="center" vertical="center"/>
    </xf>
    <xf numFmtId="0" fontId="0" fillId="10" borderId="15" xfId="0" applyFill="1" applyBorder="1" applyAlignment="1">
      <alignment horizontal="center" vertical="center"/>
    </xf>
    <xf numFmtId="0" fontId="0" fillId="10" borderId="2" xfId="0" applyFill="1" applyBorder="1" applyAlignment="1">
      <alignment horizontal="center" vertical="center"/>
    </xf>
    <xf numFmtId="0" fontId="97" fillId="10" borderId="13" xfId="0" applyFont="1" applyFill="1" applyBorder="1" applyAlignment="1">
      <alignment horizontal="center" vertical="center"/>
    </xf>
    <xf numFmtId="0" fontId="97" fillId="10" borderId="15" xfId="0" applyFont="1" applyFill="1" applyBorder="1" applyAlignment="1">
      <alignment horizontal="center" vertical="center"/>
    </xf>
    <xf numFmtId="0" fontId="97" fillId="10" borderId="2" xfId="0" applyFont="1" applyFill="1" applyBorder="1" applyAlignment="1">
      <alignment horizontal="center" vertical="center"/>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5" fontId="52" fillId="18" borderId="1" xfId="0" applyNumberFormat="1" applyFont="1" applyFill="1" applyBorder="1" applyAlignment="1">
      <alignment horizontal="center" vertical="center"/>
    </xf>
    <xf numFmtId="0" fontId="53" fillId="6" borderId="1" xfId="0" applyFont="1" applyFill="1" applyBorder="1" applyAlignment="1">
      <alignment horizontal="center" vertical="center" wrapText="1"/>
    </xf>
    <xf numFmtId="185" fontId="53" fillId="6" borderId="1" xfId="0" applyNumberFormat="1"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46" fillId="6" borderId="54" xfId="0" applyFont="1" applyFill="1" applyBorder="1" applyAlignment="1">
      <alignment horizontal="center" vertical="center"/>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210" fillId="0" borderId="22" xfId="0" applyFont="1" applyBorder="1" applyAlignment="1" applyProtection="1">
      <alignment horizontal="center" vertical="center" wrapText="1"/>
      <protection locked="0"/>
    </xf>
    <xf numFmtId="0" fontId="210" fillId="0" borderId="11" xfId="0" applyFont="1" applyBorder="1" applyAlignment="1" applyProtection="1">
      <alignment horizontal="center" vertical="center" wrapText="1"/>
      <protection locked="0"/>
    </xf>
    <xf numFmtId="0" fontId="52" fillId="6" borderId="1"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2 2" xfId="21"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2 3" xfId="20"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超链接" xfId="19" builtinId="8"/>
  </cellStyles>
  <dxfs count="20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80</xdr:row>
      <xdr:rowOff>0</xdr:rowOff>
    </xdr:from>
    <xdr:to>
      <xdr:col>19</xdr:col>
      <xdr:colOff>332240</xdr:colOff>
      <xdr:row>113</xdr:row>
      <xdr:rowOff>56514</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390650"/>
          <a:ext cx="9076190" cy="5085714"/>
        </a:xfrm>
        <a:prstGeom prst="rect">
          <a:avLst/>
        </a:prstGeom>
      </xdr:spPr>
    </xdr:pic>
    <xdr:clientData/>
  </xdr:twoCellAnchor>
  <xdr:twoCellAnchor>
    <xdr:from>
      <xdr:col>8</xdr:col>
      <xdr:colOff>228601</xdr:colOff>
      <xdr:row>89</xdr:row>
      <xdr:rowOff>19050</xdr:rowOff>
    </xdr:from>
    <xdr:to>
      <xdr:col>11</xdr:col>
      <xdr:colOff>533401</xdr:colOff>
      <xdr:row>91</xdr:row>
      <xdr:rowOff>123825</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4953001" y="2781300"/>
          <a:ext cx="933450" cy="4095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5</xdr:col>
      <xdr:colOff>123825</xdr:colOff>
      <xdr:row>93</xdr:row>
      <xdr:rowOff>95250</xdr:rowOff>
    </xdr:from>
    <xdr:to>
      <xdr:col>6</xdr:col>
      <xdr:colOff>438150</xdr:colOff>
      <xdr:row>96</xdr:row>
      <xdr:rowOff>95250</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3028950" y="3467100"/>
          <a:ext cx="771525" cy="457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3</xdr:col>
      <xdr:colOff>438150</xdr:colOff>
      <xdr:row>101</xdr:row>
      <xdr:rowOff>9525</xdr:rowOff>
    </xdr:from>
    <xdr:to>
      <xdr:col>6</xdr:col>
      <xdr:colOff>190500</xdr:colOff>
      <xdr:row>103</xdr:row>
      <xdr:rowOff>123825</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2857500" y="4600575"/>
          <a:ext cx="695325" cy="419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0</xdr:col>
      <xdr:colOff>819150</xdr:colOff>
      <xdr:row>100</xdr:row>
      <xdr:rowOff>0</xdr:rowOff>
    </xdr:from>
    <xdr:to>
      <xdr:col>0</xdr:col>
      <xdr:colOff>1419225</xdr:colOff>
      <xdr:row>103</xdr:row>
      <xdr:rowOff>28575</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819150" y="4438650"/>
          <a:ext cx="600075" cy="485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1162050</xdr:colOff>
      <xdr:row>90</xdr:row>
      <xdr:rowOff>9525</xdr:rowOff>
    </xdr:from>
    <xdr:to>
      <xdr:col>9</xdr:col>
      <xdr:colOff>171450</xdr:colOff>
      <xdr:row>114</xdr:row>
      <xdr:rowOff>50543</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4867275" y="15440025"/>
          <a:ext cx="4162425" cy="41558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9</xdr:col>
      <xdr:colOff>352425</xdr:colOff>
      <xdr:row>18</xdr:row>
      <xdr:rowOff>1514</xdr:rowOff>
    </xdr:to>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104775"/>
          <a:ext cx="6524625" cy="2982839"/>
        </a:xfrm>
        <a:prstGeom prst="rect">
          <a:avLst/>
        </a:prstGeom>
      </xdr:spPr>
    </xdr:pic>
    <xdr:clientData/>
  </xdr:twoCellAnchor>
  <xdr:twoCellAnchor editAs="oneCell">
    <xdr:from>
      <xdr:col>0</xdr:col>
      <xdr:colOff>1</xdr:colOff>
      <xdr:row>20</xdr:row>
      <xdr:rowOff>0</xdr:rowOff>
    </xdr:from>
    <xdr:to>
      <xdr:col>9</xdr:col>
      <xdr:colOff>114301</xdr:colOff>
      <xdr:row>35</xdr:row>
      <xdr:rowOff>151885</xdr:rowOff>
    </xdr:to>
    <xdr:pic>
      <xdr:nvPicPr>
        <xdr:cNvPr id="3" name="图片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1" y="3429000"/>
          <a:ext cx="6286500" cy="2723635"/>
        </a:xfrm>
        <a:prstGeom prst="rect">
          <a:avLst/>
        </a:prstGeom>
      </xdr:spPr>
    </xdr:pic>
    <xdr:clientData/>
  </xdr:twoCellAnchor>
  <xdr:twoCellAnchor editAs="oneCell">
    <xdr:from>
      <xdr:col>0</xdr:col>
      <xdr:colOff>0</xdr:colOff>
      <xdr:row>37</xdr:row>
      <xdr:rowOff>66675</xdr:rowOff>
    </xdr:from>
    <xdr:to>
      <xdr:col>9</xdr:col>
      <xdr:colOff>238125</xdr:colOff>
      <xdr:row>53</xdr:row>
      <xdr:rowOff>48761</xdr:rowOff>
    </xdr:to>
    <xdr:pic>
      <xdr:nvPicPr>
        <xdr:cNvPr id="4" name="图片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6410325"/>
          <a:ext cx="6410325" cy="2725286"/>
        </a:xfrm>
        <a:prstGeom prst="rect">
          <a:avLst/>
        </a:prstGeom>
      </xdr:spPr>
    </xdr:pic>
    <xdr:clientData/>
  </xdr:twoCellAnchor>
  <xdr:twoCellAnchor editAs="oneCell">
    <xdr:from>
      <xdr:col>0</xdr:col>
      <xdr:colOff>1</xdr:colOff>
      <xdr:row>56</xdr:row>
      <xdr:rowOff>0</xdr:rowOff>
    </xdr:from>
    <xdr:to>
      <xdr:col>9</xdr:col>
      <xdr:colOff>180975</xdr:colOff>
      <xdr:row>72</xdr:row>
      <xdr:rowOff>11763</xdr:rowOff>
    </xdr:to>
    <xdr:pic>
      <xdr:nvPicPr>
        <xdr:cNvPr id="6" name="图片 5">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4"/>
        <a:stretch>
          <a:fillRect/>
        </a:stretch>
      </xdr:blipFill>
      <xdr:spPr>
        <a:xfrm>
          <a:off x="1" y="9601200"/>
          <a:ext cx="6353174" cy="2754963"/>
        </a:xfrm>
        <a:prstGeom prst="rect">
          <a:avLst/>
        </a:prstGeom>
      </xdr:spPr>
    </xdr:pic>
    <xdr:clientData/>
  </xdr:twoCellAnchor>
  <xdr:twoCellAnchor editAs="oneCell">
    <xdr:from>
      <xdr:col>0</xdr:col>
      <xdr:colOff>1</xdr:colOff>
      <xdr:row>74</xdr:row>
      <xdr:rowOff>0</xdr:rowOff>
    </xdr:from>
    <xdr:to>
      <xdr:col>9</xdr:col>
      <xdr:colOff>514351</xdr:colOff>
      <xdr:row>91</xdr:row>
      <xdr:rowOff>11057</xdr:rowOff>
    </xdr:to>
    <xdr:pic>
      <xdr:nvPicPr>
        <xdr:cNvPr id="7" name="图片 6">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5"/>
        <a:stretch>
          <a:fillRect/>
        </a:stretch>
      </xdr:blipFill>
      <xdr:spPr>
        <a:xfrm>
          <a:off x="1" y="12687300"/>
          <a:ext cx="6686550" cy="2925707"/>
        </a:xfrm>
        <a:prstGeom prst="rect">
          <a:avLst/>
        </a:prstGeom>
      </xdr:spPr>
    </xdr:pic>
    <xdr:clientData/>
  </xdr:twoCellAnchor>
  <xdr:twoCellAnchor editAs="oneCell">
    <xdr:from>
      <xdr:col>0</xdr:col>
      <xdr:colOff>0</xdr:colOff>
      <xdr:row>94</xdr:row>
      <xdr:rowOff>0</xdr:rowOff>
    </xdr:from>
    <xdr:to>
      <xdr:col>9</xdr:col>
      <xdr:colOff>115818</xdr:colOff>
      <xdr:row>110</xdr:row>
      <xdr:rowOff>0</xdr:rowOff>
    </xdr:to>
    <xdr:pic>
      <xdr:nvPicPr>
        <xdr:cNvPr id="8" name="图片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6"/>
        <a:stretch>
          <a:fillRect/>
        </a:stretch>
      </xdr:blipFill>
      <xdr:spPr>
        <a:xfrm>
          <a:off x="0" y="16116300"/>
          <a:ext cx="6288018" cy="2743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495300</xdr:colOff>
      <xdr:row>19</xdr:row>
      <xdr:rowOff>8028</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7353300" cy="3265578"/>
        </a:xfrm>
        <a:prstGeom prst="rect">
          <a:avLst/>
        </a:prstGeom>
      </xdr:spPr>
    </xdr:pic>
    <xdr:clientData/>
  </xdr:twoCellAnchor>
  <xdr:twoCellAnchor editAs="oneCell">
    <xdr:from>
      <xdr:col>0</xdr:col>
      <xdr:colOff>0</xdr:colOff>
      <xdr:row>21</xdr:row>
      <xdr:rowOff>0</xdr:rowOff>
    </xdr:from>
    <xdr:to>
      <xdr:col>11</xdr:col>
      <xdr:colOff>174190</xdr:colOff>
      <xdr:row>41</xdr:row>
      <xdr:rowOff>47625</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0" y="3600450"/>
          <a:ext cx="7717990" cy="3476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1-0490&#21271;&#20140;&#24066;&#22823;&#20852;&#21306;&#22825;&#33635;&#34903;9&#21495;1&#24162;&#31561;2&#24162;&#36710;&#38388;&#12289;&#23454;&#39564;&#27004;&#29992;&#25151;&#12289;1&#21495;&#27004;&#38468;&#23646;&#27004;&#29992;&#25151;&#25151;&#22320;&#20135;/P01(&#26410;&#21208;&#26597;&#65289;/&#26368;&#32456;/P01&#22823;&#20852;&#22825;&#33635;&#34903;9&#21495;&#38498;&#24037;&#19994;-&#26032;&#38889;&#38134;&#348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108;&#23457;&#22797;&#26680;-&#22825;&#20316;&#22269;&#38469;&#21830;&#19994;-102&#20026;&#22522;&#20934;&#25143;&#224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工业"/>
      <sheetName val="土地比较法-住宅、综合"/>
      <sheetName val="土地案例"/>
      <sheetName val="办公土地案例"/>
      <sheetName val="收益法（汇总）"/>
      <sheetName val="收益法-车间"/>
      <sheetName val="收益法 (元)"/>
      <sheetName val="收益法-酒店模型"/>
      <sheetName val="比较法-住宅"/>
      <sheetName val="比较法-商业"/>
      <sheetName val="收益法-未出租"/>
      <sheetName val="收益法-办公"/>
      <sheetName val="比较法-租金"/>
      <sheetName val="比较法-工业"/>
      <sheetName val="比较法-车位"/>
      <sheetName val="比较法-仓储"/>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典型户型修正"/>
      <sheetName val="比较法-办公"/>
      <sheetName val="Sheet6"/>
      <sheetName val="位置"/>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收益法-车间</v>
          </cell>
        </row>
        <row r="20">
          <cell r="A20" t="str">
            <v>食堂</v>
          </cell>
          <cell r="B20" t="str">
            <v>收益法-办公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工业-车间</v>
          </cell>
        </row>
        <row r="20">
          <cell r="C20" t="str">
            <v>工业-实验楼、附属楼</v>
          </cell>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70">
          <cell r="B70" t="str">
            <v>用途</v>
          </cell>
          <cell r="C70" t="str">
            <v>工业</v>
          </cell>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t="str">
            <v>较规则</v>
          </cell>
          <cell r="D110" t="str">
            <v>较不规则</v>
          </cell>
          <cell r="E110"/>
          <cell r="F110"/>
          <cell r="G110"/>
          <cell r="H110"/>
          <cell r="I110"/>
          <cell r="J110"/>
          <cell r="K110"/>
          <cell r="L110"/>
          <cell r="M110"/>
        </row>
        <row r="112">
          <cell r="B112" t="str">
            <v>宗地开发程度</v>
          </cell>
          <cell r="C112" t="str">
            <v>七通</v>
          </cell>
          <cell r="D112" t="str">
            <v>六通</v>
          </cell>
          <cell r="E112" t="str">
            <v>五通</v>
          </cell>
          <cell r="F112" t="str">
            <v>四通</v>
          </cell>
          <cell r="G112" t="str">
            <v>三通</v>
          </cell>
          <cell r="H112"/>
          <cell r="I112"/>
          <cell r="J112"/>
          <cell r="K112"/>
          <cell r="L112"/>
          <cell r="M112"/>
        </row>
        <row r="114">
          <cell r="B114" t="str">
            <v>工程地质条件</v>
          </cell>
          <cell r="C114" t="str">
            <v>较好</v>
          </cell>
          <cell r="D114"/>
          <cell r="E114"/>
          <cell r="F114"/>
          <cell r="G114"/>
          <cell r="H114"/>
          <cell r="I114"/>
          <cell r="J114"/>
          <cell r="K114"/>
          <cell r="L114"/>
          <cell r="M114"/>
        </row>
      </sheetData>
      <sheetData sheetId="23">
        <row r="72">
          <cell r="A72" t="str">
            <v>交易情况</v>
          </cell>
          <cell r="B72"/>
          <cell r="C72" t="str">
            <v>正常</v>
          </cell>
          <cell r="D72"/>
          <cell r="E72"/>
          <cell r="F72"/>
          <cell r="G72"/>
          <cell r="H72"/>
          <cell r="I72"/>
          <cell r="J72"/>
          <cell r="K72"/>
          <cell r="L72"/>
          <cell r="M72"/>
        </row>
        <row r="74">
          <cell r="B74" t="str">
            <v>用途</v>
          </cell>
          <cell r="C74" t="str">
            <v>商业</v>
          </cell>
          <cell r="D74" t="str">
            <v>办公</v>
          </cell>
          <cell r="E74" t="str">
            <v>旅馆</v>
          </cell>
          <cell r="F74"/>
          <cell r="G74"/>
          <cell r="H74"/>
          <cell r="I74"/>
          <cell r="J74"/>
          <cell r="K74"/>
          <cell r="L74"/>
          <cell r="M74"/>
        </row>
        <row r="105">
          <cell r="B105" t="str">
            <v>毗邻道路的类型与等级</v>
          </cell>
          <cell r="C105" t="str">
            <v>高速路</v>
          </cell>
          <cell r="D105" t="str">
            <v>快速路</v>
          </cell>
          <cell r="E105" t="str">
            <v>主干道</v>
          </cell>
          <cell r="F105" t="str">
            <v>次干道</v>
          </cell>
          <cell r="G105" t="str">
            <v>支路</v>
          </cell>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较规则</v>
          </cell>
          <cell r="D118"/>
          <cell r="E118"/>
          <cell r="F118"/>
          <cell r="G118"/>
          <cell r="H118"/>
          <cell r="I118"/>
          <cell r="J118"/>
          <cell r="K118"/>
          <cell r="L118"/>
          <cell r="M118"/>
        </row>
        <row r="120">
          <cell r="B120" t="str">
            <v>临街宽度及深度</v>
          </cell>
          <cell r="C120" t="str">
            <v>较合适</v>
          </cell>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4"/>
      <sheetData sheetId="25"/>
      <sheetData sheetId="26"/>
      <sheetData sheetId="27"/>
      <sheetData sheetId="28"/>
      <sheetData sheetId="29"/>
      <sheetData sheetId="3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2"/>
      <sheetData sheetId="33"/>
      <sheetData sheetId="34">
        <row r="62">
          <cell r="A62" t="str">
            <v>交易情况</v>
          </cell>
          <cell r="B62"/>
          <cell r="C62" t="str">
            <v>正常</v>
          </cell>
          <cell r="D62" t="str">
            <v>报价</v>
          </cell>
          <cell r="E62"/>
          <cell r="F62"/>
          <cell r="G62"/>
          <cell r="H62"/>
          <cell r="I62"/>
          <cell r="J62"/>
          <cell r="K62"/>
          <cell r="L62"/>
          <cell r="M62"/>
        </row>
        <row r="64">
          <cell r="B64" t="str">
            <v>用途</v>
          </cell>
          <cell r="C64" t="str">
            <v>工业立项办公</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办公楼</v>
          </cell>
          <cell r="D101" t="str">
            <v>综合楼</v>
          </cell>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cell r="E108"/>
          <cell r="F108"/>
          <cell r="G108"/>
          <cell r="H108"/>
          <cell r="I108"/>
          <cell r="J108"/>
          <cell r="K108"/>
          <cell r="L108"/>
          <cell r="M108"/>
        </row>
        <row r="113">
          <cell r="B113" t="str">
            <v>写字楼等级</v>
          </cell>
          <cell r="C113" t="str">
            <v>甲级</v>
          </cell>
          <cell r="D113" t="str">
            <v>乙级</v>
          </cell>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cell r="G117"/>
          <cell r="H117"/>
          <cell r="I117"/>
          <cell r="J117"/>
          <cell r="K117"/>
          <cell r="L117"/>
          <cell r="M117"/>
        </row>
        <row r="119">
          <cell r="B119" t="str">
            <v>层高</v>
          </cell>
          <cell r="C119" t="str">
            <v>标准层高</v>
          </cell>
          <cell r="D119" t="str">
            <v>较高层高</v>
          </cell>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35">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0"/>
      <sheetData sheetId="41"/>
      <sheetData sheetId="42"/>
      <sheetData sheetId="43"/>
      <sheetData sheetId="44"/>
      <sheetData sheetId="45"/>
      <sheetData sheetId="46"/>
      <sheetData sheetId="47"/>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租金平均增长率计算表"/>
      <sheetName val="租赁合同"/>
      <sheetName val="系统读取表"/>
      <sheetName val="结果表"/>
      <sheetName val="比较法-商业"/>
      <sheetName val="收益法"/>
      <sheetName val="比较法-商业租金"/>
      <sheetName val="收益法 (元)"/>
      <sheetName val="成本法"/>
      <sheetName val="成本法 (元)"/>
      <sheetName val="假设开发法"/>
      <sheetName val="基准地价修正"/>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售价案例"/>
      <sheetName val="租金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102号1-2层商业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1-2层</v>
          </cell>
        </row>
        <row r="100">
          <cell r="B100" t="str">
            <v>商业类型</v>
          </cell>
          <cell r="C100" t="str">
            <v>配套商业</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较高层高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1"/>
      <sheetData sheetId="22"/>
      <sheetData sheetId="23"/>
      <sheetData sheetId="24"/>
      <sheetData sheetId="25"/>
      <sheetData sheetId="26"/>
      <sheetData sheetId="27"/>
      <sheetData sheetId="28"/>
      <sheetData sheetId="29"/>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楼层</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sheetData sheetId="1"/>
      <sheetData sheetId="2">
        <row r="44">
          <cell r="D44">
            <v>15</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78/uDpi"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北京市房地产抵押价值预评估</v>
      </c>
    </row>
    <row r="3" spans="1:2">
      <c r="A3" s="1117" t="s">
        <v>523</v>
      </c>
      <c r="B3" s="1118" t="str">
        <f>'预评函-封皮'!B40</f>
        <v>新韩银行</v>
      </c>
    </row>
    <row r="4" spans="1:2">
      <c r="A4" s="1117" t="s">
        <v>524</v>
      </c>
      <c r="B4" s="1118" t="str">
        <f ca="1">'预评函-封皮'!B46</f>
        <v>郑燚（注册号：1120070131)、崔锴（注册号：0)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估价对象为北京市房地产，为所有。根据《国有土地使用证》[]，估价对象（分摊）出让国有建设用地使用权面积为15530.82平方米，建筑面积为20034.16平方米。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估价对象为北京市房地产,属开发建设的工业项目，该项目尚在开发建设中。根据《国有土地使用证》[]，估价对象（分摊）出让国有建设用地使用权面积为15530.82平方米，规划建筑面积为20034.16平方米。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为估价委托人在向办理贷款手续过程中，确定房地产抵押贷款额度提供参考依据而评估房地产抵押价值。</v>
      </c>
    </row>
    <row r="12" spans="1:2">
      <c r="A12" s="1117" t="s">
        <v>528</v>
      </c>
      <c r="B12" s="1118" t="str">
        <f>'预评函-1'!A15</f>
        <v>2024年6月27日（评估专业人员实地查勘之日）</v>
      </c>
    </row>
    <row r="13" spans="1:2">
      <c r="A13" s="1117" t="s">
        <v>529</v>
      </c>
      <c r="B13" s="1118" t="str">
        <f>'预评函-1'!A18</f>
        <v>本次估价的“房地产价值”是指在正常市场情况下，在价值时点2024年6月27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13644</v>
      </c>
    </row>
    <row r="21" spans="1:2">
      <c r="A21" s="1117" t="s">
        <v>537</v>
      </c>
      <c r="B21" s="1118">
        <f ca="1">'预评函-2'!D7</f>
        <v>6810</v>
      </c>
    </row>
    <row r="22" spans="1:2">
      <c r="A22" s="1117" t="s">
        <v>538</v>
      </c>
      <c r="B22" s="1118" t="str">
        <f ca="1">'预评函-2'!D6</f>
        <v>壹亿叁仟陆佰肆拾肆万元整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13644</v>
      </c>
    </row>
    <row r="31" spans="1:2">
      <c r="A31" s="1117" t="s">
        <v>576</v>
      </c>
      <c r="B31" s="1118">
        <f ca="1">'预评函-2'!D15</f>
        <v>6810</v>
      </c>
    </row>
    <row r="32" spans="1:2">
      <c r="A32" s="1117" t="s">
        <v>543</v>
      </c>
      <c r="B32" s="1118" t="str">
        <f ca="1">'预评函-2'!D14</f>
        <v>壹亿叁仟陆佰肆拾肆万元整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20034.16</v>
      </c>
    </row>
    <row r="44" spans="1:2" ht="31.2">
      <c r="A44" s="1117" t="s">
        <v>575</v>
      </c>
      <c r="B44" s="1118" t="str">
        <f>'预评函-3'!C2</f>
        <v>(分摊)土地面积</v>
      </c>
    </row>
    <row r="45" spans="1:2">
      <c r="A45" s="1117" t="s">
        <v>547</v>
      </c>
      <c r="B45" s="1118">
        <f>'预评函-3'!C4</f>
        <v>15530.82</v>
      </c>
    </row>
    <row r="46" spans="1:2">
      <c r="A46" s="1117" t="s">
        <v>573</v>
      </c>
      <c r="B46" s="1118" t="str">
        <f>'预评函-3'!D2</f>
        <v>出让国有建设用地使用权价值</v>
      </c>
    </row>
    <row r="47" spans="1:2">
      <c r="A47" s="1117" t="s">
        <v>548</v>
      </c>
      <c r="B47" s="1118">
        <f ca="1">'预评函-3'!D4</f>
        <v>5730</v>
      </c>
    </row>
    <row r="48" spans="1:2">
      <c r="A48" s="1117" t="s">
        <v>549</v>
      </c>
      <c r="B48" s="1118">
        <f ca="1">'预评函-3'!E4</f>
        <v>2860</v>
      </c>
    </row>
    <row r="49" spans="1:2">
      <c r="A49" s="1117" t="s">
        <v>550</v>
      </c>
      <c r="B49" s="1118" t="str">
        <f ca="1">'预评函-3'!D5</f>
        <v>伍仟柒佰叁拾万元整</v>
      </c>
    </row>
    <row r="50" spans="1:2">
      <c r="A50" s="1117" t="s">
        <v>574</v>
      </c>
      <c r="B50" s="1118" t="str">
        <f>'预评函-3'!F2</f>
        <v>建筑物价值</v>
      </c>
    </row>
    <row r="51" spans="1:2">
      <c r="A51" s="1117" t="s">
        <v>551</v>
      </c>
      <c r="B51" s="1118">
        <f ca="1">'预评函-3'!F4</f>
        <v>7914</v>
      </c>
    </row>
    <row r="52" spans="1:2">
      <c r="A52" s="1117" t="s">
        <v>552</v>
      </c>
      <c r="B52" s="1118">
        <f ca="1">'预评函-3'!G4</f>
        <v>3950</v>
      </c>
    </row>
    <row r="53" spans="1:2">
      <c r="A53" s="1117" t="s">
        <v>580</v>
      </c>
      <c r="B53" s="1118" t="str">
        <f ca="1">'预评函-3'!F5</f>
        <v>柒仟玖佰壹拾肆万元整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崔锴</v>
      </c>
    </row>
    <row r="73" spans="1:2" s="1113" customFormat="1" ht="16.2" thickBot="1">
      <c r="A73" s="1120" t="s">
        <v>565</v>
      </c>
      <c r="B73" s="1121">
        <f ca="1">'预评函-4'!B5</f>
        <v>0</v>
      </c>
    </row>
    <row r="74" spans="1:2" ht="16.2" thickTop="1">
      <c r="A74" s="1110" t="s">
        <v>601</v>
      </c>
      <c r="B74" s="1126"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1" sqref="H21"/>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2577</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2578</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2289</v>
      </c>
      <c r="C17" s="1440"/>
    </row>
    <row r="18" spans="1:3">
      <c r="A18" s="1439" t="s">
        <v>1046</v>
      </c>
      <c r="B18" s="1439" t="s">
        <v>2433</v>
      </c>
      <c r="C18" s="1440"/>
    </row>
    <row r="19" spans="1:3">
      <c r="A19" s="1439" t="s">
        <v>1047</v>
      </c>
      <c r="B19" s="1439" t="s">
        <v>3760</v>
      </c>
      <c r="C19" s="1440"/>
    </row>
    <row r="20" spans="1:3">
      <c r="A20" s="1439" t="s">
        <v>1048</v>
      </c>
      <c r="B20" s="1439" t="s">
        <v>3762</v>
      </c>
      <c r="C20" s="1440"/>
    </row>
    <row r="21" spans="1:3">
      <c r="A21" s="1439" t="s">
        <v>1049</v>
      </c>
      <c r="B21" s="1439" t="s">
        <v>3907</v>
      </c>
      <c r="C21" s="1440"/>
    </row>
    <row r="22" spans="1:3">
      <c r="A22" s="1439" t="s">
        <v>1050</v>
      </c>
      <c r="B22" s="1439" t="s">
        <v>3909</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53"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445" t="s">
        <v>385</v>
      </c>
      <c r="C54" s="1443" t="s">
        <v>583</v>
      </c>
    </row>
    <row r="55" spans="1:4">
      <c r="A55" s="3253"/>
      <c r="B55" s="1445" t="s">
        <v>386</v>
      </c>
      <c r="C55" s="1443" t="s">
        <v>584</v>
      </c>
    </row>
    <row r="56" spans="1:4">
      <c r="A56" s="3253"/>
      <c r="B56" s="1445" t="s">
        <v>387</v>
      </c>
      <c r="C56" s="1443" t="s">
        <v>588</v>
      </c>
    </row>
    <row r="57" spans="1:4">
      <c r="A57" s="3253"/>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B14" sqref="B1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54" t="s">
        <v>2580</v>
      </c>
      <c r="J2" s="3254"/>
      <c r="K2" s="3254"/>
      <c r="L2" s="3254"/>
      <c r="M2" s="3254"/>
      <c r="N2" s="3254"/>
      <c r="O2" s="3254"/>
      <c r="P2" s="3254"/>
      <c r="Q2" s="3254"/>
      <c r="R2" s="3254"/>
    </row>
    <row r="3" spans="1:18">
      <c r="A3" s="2761" t="s">
        <v>2501</v>
      </c>
      <c r="B3" s="2762">
        <f>项目基本情况!D3</f>
        <v>45470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2.4700000000000002</v>
      </c>
      <c r="D5" s="2766">
        <f>IF(ISERROR(ROUND(POWER(1+E5,A5-C5)*(POWER(1+E5,C5)-1)/(POWER(1+E5,A5)-1),3)),0,ROUND(POWER(1+E5,A5-C5)*(POWER(1+E5,C5)-1)/(POWER(1+E5,A5)-1),4))</f>
        <v>0.1323</v>
      </c>
      <c r="E5" s="2767">
        <v>0.05</v>
      </c>
      <c r="F5" s="2760"/>
      <c r="I5" s="2776" t="s">
        <v>2582</v>
      </c>
      <c r="J5" s="2776">
        <v>70</v>
      </c>
      <c r="K5" s="2776">
        <v>60</v>
      </c>
      <c r="L5" s="2776">
        <v>15</v>
      </c>
      <c r="M5" s="2776">
        <v>25</v>
      </c>
      <c r="N5" s="2764">
        <v>40</v>
      </c>
      <c r="O5" s="2764">
        <v>50</v>
      </c>
      <c r="P5" s="2764">
        <v>40</v>
      </c>
      <c r="Q5" s="2764">
        <v>15</v>
      </c>
      <c r="R5" s="2764">
        <v>315</v>
      </c>
    </row>
    <row r="6" spans="1:18">
      <c r="A6" s="2765">
        <v>50</v>
      </c>
      <c r="B6" s="2762">
        <f>项目基本情况!H13</f>
        <v>57479</v>
      </c>
      <c r="C6" s="2764">
        <f>ROUNDDOWN(MIN((B6-B3)/365,A6),2)</f>
        <v>32.9</v>
      </c>
      <c r="D6" s="2766">
        <f>IF(ISERROR(ROUND(POWER(1+E6,A6-C6)*(POWER(1+E6,C6)-1)/(POWER(1+E6,A6)-1),3)),0,ROUND(POWER(1+E6,A6-C6)*(POWER(1+E6,C6)-1)/(POWER(1+E6,A6)-1),4))</f>
        <v>0.86019999999999996</v>
      </c>
      <c r="E6" s="2767">
        <f>D11</f>
        <v>4.4999999999999998E-2</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32.5</v>
      </c>
      <c r="D7" s="2766">
        <f>IF(ISERROR(ROUND(POWER(1+E7,A7-C7)*(POWER(1+E7,C7)-1)/(POWER(1+E7,A7)-1),3)),0,ROUND(POWER(1+E7,A7-C7)*(POWER(1+E7,C7)-1)/(POWER(1+E7,A7)-1),4))</f>
        <v>0.82220000000000004</v>
      </c>
      <c r="E7" s="2767">
        <v>0.05</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50</v>
      </c>
      <c r="C11" s="2764" t="s">
        <v>2510</v>
      </c>
      <c r="D11" s="2769">
        <f>'数据-取费表'!H6</f>
        <v>4.4999999999999998E-2</v>
      </c>
      <c r="E11" s="2764" t="s">
        <v>2511</v>
      </c>
      <c r="F11" s="2770">
        <f>ROUND(1-(1/(POWER(1+D11,B11))),4)</f>
        <v>0.88929999999999998</v>
      </c>
      <c r="G11" s="3169" t="s">
        <v>3763</v>
      </c>
    </row>
    <row r="12" spans="1:18">
      <c r="A12" s="2761" t="s">
        <v>2512</v>
      </c>
      <c r="B12" s="2769">
        <v>20</v>
      </c>
      <c r="C12" s="2764" t="s">
        <v>2513</v>
      </c>
      <c r="D12" s="2769">
        <f>D11</f>
        <v>4.4999999999999998E-2</v>
      </c>
      <c r="E12" s="2764" t="s">
        <v>2514</v>
      </c>
      <c r="F12" s="2770">
        <f>ROUND(1-(1/(POWER(1+D12,B12))),4)</f>
        <v>0.58540000000000003</v>
      </c>
      <c r="G12" s="3169" t="s">
        <v>3764</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3291.35</v>
      </c>
      <c r="C15" s="2764">
        <f>ROUND(F12/F11,4)</f>
        <v>0.6583</v>
      </c>
      <c r="D15" s="2759"/>
      <c r="E15" s="2759"/>
      <c r="F15" s="2760"/>
      <c r="G15" s="2798"/>
    </row>
    <row r="16" spans="1:18">
      <c r="A16" s="2761" t="s">
        <v>2518</v>
      </c>
      <c r="B16" s="2764"/>
      <c r="C16" s="2764"/>
      <c r="D16" s="2759"/>
      <c r="E16" s="2759"/>
      <c r="F16" s="2760"/>
      <c r="G16" s="2798"/>
    </row>
    <row r="17" spans="1:13">
      <c r="A17" s="2761" t="s">
        <v>2517</v>
      </c>
      <c r="B17" s="2769">
        <v>4810</v>
      </c>
      <c r="C17" s="2763"/>
      <c r="D17" s="2759"/>
      <c r="E17" s="2759"/>
      <c r="F17" s="2760"/>
      <c r="G17" s="3169" t="s">
        <v>3765</v>
      </c>
    </row>
    <row r="18" spans="1:13" ht="15" thickBot="1">
      <c r="A18" s="2771" t="s">
        <v>2516</v>
      </c>
      <c r="B18" s="2772">
        <f>ROUND(B17*F11/F12,2)</f>
        <v>7307.03</v>
      </c>
      <c r="C18" s="2772">
        <f>ROUND(F11/F12,4)</f>
        <v>1.5190999999999999</v>
      </c>
      <c r="D18" s="2773"/>
      <c r="E18" s="2773"/>
      <c r="F18" s="2774"/>
      <c r="G18" s="3169" t="s">
        <v>3766</v>
      </c>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O7" sqref="O7"/>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80" t="s">
        <v>2164</v>
      </c>
      <c r="B1" s="3255" t="str">
        <f>IF(B10="北京市","北京市",C10)&amp;F10&amp;IF(结果表!G1="在建","出让国有建设用地使用权及在建建筑物",IF(结果表!G1="土地","出让国有建设用地使用权",))&amp;B9&amp;"预评估"</f>
        <v>北京市房地产抵押价值预评估</v>
      </c>
      <c r="C1" s="3256"/>
      <c r="D1" s="3256"/>
      <c r="E1" s="3256"/>
      <c r="F1" s="3256"/>
      <c r="G1" s="3256"/>
      <c r="H1" s="3256"/>
      <c r="I1" s="3257"/>
      <c r="J1" s="2243"/>
      <c r="K1" s="2182"/>
      <c r="L1" s="2183"/>
      <c r="M1" s="2183"/>
      <c r="N1" s="2181"/>
      <c r="O1" s="1464"/>
      <c r="P1" s="2181"/>
      <c r="Q1" s="2181"/>
      <c r="R1" s="2181"/>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1" t="s">
        <v>2165</v>
      </c>
      <c r="B2" s="122"/>
      <c r="D2" s="2446"/>
      <c r="E2" s="2439"/>
      <c r="F2" s="2439"/>
      <c r="G2" s="2440"/>
      <c r="H2" s="2440"/>
      <c r="I2" s="2440"/>
      <c r="J2" s="2243"/>
      <c r="K2" s="2182"/>
      <c r="L2" s="2183"/>
      <c r="M2" s="2183"/>
      <c r="N2" s="2181"/>
      <c r="O2" s="1464"/>
      <c r="P2" s="2181"/>
      <c r="Q2" s="2181"/>
      <c r="R2" s="2181"/>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2166</v>
      </c>
      <c r="B3" s="2184">
        <v>45470</v>
      </c>
      <c r="C3" s="2185" t="s">
        <v>2167</v>
      </c>
      <c r="D3" s="2184">
        <f>B3</f>
        <v>45470</v>
      </c>
      <c r="E3" s="2440"/>
      <c r="F3" s="2440"/>
      <c r="G3" s="2440"/>
      <c r="H3" s="2440"/>
      <c r="I3" s="2440"/>
      <c r="J3" s="2243"/>
      <c r="K3" s="2182"/>
      <c r="L3" s="2183"/>
      <c r="M3" s="2183"/>
      <c r="N3" s="2181"/>
      <c r="O3" s="1464"/>
      <c r="P3" s="2181"/>
      <c r="Q3" s="2181"/>
      <c r="R3" s="2181"/>
      <c r="S3" s="1559"/>
      <c r="T3" s="1616"/>
      <c r="U3" s="1616"/>
      <c r="V3" s="1616"/>
      <c r="W3" s="1616"/>
      <c r="X3" s="1616"/>
      <c r="Y3" s="1616"/>
      <c r="Z3" s="1616"/>
      <c r="AA3" s="1616"/>
      <c r="AB3" s="1616"/>
    </row>
    <row r="4" spans="1:30" ht="13.8" thickBot="1">
      <c r="A4" s="1026" t="s">
        <v>2168</v>
      </c>
      <c r="B4" s="2186" t="s">
        <v>3380</v>
      </c>
      <c r="C4" s="2187">
        <f ca="1">SUMIF(注册房地产估价师,B4,估价师及机构信息!B3:B24)</f>
        <v>1120070131</v>
      </c>
      <c r="D4" s="2186" t="s">
        <v>3381</v>
      </c>
      <c r="E4" s="2187">
        <f ca="1">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郑燚（注册号：1120070131)、崔锴（注册号：0)</v>
      </c>
      <c r="L4" s="2183"/>
      <c r="M4" s="2183"/>
      <c r="N4" s="2181"/>
      <c r="O4" s="1464"/>
      <c r="P4" s="2181"/>
      <c r="Q4" s="2181"/>
      <c r="R4" s="2181"/>
      <c r="S4" s="1559"/>
      <c r="T4" s="1616"/>
      <c r="U4" s="1616"/>
      <c r="V4" s="1616"/>
      <c r="W4" s="1616"/>
      <c r="X4" s="1616"/>
      <c r="Y4" s="1616"/>
      <c r="Z4" s="1616"/>
      <c r="AA4" s="1616"/>
      <c r="AB4" s="1616"/>
    </row>
    <row r="5" spans="1:30" ht="13.8" thickTop="1">
      <c r="A5" s="2189" t="s">
        <v>2169</v>
      </c>
      <c r="B5" s="3143" t="s">
        <v>3382</v>
      </c>
      <c r="C5" s="2190"/>
      <c r="D5" s="2191"/>
      <c r="E5" s="2440"/>
      <c r="F5" s="2440"/>
      <c r="G5" s="2440"/>
      <c r="H5" s="2440"/>
      <c r="I5" s="2440"/>
      <c r="J5" s="2243"/>
      <c r="K5" s="2188" t="str">
        <f>IF(F4="——","",IF(H4="——",F4&amp;"（注册号："&amp;G4&amp;")",CONCATENATE(F4,"（注册号：",G4,")、",H4,"（注册号：",I4,")")))</f>
        <v>（注册号：0)、（注册号：0)</v>
      </c>
      <c r="L5" s="2183"/>
      <c r="M5" s="2183"/>
      <c r="N5" s="2181"/>
      <c r="O5" s="1464"/>
      <c r="P5" s="2181"/>
      <c r="Q5" s="2181"/>
      <c r="R5" s="2181"/>
      <c r="S5" s="1616"/>
      <c r="T5" s="1616"/>
      <c r="U5" s="1616"/>
      <c r="V5" s="1616"/>
      <c r="W5" s="1616"/>
      <c r="X5" s="1616"/>
      <c r="Y5" s="1616"/>
      <c r="Z5" s="1616"/>
      <c r="AA5" s="1616"/>
      <c r="AB5" s="1616"/>
    </row>
    <row r="6" spans="1:30">
      <c r="A6" s="2192" t="s">
        <v>2170</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2171</v>
      </c>
      <c r="B7" s="2196"/>
      <c r="C7" s="2194"/>
      <c r="D7" s="2195"/>
      <c r="E7" s="2439"/>
      <c r="F7" s="2440"/>
      <c r="G7" s="2440"/>
      <c r="H7" s="2440"/>
      <c r="I7" s="2440"/>
      <c r="J7" s="2243"/>
      <c r="K7" s="2400"/>
      <c r="L7" s="2397"/>
      <c r="M7" s="2397"/>
      <c r="N7" s="2243"/>
      <c r="O7" s="1668"/>
      <c r="P7" s="2243"/>
      <c r="Q7" s="2243"/>
      <c r="R7" s="2243"/>
    </row>
    <row r="8" spans="1:30">
      <c r="A8" s="2197" t="s">
        <v>2172</v>
      </c>
      <c r="B8" s="2198" t="s">
        <v>3383</v>
      </c>
      <c r="C8" s="2199"/>
      <c r="D8" s="3258" t="s">
        <v>2173</v>
      </c>
      <c r="E8" s="2200" t="s">
        <v>3384</v>
      </c>
      <c r="F8" s="2201"/>
      <c r="G8" s="2440"/>
      <c r="H8" s="2440"/>
      <c r="I8" s="2440"/>
      <c r="J8" s="2243"/>
      <c r="K8" s="2398"/>
      <c r="L8" s="2397"/>
      <c r="M8" s="2397"/>
      <c r="N8" s="2243"/>
      <c r="O8" s="1668"/>
      <c r="P8" s="2243"/>
      <c r="Q8" s="2243"/>
      <c r="R8" s="2243"/>
    </row>
    <row r="9" spans="1:30" ht="13.8" thickBot="1">
      <c r="A9" s="2202" t="s">
        <v>2174</v>
      </c>
      <c r="B9" s="2203" t="s">
        <v>3384</v>
      </c>
      <c r="C9" s="2204"/>
      <c r="D9" s="3259"/>
      <c r="E9" s="2203"/>
      <c r="F9" s="2205"/>
      <c r="G9" s="2441"/>
      <c r="H9" s="2441"/>
      <c r="I9" s="2441"/>
      <c r="J9" s="2243"/>
      <c r="K9" s="2400"/>
      <c r="L9" s="2397"/>
      <c r="M9" s="2397"/>
      <c r="N9" s="2243"/>
      <c r="O9" s="1668"/>
      <c r="P9" s="2243"/>
      <c r="Q9" s="2243"/>
      <c r="R9" s="2243"/>
    </row>
    <row r="10" spans="1:30" ht="13.8" thickTop="1">
      <c r="A10" s="2206" t="s">
        <v>2175</v>
      </c>
      <c r="B10" s="2207" t="s">
        <v>3385</v>
      </c>
      <c r="C10" s="2208"/>
      <c r="D10" s="2191"/>
      <c r="E10" s="2209" t="s">
        <v>2176</v>
      </c>
      <c r="F10" s="2442"/>
      <c r="G10" s="2443"/>
      <c r="H10" s="2444"/>
      <c r="I10" s="2445"/>
      <c r="J10" s="2243"/>
      <c r="K10" s="2400"/>
      <c r="L10" s="2397"/>
      <c r="M10" s="2397"/>
      <c r="N10" s="2243"/>
      <c r="O10" s="1668"/>
      <c r="P10" s="2243"/>
      <c r="Q10" s="2243"/>
      <c r="R10" s="2243"/>
    </row>
    <row r="11" spans="1:30">
      <c r="A11" s="2210" t="s">
        <v>2177</v>
      </c>
      <c r="B11" s="2211" t="s">
        <v>3386</v>
      </c>
      <c r="C11" s="2212"/>
      <c r="D11" s="2213"/>
      <c r="E11" s="2181"/>
      <c r="F11" s="2181"/>
      <c r="G11" s="2181"/>
      <c r="H11" s="2181"/>
      <c r="I11" s="2181"/>
      <c r="J11" s="2800"/>
      <c r="K11" s="2397"/>
      <c r="L11" s="2397"/>
      <c r="M11" s="2397"/>
      <c r="N11" s="2243"/>
      <c r="O11" s="1668"/>
      <c r="P11" s="2243"/>
      <c r="Q11" s="2243"/>
      <c r="R11" s="2243"/>
    </row>
    <row r="12" spans="1:30">
      <c r="A12" s="2214" t="s">
        <v>2178</v>
      </c>
      <c r="B12" s="315" t="s">
        <v>2179</v>
      </c>
      <c r="C12" s="2215" t="s">
        <v>2180</v>
      </c>
      <c r="D12" s="2215" t="s">
        <v>2181</v>
      </c>
      <c r="E12" s="2215" t="s">
        <v>2182</v>
      </c>
      <c r="F12" s="2215" t="s">
        <v>2183</v>
      </c>
      <c r="G12" s="2215" t="s">
        <v>2184</v>
      </c>
      <c r="H12" s="2215" t="s">
        <v>2185</v>
      </c>
      <c r="I12" s="2799" t="s">
        <v>2576</v>
      </c>
      <c r="J12" s="2801"/>
      <c r="K12" s="2397"/>
      <c r="L12" s="2397"/>
      <c r="M12" s="2243"/>
      <c r="N12" s="1668"/>
      <c r="O12" s="2243"/>
      <c r="P12" s="2243"/>
      <c r="Q12" s="2243"/>
      <c r="AD12" s="1616"/>
    </row>
    <row r="13" spans="1:30">
      <c r="A13" s="3120" t="s">
        <v>3332</v>
      </c>
      <c r="B13" s="2216" t="s">
        <v>2186</v>
      </c>
      <c r="C13" s="802"/>
      <c r="D13" s="802"/>
      <c r="E13" s="802"/>
      <c r="F13" s="802"/>
      <c r="G13" s="802"/>
      <c r="H13" s="802">
        <v>57479</v>
      </c>
      <c r="I13" s="802"/>
      <c r="J13" s="2801"/>
      <c r="K13" s="2397"/>
      <c r="L13" s="2397"/>
      <c r="M13" s="2243"/>
      <c r="N13" s="1668"/>
      <c r="O13" s="2243"/>
      <c r="P13" s="2243"/>
      <c r="Q13" s="2243"/>
      <c r="AD13" s="1616"/>
    </row>
    <row r="14" spans="1:30">
      <c r="A14" s="1017"/>
      <c r="B14" s="2216" t="s">
        <v>2187</v>
      </c>
      <c r="C14" s="2217"/>
      <c r="D14" s="2217"/>
      <c r="E14" s="2217"/>
      <c r="F14" s="2217"/>
      <c r="G14" s="2217">
        <v>50</v>
      </c>
      <c r="H14" s="2217">
        <v>50</v>
      </c>
      <c r="I14" s="2217"/>
      <c r="J14" s="2802"/>
      <c r="K14" s="2397"/>
      <c r="L14" s="2397"/>
      <c r="M14" s="2243"/>
      <c r="N14" s="1668"/>
      <c r="O14" s="2243"/>
      <c r="P14" s="2243"/>
      <c r="Q14" s="2243"/>
      <c r="AD14" s="1616"/>
    </row>
    <row r="15" spans="1:30">
      <c r="A15" s="312"/>
      <c r="B15" s="2218" t="s">
        <v>2188</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32.9</v>
      </c>
      <c r="I15" s="2219" t="str">
        <f>IF(A13="出让",IF(I13="","",ROUNDDOWN(MIN((I13-$D$3)/365,I14),2)),I14)</f>
        <v/>
      </c>
      <c r="J15" s="2803"/>
      <c r="K15" s="1668"/>
      <c r="L15" s="1668"/>
      <c r="M15" s="2243"/>
      <c r="N15" s="1668"/>
      <c r="O15" s="2243"/>
      <c r="P15" s="2243"/>
      <c r="Q15" s="2243"/>
      <c r="AD15" s="1616"/>
    </row>
    <row r="16" spans="1:30">
      <c r="A16" s="2209" t="s">
        <v>2189</v>
      </c>
      <c r="B16" s="3265"/>
      <c r="C16" s="3266"/>
      <c r="D16" s="3267"/>
      <c r="E16" s="2220" t="s">
        <v>2190</v>
      </c>
      <c r="F16" s="3268"/>
      <c r="G16" s="3269"/>
      <c r="H16" s="3269"/>
      <c r="I16" s="3270"/>
      <c r="J16" s="2243"/>
      <c r="K16" s="2401"/>
      <c r="L16" s="1668"/>
      <c r="M16" s="1668"/>
      <c r="N16" s="2243"/>
      <c r="O16" s="1668"/>
      <c r="P16" s="2243"/>
      <c r="Q16" s="2243"/>
      <c r="R16" s="2243"/>
    </row>
    <row r="17" spans="1:28">
      <c r="A17" s="305" t="s">
        <v>2191</v>
      </c>
      <c r="B17" s="294" t="s">
        <v>2192</v>
      </c>
      <c r="C17" s="8">
        <f>'数据-汇总表'!E3</f>
        <v>20034.16</v>
      </c>
      <c r="D17" s="1254" t="s">
        <v>2193</v>
      </c>
      <c r="E17" s="3271" t="s">
        <v>2194</v>
      </c>
      <c r="F17" s="3272"/>
      <c r="G17" s="3272"/>
      <c r="H17" s="3272"/>
      <c r="I17" s="3273"/>
      <c r="J17" s="2243"/>
      <c r="K17" s="2402"/>
      <c r="L17" s="1668"/>
      <c r="M17" s="1668"/>
      <c r="N17" s="2243"/>
      <c r="O17" s="1668"/>
      <c r="P17" s="2243"/>
      <c r="Q17" s="2243"/>
      <c r="R17" s="2243"/>
      <c r="S17" s="2243"/>
      <c r="T17" s="2243"/>
      <c r="U17" s="2243"/>
      <c r="V17" s="2243"/>
    </row>
    <row r="18" spans="1:28" ht="24.6" thickBot="1">
      <c r="A18" s="2221" t="s">
        <v>2195</v>
      </c>
      <c r="B18" s="1026" t="s">
        <v>2196</v>
      </c>
      <c r="C18" s="2222">
        <f>'数据-汇总表'!D3</f>
        <v>15530.82</v>
      </c>
      <c r="D18" s="1028" t="s">
        <v>2197</v>
      </c>
      <c r="E18" s="3274" t="s">
        <v>2198</v>
      </c>
      <c r="F18" s="3275"/>
      <c r="G18" s="3275"/>
      <c r="H18" s="3275"/>
      <c r="I18" s="3276"/>
      <c r="J18" s="2243"/>
      <c r="K18" s="2402"/>
      <c r="L18" s="1668"/>
      <c r="M18" s="1668"/>
      <c r="N18" s="2243"/>
      <c r="O18" s="1668"/>
      <c r="P18" s="2243"/>
      <c r="Q18" s="2243"/>
      <c r="R18" s="2243"/>
      <c r="S18" s="2243"/>
      <c r="T18" s="2243"/>
      <c r="U18" s="2243"/>
      <c r="V18" s="2243"/>
    </row>
    <row r="19" spans="1:28" ht="37.200000000000003" thickTop="1" thickBot="1">
      <c r="A19" s="319" t="s">
        <v>1055</v>
      </c>
      <c r="B19" s="299" t="s">
        <v>2199</v>
      </c>
      <c r="C19" s="1453"/>
      <c r="D19" s="1454" t="s">
        <v>2200</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2201</v>
      </c>
      <c r="B20" s="3261" t="s">
        <v>2202</v>
      </c>
      <c r="C20" s="3262"/>
      <c r="D20" s="3263" t="s">
        <v>2203</v>
      </c>
      <c r="E20" s="3264"/>
      <c r="F20" s="2428" t="s">
        <v>1056</v>
      </c>
      <c r="G20" s="2440"/>
      <c r="H20" s="2440"/>
      <c r="I20" s="2440"/>
      <c r="J20" s="2243"/>
      <c r="K20" s="3260"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4"/>
      <c r="P20" s="2181"/>
      <c r="Q20" s="2181"/>
      <c r="R20" s="2181"/>
      <c r="S20" s="2181"/>
      <c r="T20" s="2181"/>
      <c r="U20" s="2181"/>
      <c r="V20" s="2181"/>
      <c r="W20" s="1616"/>
      <c r="X20" s="1616"/>
      <c r="Y20" s="1616"/>
      <c r="Z20" s="1616"/>
      <c r="AA20" s="1616"/>
      <c r="AB20" s="1616"/>
    </row>
    <row r="21" spans="1:28" ht="36.6" thickBot="1">
      <c r="A21" s="2415"/>
      <c r="B21" s="2416" t="s">
        <v>2205</v>
      </c>
      <c r="C21" s="2294" t="s">
        <v>1057</v>
      </c>
      <c r="D21" s="1458" t="s">
        <v>2206</v>
      </c>
      <c r="E21" s="2417" t="s">
        <v>1057</v>
      </c>
      <c r="F21" s="2429"/>
      <c r="G21" s="2440"/>
      <c r="H21" s="2440"/>
      <c r="I21" s="2440"/>
      <c r="J21" s="2243"/>
      <c r="K21" s="326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4"/>
      <c r="P21" s="2181"/>
      <c r="Q21" s="2181"/>
      <c r="R21" s="2181"/>
      <c r="S21" s="2181"/>
      <c r="T21" s="2181"/>
      <c r="U21" s="2181"/>
      <c r="V21" s="2181"/>
      <c r="W21" s="1616"/>
      <c r="X21" s="1616"/>
      <c r="Y21" s="1616"/>
      <c r="Z21" s="1616"/>
      <c r="AA21" s="1616"/>
      <c r="AB21" s="1616"/>
    </row>
    <row r="22" spans="1:28" ht="36.6" thickBot="1">
      <c r="A22" s="2415"/>
      <c r="B22" s="2418" t="s">
        <v>2207</v>
      </c>
      <c r="C22" s="2294" t="s">
        <v>1058</v>
      </c>
      <c r="D22" s="2440"/>
      <c r="E22" s="2440"/>
      <c r="F22" s="2440"/>
      <c r="G22" s="2440"/>
      <c r="H22" s="2440"/>
      <c r="I22" s="2440"/>
      <c r="J22" s="2243"/>
      <c r="K22" s="326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4"/>
      <c r="P22" s="2181"/>
      <c r="Q22" s="2181"/>
      <c r="R22" s="2181"/>
      <c r="S22" s="2181"/>
      <c r="T22" s="2181"/>
      <c r="U22" s="2181"/>
      <c r="V22" s="2181"/>
      <c r="W22" s="1616"/>
      <c r="X22" s="1616"/>
      <c r="Y22" s="1616"/>
      <c r="Z22" s="1616"/>
      <c r="AA22" s="1616"/>
      <c r="AB22" s="1616"/>
    </row>
    <row r="23" spans="1:28">
      <c r="A23" s="2419" t="s">
        <v>2208</v>
      </c>
      <c r="B23" s="2291" t="s">
        <v>2209</v>
      </c>
      <c r="C23" s="2420"/>
      <c r="D23" s="2421" t="s">
        <v>2209</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8" thickTop="1">
      <c r="A27" s="3278" t="s">
        <v>2210</v>
      </c>
      <c r="B27" s="312" t="s">
        <v>2211</v>
      </c>
      <c r="C27" s="2223" t="s">
        <v>3387</v>
      </c>
      <c r="D27" s="2224"/>
      <c r="E27" s="2440"/>
      <c r="F27" s="2440"/>
      <c r="G27" s="2440"/>
      <c r="H27" s="2440"/>
      <c r="I27" s="2440"/>
      <c r="J27" s="2243"/>
      <c r="K27" s="2401"/>
      <c r="L27" s="1668"/>
      <c r="M27" s="1668"/>
      <c r="N27" s="2243"/>
      <c r="O27" s="1668"/>
      <c r="P27" s="2243"/>
      <c r="Q27" s="2243"/>
      <c r="R27" s="2243"/>
      <c r="S27" s="2243"/>
      <c r="T27" s="2243"/>
      <c r="U27" s="2243"/>
      <c r="V27" s="2243"/>
    </row>
    <row r="28" spans="1:28">
      <c r="A28" s="3278"/>
      <c r="B28" s="294" t="s">
        <v>2212</v>
      </c>
      <c r="C28" s="2225" t="s">
        <v>3388</v>
      </c>
      <c r="D28" s="2226"/>
      <c r="E28" s="2440"/>
      <c r="F28" s="2440"/>
      <c r="G28" s="2440"/>
      <c r="H28" s="2440"/>
      <c r="I28" s="2440"/>
      <c r="J28" s="2243"/>
      <c r="K28" s="2400"/>
      <c r="L28" s="2397"/>
      <c r="M28" s="2397"/>
      <c r="N28" s="2243"/>
      <c r="O28" s="1668"/>
      <c r="P28" s="2243"/>
      <c r="Q28" s="2243"/>
      <c r="R28" s="2243"/>
      <c r="S28" s="2243"/>
      <c r="T28" s="2243"/>
      <c r="U28" s="2243"/>
      <c r="V28" s="2243"/>
    </row>
    <row r="29" spans="1:28">
      <c r="A29" s="3278"/>
      <c r="B29" s="294" t="s">
        <v>2213</v>
      </c>
      <c r="C29" s="2227" t="s">
        <v>3389</v>
      </c>
      <c r="D29" s="2228"/>
      <c r="E29" s="2440"/>
      <c r="F29" s="2440"/>
      <c r="G29" s="2440"/>
      <c r="H29" s="2440"/>
      <c r="I29" s="2440"/>
      <c r="J29" s="2243"/>
      <c r="K29" s="2400"/>
      <c r="L29" s="2397"/>
      <c r="M29" s="2397"/>
      <c r="N29" s="2243"/>
      <c r="O29" s="1668"/>
      <c r="P29" s="2243"/>
      <c r="Q29" s="2243"/>
      <c r="R29" s="2243"/>
      <c r="S29" s="2243"/>
      <c r="T29" s="2243"/>
      <c r="U29" s="2243"/>
      <c r="V29" s="2243"/>
    </row>
    <row r="30" spans="1:28">
      <c r="A30" s="3279"/>
      <c r="B30" s="294" t="s">
        <v>2214</v>
      </c>
      <c r="C30" s="3280"/>
      <c r="D30" s="3281"/>
      <c r="E30" s="2440"/>
      <c r="F30" s="2440"/>
      <c r="G30" s="2440"/>
      <c r="H30" s="2440"/>
      <c r="I30" s="2440"/>
      <c r="J30" s="2243"/>
      <c r="K30" s="2400"/>
      <c r="L30" s="2397"/>
      <c r="M30" s="2397"/>
      <c r="N30" s="2243"/>
      <c r="O30" s="1668"/>
      <c r="P30" s="2243"/>
      <c r="Q30" s="2243"/>
      <c r="R30" s="2243"/>
      <c r="S30" s="2243"/>
      <c r="T30" s="2243"/>
      <c r="U30" s="2243"/>
      <c r="V30" s="2243"/>
    </row>
    <row r="31" spans="1:28">
      <c r="A31" s="3282" t="s">
        <v>2215</v>
      </c>
      <c r="B31" s="2229" t="s">
        <v>3390</v>
      </c>
      <c r="C31" s="12" t="str">
        <f>IF(B31="现房","成新及维护状况正常否",IF(B31="在建","工程状态是否正常",IF(B31="土地","是否闲置","-")))</f>
        <v>成新及维护状况正常否</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83"/>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83"/>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2216</v>
      </c>
      <c r="B34" s="1869" t="s">
        <v>3391</v>
      </c>
      <c r="C34" s="1869" t="s">
        <v>3395</v>
      </c>
      <c r="D34" s="1869" t="s">
        <v>3392</v>
      </c>
      <c r="E34" s="1869" t="s">
        <v>3393</v>
      </c>
      <c r="F34" s="1869" t="s">
        <v>3394</v>
      </c>
      <c r="G34" s="1869" t="s">
        <v>3396</v>
      </c>
      <c r="H34" s="1869"/>
      <c r="I34" s="2440"/>
      <c r="J34" s="2243"/>
      <c r="K34" s="8">
        <f>COUNTIF(B34:H34,"——")</f>
        <v>0</v>
      </c>
      <c r="L34" s="315" t="s">
        <v>2217</v>
      </c>
      <c r="M34" s="315" t="s">
        <v>2218</v>
      </c>
      <c r="N34" s="315" t="s">
        <v>2219</v>
      </c>
      <c r="O34" s="315" t="s">
        <v>2220</v>
      </c>
      <c r="P34" s="315" t="s">
        <v>2221</v>
      </c>
      <c r="Q34" s="315" t="s">
        <v>2222</v>
      </c>
      <c r="R34" s="315" t="s">
        <v>2223</v>
      </c>
      <c r="S34" s="3277" t="s">
        <v>2224</v>
      </c>
      <c r="T34" s="315" t="str">
        <f>NUMBERSTRING(7-K34,1)&amp;"通"</f>
        <v>七通</v>
      </c>
      <c r="U34" s="2243"/>
      <c r="V34" s="2243"/>
    </row>
    <row r="35" spans="1:30">
      <c r="A35" s="2234"/>
      <c r="B35" s="3277" t="s">
        <v>2225</v>
      </c>
      <c r="C35" s="3277"/>
      <c r="D35" s="3277"/>
      <c r="E35" s="3277"/>
      <c r="F35" s="8">
        <f>C10</f>
        <v>0</v>
      </c>
      <c r="G35" s="2440"/>
      <c r="H35" s="2440"/>
      <c r="I35" s="2440"/>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v>
      </c>
      <c r="S35" s="3277"/>
      <c r="T35" s="138" t="str">
        <f>IF(T34="一通",L35,IF(T34="二通",M35,IF(T34="三通",N35,IF(T34="四通",O35,IF(T34="五通",P35,IF(T34="六通",Q35,R35))))))</f>
        <v>通路、通电、通讯、通上水、通下水、通热、</v>
      </c>
      <c r="U35" s="2243"/>
      <c r="V35" s="2243"/>
    </row>
    <row r="36" spans="1:30">
      <c r="A36" s="2182"/>
      <c r="B36" s="8" t="s">
        <v>2181</v>
      </c>
      <c r="C36" s="8" t="s">
        <v>2182</v>
      </c>
      <c r="D36" s="8" t="s">
        <v>2180</v>
      </c>
      <c r="E36" s="8" t="s">
        <v>2185</v>
      </c>
      <c r="F36" s="2799" t="s">
        <v>2579</v>
      </c>
      <c r="G36" s="2440"/>
      <c r="H36" s="2440"/>
      <c r="I36" s="2440"/>
      <c r="J36" s="2243"/>
      <c r="K36" s="2400"/>
      <c r="L36" s="2397"/>
      <c r="M36" s="2397"/>
      <c r="N36" s="2243"/>
      <c r="O36" s="1668"/>
      <c r="P36" s="2243"/>
      <c r="Q36" s="2243"/>
      <c r="R36" s="2243"/>
      <c r="S36" s="2243"/>
      <c r="T36" s="2243"/>
      <c r="U36" s="2243"/>
      <c r="V36" s="2243"/>
    </row>
    <row r="37" spans="1:30">
      <c r="A37" s="2413" t="s">
        <v>2226</v>
      </c>
      <c r="B37" s="2235"/>
      <c r="C37" s="2235"/>
      <c r="D37" s="2235"/>
      <c r="E37" s="2235" t="s">
        <v>305</v>
      </c>
      <c r="F37" s="2235"/>
      <c r="G37" s="2440"/>
      <c r="H37" s="2440"/>
      <c r="I37" s="2440"/>
      <c r="J37" s="2243"/>
      <c r="K37" s="2400"/>
      <c r="L37" s="2397"/>
      <c r="M37" s="2397"/>
      <c r="N37" s="2243"/>
      <c r="O37" s="1668"/>
      <c r="P37" s="2243"/>
      <c r="Q37" s="2243"/>
      <c r="R37" s="2243"/>
      <c r="S37" s="2243"/>
      <c r="T37" s="2243"/>
      <c r="U37" s="2243"/>
      <c r="V37" s="2243"/>
    </row>
    <row r="38" spans="1:30" ht="27" thickBot="1">
      <c r="A38" s="2414" t="s">
        <v>2227</v>
      </c>
      <c r="B38" s="2236"/>
      <c r="C38" s="2236"/>
      <c r="D38" s="2236"/>
      <c r="E38" s="2236" t="s">
        <v>3397</v>
      </c>
      <c r="F38" s="2236"/>
      <c r="G38" s="2441"/>
      <c r="H38" s="2441"/>
      <c r="I38" s="2441"/>
      <c r="J38" s="2243"/>
      <c r="K38" s="2400"/>
      <c r="L38" s="2397"/>
      <c r="M38" s="2397"/>
      <c r="N38" s="2243"/>
      <c r="O38" s="1668"/>
      <c r="P38" s="2243"/>
      <c r="Q38" s="2243"/>
      <c r="R38" s="2243"/>
      <c r="S38" s="2243"/>
      <c r="T38" s="2243"/>
      <c r="U38" s="2243"/>
      <c r="V38" s="2243"/>
    </row>
    <row r="39" spans="1:30" s="2239" customFormat="1" ht="14.4" thickTop="1" thickBot="1">
      <c r="A39" s="2237" t="s">
        <v>2228</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4"/>
      <c r="J40" s="2243"/>
      <c r="K40" s="2399"/>
      <c r="L40" s="1668"/>
      <c r="M40" s="1668"/>
      <c r="N40" s="2243"/>
      <c r="O40" s="1668"/>
      <c r="P40" s="2243"/>
      <c r="Q40" s="2243"/>
      <c r="R40" s="2243"/>
      <c r="S40" s="2243"/>
      <c r="T40" s="2243"/>
      <c r="U40" s="2243"/>
      <c r="V40" s="2243"/>
    </row>
    <row r="41" spans="1:30">
      <c r="A41" s="2240" t="s">
        <v>2229</v>
      </c>
      <c r="B41" s="1625"/>
      <c r="C41" s="1279"/>
      <c r="D41" s="2181"/>
      <c r="E41" s="2181"/>
      <c r="F41" s="2181"/>
      <c r="G41" s="2181"/>
      <c r="H41" s="2181"/>
      <c r="I41" s="1464"/>
      <c r="J41" s="2243"/>
      <c r="K41" s="2400"/>
      <c r="L41" s="2397"/>
      <c r="M41" s="2397"/>
      <c r="N41" s="2243"/>
      <c r="O41" s="1668"/>
      <c r="P41" s="2243"/>
      <c r="Q41" s="2243"/>
      <c r="R41" s="2243"/>
      <c r="S41" s="2243"/>
      <c r="T41" s="2243"/>
      <c r="U41" s="2243"/>
      <c r="V41" s="2243"/>
    </row>
    <row r="42" spans="1:30" ht="25.2">
      <c r="A42" s="315" t="s">
        <v>2230</v>
      </c>
      <c r="B42" s="8" t="s">
        <v>2231</v>
      </c>
      <c r="C42" s="8" t="s">
        <v>2232</v>
      </c>
      <c r="D42" s="8" t="s">
        <v>2233</v>
      </c>
      <c r="E42" s="8" t="s">
        <v>2234</v>
      </c>
      <c r="F42" s="8" t="s">
        <v>2235</v>
      </c>
      <c r="G42" s="8" t="s">
        <v>2236</v>
      </c>
      <c r="H42" s="8" t="s">
        <v>2237</v>
      </c>
      <c r="I42" s="8" t="s">
        <v>2238</v>
      </c>
      <c r="J42" s="2409" t="s">
        <v>2239</v>
      </c>
      <c r="K42" s="2410" t="s">
        <v>2240</v>
      </c>
      <c r="L42" s="2410" t="s">
        <v>2241</v>
      </c>
      <c r="M42" s="2410" t="s">
        <v>2242</v>
      </c>
      <c r="N42" s="2403" t="s">
        <v>2243</v>
      </c>
      <c r="O42" s="2403" t="s">
        <v>2244</v>
      </c>
      <c r="P42" s="2403" t="s">
        <v>2245</v>
      </c>
      <c r="Q42" s="2404" t="s">
        <v>2246</v>
      </c>
      <c r="R42" s="2404" t="s">
        <v>2247</v>
      </c>
      <c r="S42" s="2243"/>
      <c r="T42" s="2243"/>
      <c r="U42" s="2243"/>
      <c r="V42" s="2243"/>
    </row>
    <row r="43" spans="1:30" s="1614" customFormat="1">
      <c r="A43" s="1460"/>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4" customFormat="1">
      <c r="A44" s="1460"/>
      <c r="B44" s="1460"/>
      <c r="C44" s="628"/>
      <c r="D44" s="628"/>
      <c r="E44" s="628"/>
      <c r="F44" s="628"/>
      <c r="G44" s="628"/>
      <c r="H44" s="628"/>
      <c r="I44" s="628"/>
      <c r="J44" s="2241"/>
      <c r="K44" s="2242"/>
      <c r="L44" s="2242"/>
      <c r="M44" s="628"/>
      <c r="N44" s="628"/>
      <c r="O44" s="628"/>
      <c r="P44" s="628"/>
      <c r="Q44" s="628"/>
      <c r="R44" s="628"/>
      <c r="S44" s="2243"/>
      <c r="T44" s="2243"/>
      <c r="U44" s="2243"/>
      <c r="V44" s="2243"/>
    </row>
    <row r="45" spans="1:30" s="1614" customFormat="1">
      <c r="A45" s="1460"/>
      <c r="B45" s="1460"/>
      <c r="C45" s="628"/>
      <c r="D45" s="628"/>
      <c r="E45" s="628"/>
      <c r="F45" s="628"/>
      <c r="G45" s="628"/>
      <c r="H45" s="628"/>
      <c r="I45" s="628"/>
      <c r="J45" s="2241"/>
      <c r="K45" s="2242"/>
      <c r="L45" s="2242"/>
      <c r="M45" s="628"/>
      <c r="N45" s="628"/>
      <c r="O45" s="628"/>
      <c r="P45" s="628"/>
      <c r="Q45" s="628"/>
      <c r="R45" s="628"/>
      <c r="S45" s="2243"/>
      <c r="T45" s="2243"/>
      <c r="U45" s="2243"/>
      <c r="V45" s="2243"/>
    </row>
    <row r="46" spans="1:30" s="1614" customFormat="1">
      <c r="A46" s="1460"/>
      <c r="B46" s="1460"/>
      <c r="C46" s="628"/>
      <c r="D46" s="628"/>
      <c r="E46" s="628"/>
      <c r="F46" s="628"/>
      <c r="G46" s="628"/>
      <c r="H46" s="628"/>
      <c r="I46" s="628"/>
      <c r="J46" s="2241"/>
      <c r="K46" s="2242"/>
      <c r="L46" s="2242"/>
      <c r="M46" s="628"/>
      <c r="N46" s="628"/>
      <c r="O46" s="628"/>
      <c r="P46" s="628"/>
      <c r="Q46" s="628"/>
      <c r="R46" s="628"/>
      <c r="S46" s="2243"/>
      <c r="T46" s="2243"/>
      <c r="U46" s="2243"/>
      <c r="V46" s="2243"/>
    </row>
    <row r="47" spans="1:30" s="1614" customFormat="1">
      <c r="A47" s="1460"/>
      <c r="B47" s="1460"/>
      <c r="C47" s="628"/>
      <c r="D47" s="628"/>
      <c r="E47" s="628"/>
      <c r="F47" s="628"/>
      <c r="G47" s="628"/>
      <c r="H47" s="628"/>
      <c r="I47" s="628"/>
      <c r="J47" s="2241"/>
      <c r="K47" s="2242"/>
      <c r="L47" s="2242"/>
      <c r="M47" s="628"/>
      <c r="N47" s="628"/>
      <c r="O47" s="628"/>
      <c r="P47" s="628"/>
      <c r="Q47" s="628"/>
      <c r="R47" s="628"/>
      <c r="S47" s="2243"/>
      <c r="T47" s="2243"/>
      <c r="U47" s="2243"/>
      <c r="V47" s="2243"/>
    </row>
    <row r="48" spans="1:30" s="1614" customFormat="1">
      <c r="A48" s="1460"/>
      <c r="B48" s="1460"/>
      <c r="C48" s="628"/>
      <c r="D48" s="628"/>
      <c r="E48" s="628"/>
      <c r="F48" s="628"/>
      <c r="G48" s="628"/>
      <c r="H48" s="628"/>
      <c r="I48" s="628"/>
      <c r="J48" s="2241"/>
      <c r="K48" s="2242"/>
      <c r="L48" s="2242"/>
      <c r="M48" s="628"/>
      <c r="N48" s="628"/>
      <c r="O48" s="628"/>
      <c r="P48" s="628"/>
      <c r="Q48" s="628"/>
      <c r="R48" s="628"/>
      <c r="S48" s="2243"/>
      <c r="T48" s="2243"/>
      <c r="U48" s="2243"/>
      <c r="V48" s="2243"/>
    </row>
    <row r="49" spans="1:22" s="1614" customFormat="1">
      <c r="A49" s="1460"/>
      <c r="B49" s="1460"/>
      <c r="C49" s="628"/>
      <c r="D49" s="628"/>
      <c r="E49" s="628"/>
      <c r="F49" s="628"/>
      <c r="G49" s="628"/>
      <c r="H49" s="628"/>
      <c r="I49" s="628"/>
      <c r="J49" s="2241"/>
      <c r="K49" s="2242"/>
      <c r="L49" s="2242"/>
      <c r="M49" s="628"/>
      <c r="N49" s="628"/>
      <c r="O49" s="628"/>
      <c r="P49" s="628"/>
      <c r="Q49" s="628"/>
      <c r="R49" s="628"/>
      <c r="S49" s="2243"/>
      <c r="T49" s="2243"/>
      <c r="U49" s="2243"/>
      <c r="V49" s="2243"/>
    </row>
    <row r="50" spans="1:22" s="1614" customFormat="1">
      <c r="A50" s="1460"/>
      <c r="B50" s="1460"/>
      <c r="C50" s="628"/>
      <c r="D50" s="628"/>
      <c r="E50" s="628"/>
      <c r="F50" s="628"/>
      <c r="G50" s="628"/>
      <c r="H50" s="628"/>
      <c r="I50" s="628"/>
      <c r="J50" s="2241"/>
      <c r="K50" s="2242"/>
      <c r="L50" s="2242"/>
      <c r="M50" s="628"/>
      <c r="N50" s="628"/>
      <c r="O50" s="628"/>
      <c r="P50" s="628"/>
      <c r="Q50" s="628"/>
      <c r="R50" s="628"/>
      <c r="S50" s="2243"/>
      <c r="T50" s="2243"/>
      <c r="U50" s="2243"/>
      <c r="V50" s="2243"/>
    </row>
    <row r="51" spans="1:22" s="1614" customFormat="1">
      <c r="A51" s="1460"/>
      <c r="B51" s="1460"/>
      <c r="C51" s="628"/>
      <c r="D51" s="628"/>
      <c r="E51" s="628"/>
      <c r="F51" s="628"/>
      <c r="G51" s="628"/>
      <c r="H51" s="628"/>
      <c r="I51" s="628"/>
      <c r="J51" s="2241"/>
      <c r="K51" s="2242"/>
      <c r="L51" s="2242"/>
      <c r="M51" s="628"/>
      <c r="N51" s="628"/>
      <c r="O51" s="628"/>
      <c r="P51" s="628"/>
      <c r="Q51" s="628"/>
      <c r="R51" s="628"/>
    </row>
    <row r="52" spans="1:22" s="1614" customFormat="1">
      <c r="A52" s="1460"/>
      <c r="B52" s="1460"/>
      <c r="C52" s="1460"/>
      <c r="D52" s="1460"/>
      <c r="E52" s="1460"/>
      <c r="F52" s="628"/>
      <c r="G52" s="1460"/>
      <c r="H52" s="1460"/>
      <c r="I52" s="1460"/>
      <c r="J52" s="2244"/>
      <c r="K52" s="2242"/>
      <c r="L52" s="2242"/>
      <c r="M52" s="2242"/>
      <c r="N52" s="1460"/>
      <c r="O52" s="1460"/>
      <c r="P52" s="1460"/>
      <c r="Q52" s="1460"/>
      <c r="R52" s="1460"/>
    </row>
    <row r="53" spans="1:22" s="1614" customFormat="1">
      <c r="A53" s="1460"/>
      <c r="B53" s="1460"/>
      <c r="C53" s="1460"/>
      <c r="D53" s="1460"/>
      <c r="E53" s="1460"/>
      <c r="F53" s="628"/>
      <c r="G53" s="1460"/>
      <c r="H53" s="1460"/>
      <c r="I53" s="1460"/>
      <c r="J53" s="2244"/>
      <c r="K53" s="2242"/>
      <c r="L53" s="2242"/>
      <c r="M53" s="2242"/>
      <c r="N53" s="1460"/>
      <c r="O53" s="1460"/>
      <c r="P53" s="1460"/>
      <c r="Q53" s="1460"/>
      <c r="R53" s="1460"/>
    </row>
    <row r="54" spans="1:22" s="1614" customFormat="1">
      <c r="A54" s="1460"/>
      <c r="B54" s="1460"/>
      <c r="C54" s="1460"/>
      <c r="D54" s="1460"/>
      <c r="E54" s="1460"/>
      <c r="F54" s="628"/>
      <c r="G54" s="1460"/>
      <c r="H54" s="1460"/>
      <c r="I54" s="1460"/>
      <c r="J54" s="2244"/>
      <c r="K54" s="2242"/>
      <c r="L54" s="2242"/>
      <c r="M54" s="2242"/>
      <c r="N54" s="1460"/>
      <c r="O54" s="1460"/>
      <c r="P54" s="1460"/>
      <c r="Q54" s="1460"/>
      <c r="R54" s="1460"/>
    </row>
    <row r="55" spans="1:22" s="1614" customFormat="1">
      <c r="A55" s="1460"/>
      <c r="B55" s="1460"/>
      <c r="C55" s="1460"/>
      <c r="D55" s="1460"/>
      <c r="E55" s="1460"/>
      <c r="F55" s="628"/>
      <c r="G55" s="1460"/>
      <c r="H55" s="1460"/>
      <c r="I55" s="1460"/>
      <c r="J55" s="2244"/>
      <c r="K55" s="2242"/>
      <c r="L55" s="2242"/>
      <c r="M55" s="2242"/>
      <c r="N55" s="1460"/>
      <c r="O55" s="1460"/>
      <c r="P55" s="1460"/>
      <c r="Q55" s="1460"/>
      <c r="R55" s="1460"/>
    </row>
    <row r="56" spans="1:22" s="1614" customFormat="1">
      <c r="A56" s="1460"/>
      <c r="B56" s="1460"/>
      <c r="C56" s="1460"/>
      <c r="D56" s="1460"/>
      <c r="E56" s="1460"/>
      <c r="F56" s="628"/>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5" sqref="H15"/>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v>15530.82</v>
      </c>
      <c r="B3" s="11">
        <f>IF(C3="否",G5-AT5,G5)</f>
        <v>20034.16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8"/>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20034.16</v>
      </c>
      <c r="H5" s="13">
        <f t="shared" ref="H5:AT5" si="0">SUM(H13:H656)</f>
        <v>20034.16</v>
      </c>
      <c r="I5" s="13">
        <f t="shared" si="0"/>
        <v>19268.359999999997</v>
      </c>
      <c r="J5" s="13">
        <f t="shared" si="0"/>
        <v>0</v>
      </c>
      <c r="K5" s="13">
        <f t="shared" si="0"/>
        <v>765.8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20034.16</v>
      </c>
      <c r="BA5" s="15">
        <f t="shared" si="1"/>
        <v>20034.16</v>
      </c>
      <c r="BB5" s="15">
        <f t="shared" si="1"/>
        <v>19268.359999999997</v>
      </c>
      <c r="BC5" s="15">
        <f t="shared" si="1"/>
        <v>765.8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15530.82</v>
      </c>
      <c r="F6" s="13" t="s">
        <v>0</v>
      </c>
      <c r="G6" s="13" t="s">
        <v>1</v>
      </c>
      <c r="H6" s="17">
        <f>SUMIF(I$12:AB$12,"总值",I6:AB6)</f>
        <v>15530.82</v>
      </c>
      <c r="I6" s="13">
        <f t="shared" ref="I6:AB6" si="2">ROUND($A$3*I5/$B$3,2)</f>
        <v>14937.16</v>
      </c>
      <c r="J6" s="13">
        <f t="shared" si="2"/>
        <v>0</v>
      </c>
      <c r="K6" s="13">
        <f t="shared" si="2"/>
        <v>593.66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15530.82</v>
      </c>
      <c r="AZ6" s="13" t="s">
        <v>2</v>
      </c>
      <c r="BA6" s="13">
        <f>ROUND($AY$6*BA5/$AZ$5,2)</f>
        <v>15530.82</v>
      </c>
      <c r="BB6" s="13">
        <f>ROUND($AY$6*BB5/$AZ$5,2)</f>
        <v>14937.16</v>
      </c>
      <c r="BC6" s="13">
        <f t="shared" ref="BC6:BH6" si="4">ROUND($AY$6*BC5/$AZ$5,2)</f>
        <v>593.66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6"/>
      <c r="H9" s="1488" t="s">
        <v>1091</v>
      </c>
      <c r="I9" s="1489" t="s">
        <v>3726</v>
      </c>
      <c r="J9" s="760"/>
      <c r="K9" s="1489" t="s">
        <v>3729</v>
      </c>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3.2">
      <c r="A10" s="1480"/>
      <c r="B10" s="1480"/>
      <c r="C10" s="1480"/>
      <c r="D10" s="1480"/>
      <c r="E10" s="1480"/>
      <c r="F10" s="1480"/>
      <c r="G10" s="1006"/>
      <c r="H10" s="25"/>
      <c r="I10" s="1489" t="s">
        <v>3</v>
      </c>
      <c r="J10" s="760"/>
      <c r="K10" s="1495" t="s">
        <v>3</v>
      </c>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工业</v>
      </c>
      <c r="BC11" s="1485" t="str">
        <f>K10</f>
        <v>工业</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3153" t="s">
        <v>3728</v>
      </c>
      <c r="B13" s="628">
        <v>13357.05</v>
      </c>
      <c r="C13" s="628" t="s">
        <v>3722</v>
      </c>
      <c r="D13" s="1511" t="s">
        <v>3725</v>
      </c>
      <c r="E13" s="13">
        <f>IF($C$3="是",ROUND($A$3*G13/$B$3,2),ROUND($A$3*(G13-AT13)/$B$3,2))</f>
        <v>9924.7099999999991</v>
      </c>
      <c r="F13" s="29"/>
      <c r="G13" s="30">
        <f>H13+AC13+AT13</f>
        <v>12802.5</v>
      </c>
      <c r="H13" s="17">
        <f>SUMIF(I$12:AB$12,"总值",I13:AB13)</f>
        <v>12802.5</v>
      </c>
      <c r="I13" s="1512">
        <v>12802.5</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t="str">
        <f t="shared" ref="AV13:AX17" si="6">A13</f>
        <v>工规证</v>
      </c>
      <c r="AW13" s="8">
        <f t="shared" si="6"/>
        <v>13357.05</v>
      </c>
      <c r="AX13" s="8" t="str">
        <f t="shared" si="6"/>
        <v>1幢车间</v>
      </c>
      <c r="AY13" s="1258">
        <f>ROUND($AY$6*AZ13/$AZ$5,2)</f>
        <v>9924.7099999999991</v>
      </c>
      <c r="AZ13" s="13">
        <f>BA13+BL13</f>
        <v>12802.5</v>
      </c>
      <c r="BA13" s="13">
        <f>SUM(BB13:BK13)</f>
        <v>12802.5</v>
      </c>
      <c r="BB13" s="13">
        <f>IF($D13="是",I13-J13,0)</f>
        <v>12802.5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66">
      <c r="A14" s="3153" t="s">
        <v>3787</v>
      </c>
      <c r="B14" s="628">
        <v>5515.5</v>
      </c>
      <c r="C14" s="3153" t="s">
        <v>3723</v>
      </c>
      <c r="D14" s="1511" t="s">
        <v>3725</v>
      </c>
      <c r="E14" s="13">
        <f>IF($C$3="是",ROUND($A$3*G14/$B$3,2),ROUND($A$3*(G14-AT14)/$B$3,2))</f>
        <v>4272.5</v>
      </c>
      <c r="F14" s="29"/>
      <c r="G14" s="30">
        <f>H14+AC14+AT14</f>
        <v>5511.36</v>
      </c>
      <c r="H14" s="17">
        <f>SUMIF(I$12:AB$12,"总值",I14:AB14)</f>
        <v>5511.36</v>
      </c>
      <c r="I14" s="1512">
        <f>5511.36-K14</f>
        <v>4745.5599999999995</v>
      </c>
      <c r="J14" s="1512"/>
      <c r="K14" s="1512">
        <v>765.8</v>
      </c>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t="str">
        <f t="shared" si="6"/>
        <v>实验楼有地下消防水池、泵房工规证建面765.8</v>
      </c>
      <c r="AW14" s="8">
        <f t="shared" si="6"/>
        <v>5515.5</v>
      </c>
      <c r="AX14" s="8" t="str">
        <f t="shared" si="6"/>
        <v>2幢实验楼</v>
      </c>
      <c r="AY14" s="1258">
        <f>ROUND($AY$6*AZ14/$AZ$5,2)</f>
        <v>4272.5</v>
      </c>
      <c r="AZ14" s="13">
        <f>BA14+BL14</f>
        <v>5511.36</v>
      </c>
      <c r="BA14" s="13">
        <f>SUM(BB14:BK14)</f>
        <v>5511.36</v>
      </c>
      <c r="BB14" s="13">
        <f>IF($D14="是",I14-J14,0)</f>
        <v>4745.5599999999995</v>
      </c>
      <c r="BC14" s="13">
        <f>IF($D14="是",K14-L14,0)</f>
        <v>765.8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26.4">
      <c r="A15" s="628"/>
      <c r="B15" s="628">
        <v>1701</v>
      </c>
      <c r="C15" s="1460" t="s">
        <v>3724</v>
      </c>
      <c r="D15" s="1511" t="s">
        <v>3725</v>
      </c>
      <c r="E15" s="13">
        <f>IF($C$3="是",ROUND($A$3*G15/$B$3,2),ROUND($A$3*(G15-AT15)/$B$3,2))</f>
        <v>1333.61</v>
      </c>
      <c r="F15" s="29"/>
      <c r="G15" s="30">
        <f>H15+AC15+AT15</f>
        <v>1720.3</v>
      </c>
      <c r="H15" s="17">
        <f>SUMIF(I$12:AB$12,"总值",I15:AB15)</f>
        <v>1720.3</v>
      </c>
      <c r="I15" s="1512">
        <v>1720.3</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1701</v>
      </c>
      <c r="AX15" s="8" t="str">
        <f t="shared" si="6"/>
        <v>1号楼附属楼</v>
      </c>
      <c r="AY15" s="1258">
        <f>ROUND($AY$6*AZ15/$AZ$5,2)</f>
        <v>1333.61</v>
      </c>
      <c r="AZ15" s="13">
        <f>BA15+BL15</f>
        <v>1720.3</v>
      </c>
      <c r="BA15" s="13">
        <f>SUM(BB15:BK15)</f>
        <v>1720.3</v>
      </c>
      <c r="BB15" s="13">
        <f>IF($D15="是",I15-J15,0)</f>
        <v>1720.3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3"/>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G21" sqref="G21"/>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70"/>
      <c r="C1" s="1070"/>
      <c r="D1" s="1070"/>
      <c r="E1" s="1070"/>
      <c r="F1" s="1070"/>
      <c r="G1" s="1070"/>
      <c r="H1" s="1070"/>
      <c r="I1" s="1070"/>
      <c r="J1" s="1070"/>
      <c r="K1" s="1070"/>
      <c r="L1" s="1070"/>
      <c r="M1" s="1070"/>
      <c r="N1" s="1070"/>
      <c r="O1" s="1070"/>
      <c r="P1" s="1070"/>
    </row>
    <row r="2" spans="1:16" ht="14.4">
      <c r="A2" s="3293" t="s">
        <v>1131</v>
      </c>
      <c r="B2" s="3293"/>
      <c r="C2" s="3293"/>
      <c r="D2" s="747" t="s">
        <v>1107</v>
      </c>
      <c r="E2" s="1521" t="s">
        <v>1108</v>
      </c>
      <c r="F2" s="2437"/>
      <c r="G2" s="2430"/>
      <c r="H2" s="2431"/>
      <c r="I2" s="2145" t="s">
        <v>1132</v>
      </c>
      <c r="J2" s="2437"/>
      <c r="K2" s="2437"/>
      <c r="L2" s="2437"/>
      <c r="M2" s="2437"/>
      <c r="N2" s="2438"/>
      <c r="O2" s="2437"/>
      <c r="P2" s="2437"/>
    </row>
    <row r="3" spans="1:16" ht="15" thickBot="1">
      <c r="A3" s="3294" t="s">
        <v>1105</v>
      </c>
      <c r="B3" s="3294"/>
      <c r="C3" s="3294"/>
      <c r="D3" s="41">
        <f>'数据-基础表'!AY6</f>
        <v>15530.82</v>
      </c>
      <c r="E3" s="41">
        <f>'数据-基础表'!AZ5</f>
        <v>20034.16</v>
      </c>
      <c r="F3" s="2437"/>
      <c r="G3" s="42"/>
      <c r="H3" s="43" t="s">
        <v>1106</v>
      </c>
      <c r="I3" s="801">
        <f>ROUND('数据-基础表'!B3/'数据-基础表'!A3,2)</f>
        <v>1.29</v>
      </c>
      <c r="J3" s="2437"/>
      <c r="K3" s="2437"/>
      <c r="L3" s="2437"/>
      <c r="M3" s="2437"/>
      <c r="N3" s="2438"/>
      <c r="O3" s="2437"/>
      <c r="P3" s="2437"/>
    </row>
    <row r="4" spans="1:16" ht="14.4">
      <c r="A4" s="3295"/>
      <c r="B4" s="3296"/>
      <c r="C4" s="3297"/>
      <c r="D4" s="1522" t="s">
        <v>1107</v>
      </c>
      <c r="E4" s="1523" t="s">
        <v>1108</v>
      </c>
      <c r="F4" s="2437"/>
      <c r="G4" s="2432" t="s">
        <v>1133</v>
      </c>
      <c r="H4" s="43" t="s">
        <v>1113</v>
      </c>
      <c r="I4" s="801">
        <f>ROUND(SUMIF('数据-基础表'!I9:AS9,"地上",'数据-基础表'!I5:AS5)/'数据-基础表'!A3,2)</f>
        <v>1.24</v>
      </c>
      <c r="J4" s="2437"/>
      <c r="K4" s="2437"/>
      <c r="L4" s="2437"/>
      <c r="M4" s="2437"/>
      <c r="N4" s="2438"/>
      <c r="O4" s="2437"/>
      <c r="P4" s="2437"/>
    </row>
    <row r="5" spans="1:16" ht="14.4">
      <c r="A5" s="42" t="s">
        <v>1109</v>
      </c>
      <c r="B5" s="3298" t="s">
        <v>1110</v>
      </c>
      <c r="C5" s="3298"/>
      <c r="D5" s="43">
        <f>ROUND($D$3*E5/$E$3,2)</f>
        <v>0</v>
      </c>
      <c r="E5" s="44">
        <f>SUMIF('数据-基础表'!$11:$11,"住宅",'数据-基础表'!$5:$5)</f>
        <v>0</v>
      </c>
      <c r="F5" s="2437"/>
      <c r="G5" s="42"/>
      <c r="H5" s="43" t="s">
        <v>1106</v>
      </c>
      <c r="I5" s="801">
        <f>ROUND(E31/D31,2)</f>
        <v>1.29</v>
      </c>
      <c r="J5" s="2437"/>
      <c r="K5" s="2437"/>
      <c r="L5" s="2437"/>
      <c r="M5" s="2437"/>
      <c r="N5" s="2437"/>
      <c r="O5" s="2437"/>
      <c r="P5" s="2437"/>
    </row>
    <row r="6" spans="1:16" ht="15" thickBot="1">
      <c r="A6" s="1525"/>
      <c r="B6" s="3298" t="s">
        <v>1111</v>
      </c>
      <c r="C6" s="3298"/>
      <c r="D6" s="43">
        <f>ROUND($D$3*E6/$E$3,2)</f>
        <v>15530.82</v>
      </c>
      <c r="E6" s="44">
        <f>E3-E5</f>
        <v>20034.16</v>
      </c>
      <c r="F6" s="2437"/>
      <c r="G6" s="1527" t="s">
        <v>1112</v>
      </c>
      <c r="H6" s="45" t="s">
        <v>1113</v>
      </c>
      <c r="I6" s="2433">
        <f>ROUND(F31/D31,2)</f>
        <v>1.24</v>
      </c>
      <c r="J6" s="2437"/>
      <c r="K6" s="2437"/>
      <c r="L6" s="2437"/>
      <c r="M6" s="2437"/>
      <c r="N6" s="2437"/>
      <c r="O6" s="2437"/>
      <c r="P6" s="2437"/>
    </row>
    <row r="7" spans="1:16" ht="15" thickBot="1">
      <c r="A7" s="3290"/>
      <c r="B7" s="3291"/>
      <c r="C7" s="3292"/>
      <c r="D7" s="1522" t="s">
        <v>1107</v>
      </c>
      <c r="E7" s="1526"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14937.16</v>
      </c>
      <c r="E8" s="46">
        <f>SUMIF('数据-基础表'!BB10:BK10,"地上",'数据-基础表'!BB5:BK5)</f>
        <v>19268.359999999997</v>
      </c>
      <c r="F8" s="2437"/>
      <c r="G8" s="2437"/>
      <c r="H8" s="2437"/>
      <c r="I8" s="2437"/>
      <c r="J8" s="2437"/>
      <c r="K8" s="2437"/>
      <c r="L8" s="2437"/>
      <c r="M8" s="2437"/>
      <c r="N8" s="2437"/>
      <c r="O8" s="2437"/>
      <c r="P8" s="2437"/>
    </row>
    <row r="9" spans="1:16" ht="14.4">
      <c r="A9" s="1527"/>
      <c r="B9" s="1528"/>
      <c r="C9" s="43" t="s">
        <v>1119</v>
      </c>
      <c r="D9" s="43">
        <f t="shared" si="0"/>
        <v>0</v>
      </c>
      <c r="E9" s="47">
        <v>0</v>
      </c>
      <c r="F9" s="2437"/>
      <c r="G9" s="2437"/>
      <c r="H9" s="2437"/>
      <c r="I9" s="2437"/>
      <c r="J9" s="2437"/>
      <c r="K9" s="2437"/>
      <c r="L9" s="2437"/>
      <c r="M9" s="2437"/>
      <c r="N9" s="2437"/>
      <c r="O9" s="2437"/>
      <c r="P9" s="2437"/>
    </row>
    <row r="10" spans="1:16" ht="14.4">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5"/>
      <c r="B16" s="1528"/>
      <c r="C16" s="45" t="s">
        <v>1123</v>
      </c>
      <c r="D16" s="45">
        <f>SUM(D8:D15)</f>
        <v>14937.16</v>
      </c>
      <c r="E16" s="48">
        <f>SUM(E8:E15)</f>
        <v>19268.359999999997</v>
      </c>
      <c r="F16" s="2437"/>
      <c r="G16" s="2437"/>
      <c r="H16" s="1529" t="s">
        <v>1135</v>
      </c>
      <c r="I16" s="1530"/>
      <c r="J16" s="1070"/>
      <c r="K16" s="3287" t="s">
        <v>1135</v>
      </c>
      <c r="L16" s="3288"/>
      <c r="M16" s="3288"/>
      <c r="N16" s="3288"/>
      <c r="O16" s="3288"/>
      <c r="P16" s="3289"/>
    </row>
    <row r="17" spans="1:19" ht="14.4">
      <c r="A17" s="1531" t="s">
        <v>1136</v>
      </c>
      <c r="B17" s="1532" t="s">
        <v>1137</v>
      </c>
      <c r="C17" s="1533" t="s">
        <v>1138</v>
      </c>
      <c r="D17" s="1534" t="s">
        <v>1126</v>
      </c>
      <c r="E17" s="1535" t="s">
        <v>1127</v>
      </c>
      <c r="F17" s="1536"/>
      <c r="G17" s="1537"/>
      <c r="H17" s="1538" t="s">
        <v>1139</v>
      </c>
      <c r="I17" s="1539" t="s">
        <v>1124</v>
      </c>
      <c r="J17" s="1070"/>
      <c r="K17" s="3284" t="s">
        <v>1140</v>
      </c>
      <c r="L17" s="3285"/>
      <c r="M17" s="3286"/>
      <c r="N17" s="3284" t="s">
        <v>1141</v>
      </c>
      <c r="O17" s="3285"/>
      <c r="P17" s="3286"/>
      <c r="R17" s="768" t="s">
        <v>1142</v>
      </c>
      <c r="S17" s="54"/>
    </row>
    <row r="18" spans="1:19" ht="14.4">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ht="14.4">
      <c r="A19" s="1547"/>
      <c r="B19" s="45" t="s">
        <v>1125</v>
      </c>
      <c r="C19" s="3114" t="s">
        <v>3904</v>
      </c>
      <c r="D19" s="43">
        <f>ROUND($D$3*E19/$E$3,2)</f>
        <v>6124.21</v>
      </c>
      <c r="E19" s="51">
        <f t="shared" ref="E19:E26" si="1">SUM(F19:G19)</f>
        <v>7900</v>
      </c>
      <c r="F19" s="2556">
        <f>租赁合同整理!B71</f>
        <v>7900</v>
      </c>
      <c r="G19" s="1241"/>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8"/>
      <c r="O19" s="1549"/>
      <c r="P19" s="46">
        <f>N19+O19</f>
        <v>0</v>
      </c>
      <c r="R19" s="43">
        <f t="shared" ref="R19:S26" si="5">D19+H19</f>
        <v>6124.21</v>
      </c>
      <c r="S19" s="51">
        <f t="shared" si="5"/>
        <v>7900</v>
      </c>
    </row>
    <row r="20" spans="1:19" ht="14.4">
      <c r="A20" s="1547"/>
      <c r="B20" s="45" t="s">
        <v>1153</v>
      </c>
      <c r="C20" s="3114" t="s">
        <v>3902</v>
      </c>
      <c r="D20" s="43">
        <f t="shared" ref="D20:D26" si="6">ROUND($D$3*E20/$E$3,2)</f>
        <v>3800.5</v>
      </c>
      <c r="E20" s="51">
        <f t="shared" si="1"/>
        <v>4902.5</v>
      </c>
      <c r="F20" s="2556">
        <f>'数据-基础表'!I13-'数据-汇总表'!F19</f>
        <v>4902.5</v>
      </c>
      <c r="G20" s="1241"/>
      <c r="H20" s="637">
        <f t="shared" ref="H20:H26" si="7">ROUND($D$3*I20/$E$3,2)</f>
        <v>0</v>
      </c>
      <c r="I20" s="46">
        <f t="shared" si="2"/>
        <v>0</v>
      </c>
      <c r="J20" s="1070"/>
      <c r="K20" s="637">
        <f t="shared" si="3"/>
        <v>0</v>
      </c>
      <c r="L20" s="43">
        <f t="shared" si="4"/>
        <v>0</v>
      </c>
      <c r="M20" s="46">
        <f t="shared" ref="M20:M26" si="8">K20+L20</f>
        <v>0</v>
      </c>
      <c r="N20" s="1548"/>
      <c r="O20" s="1549"/>
      <c r="P20" s="46">
        <f t="shared" ref="P20:P26" si="9">N20+O20</f>
        <v>0</v>
      </c>
      <c r="R20" s="43">
        <f t="shared" si="5"/>
        <v>3800.5</v>
      </c>
      <c r="S20" s="51">
        <f t="shared" si="5"/>
        <v>4902.5</v>
      </c>
    </row>
    <row r="21" spans="1:19" ht="14.4">
      <c r="A21" s="1547"/>
      <c r="B21" s="45" t="s">
        <v>1153</v>
      </c>
      <c r="C21" s="3114" t="s">
        <v>3905</v>
      </c>
      <c r="D21" s="43">
        <f t="shared" si="6"/>
        <v>5606.11</v>
      </c>
      <c r="E21" s="51">
        <f t="shared" si="1"/>
        <v>7231.66</v>
      </c>
      <c r="F21" s="2556">
        <f>'数据-基础表'!I14+'数据-基础表'!I15</f>
        <v>6465.86</v>
      </c>
      <c r="G21" s="1241">
        <f>'数据-基础表'!K14</f>
        <v>765.8</v>
      </c>
      <c r="H21" s="637">
        <f t="shared" si="7"/>
        <v>0</v>
      </c>
      <c r="I21" s="46">
        <f t="shared" si="2"/>
        <v>0</v>
      </c>
      <c r="J21" s="1070"/>
      <c r="K21" s="637">
        <f t="shared" si="3"/>
        <v>0</v>
      </c>
      <c r="L21" s="43">
        <f t="shared" si="4"/>
        <v>0</v>
      </c>
      <c r="M21" s="46">
        <f t="shared" si="8"/>
        <v>0</v>
      </c>
      <c r="N21" s="1548"/>
      <c r="O21" s="1549"/>
      <c r="P21" s="46">
        <f t="shared" si="9"/>
        <v>0</v>
      </c>
      <c r="R21" s="43">
        <f t="shared" si="5"/>
        <v>5606.11</v>
      </c>
      <c r="S21" s="51">
        <f t="shared" si="5"/>
        <v>7231.66</v>
      </c>
    </row>
    <row r="22" spans="1:19" ht="14.4">
      <c r="A22" s="1547"/>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1">
        <f>SUM(D19:D26)</f>
        <v>15530.82</v>
      </c>
      <c r="E27" s="1072">
        <f>IF(SUM(E19:E26)='数据-基础表'!BA5,SUM(E19:E26),IF(F27="地上面积有误","面积有误","地下面积有误"))</f>
        <v>20034.16</v>
      </c>
      <c r="F27" s="1071">
        <f>IF(SUM(F19:F26)=E8,SUM(F19:F26),"地上面积有误")</f>
        <v>19268.36</v>
      </c>
      <c r="G27" s="1073">
        <f>SUM(G19:G26)</f>
        <v>765.8</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15530.82</v>
      </c>
      <c r="S27" s="43">
        <f>IF(SUM(S19:S26)=$E$3,SUM(S19:S26),SUM(S19:S26)&amp;"误差"&amp;ROUND(SUM(S19:S26)-E3,2))</f>
        <v>20034.16</v>
      </c>
    </row>
    <row r="28" spans="1:19" ht="14.4">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7"/>
      <c r="B30" s="45"/>
      <c r="C30" s="1554"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5"/>
      <c r="B31" s="96"/>
      <c r="C31" s="784" t="s">
        <v>1158</v>
      </c>
      <c r="D31" s="643">
        <f>D27+D30</f>
        <v>15530.82</v>
      </c>
      <c r="E31" s="643">
        <f>E27+E30</f>
        <v>20034.16</v>
      </c>
      <c r="F31" s="644">
        <f>F27+F30</f>
        <v>19268.36</v>
      </c>
      <c r="G31" s="645">
        <f>G27+G30</f>
        <v>765.8</v>
      </c>
      <c r="H31" s="2437"/>
      <c r="I31" s="2437"/>
      <c r="J31" s="2437"/>
      <c r="K31" s="2437"/>
      <c r="L31" s="2437"/>
      <c r="M31" s="2437"/>
      <c r="N31" s="2437"/>
      <c r="O31" s="2437"/>
      <c r="P31" s="2437"/>
    </row>
    <row r="32" spans="1:19" ht="14.4">
      <c r="A32" s="1524"/>
      <c r="B32" s="1524" t="s">
        <v>1159</v>
      </c>
      <c r="C32" s="1524"/>
      <c r="D32" s="1524"/>
      <c r="E32" s="989">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AH8" sqref="AH8"/>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8" width="17.21875" style="1559" customWidth="1"/>
    <col min="19" max="19" width="12.44140625" style="1559" customWidth="1"/>
    <col min="20" max="20" width="12.109375" style="1559" customWidth="1"/>
    <col min="21" max="21" width="7.44140625" style="1559" customWidth="1"/>
    <col min="22" max="22" width="9.8867187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 thickBot="1">
      <c r="A2" s="1560" t="s">
        <v>1161</v>
      </c>
      <c r="B2" s="983">
        <f>项目基本情况!D3</f>
        <v>45470</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3741</v>
      </c>
      <c r="O5" s="1575" t="s">
        <v>1181</v>
      </c>
      <c r="P5" s="1578" t="s">
        <v>1182</v>
      </c>
      <c r="Q5" s="58" t="s">
        <v>1183</v>
      </c>
      <c r="R5" s="1579" t="s">
        <v>1184</v>
      </c>
      <c r="S5" s="1580" t="s">
        <v>1185</v>
      </c>
      <c r="T5" s="1581" t="s">
        <v>1186</v>
      </c>
      <c r="U5" s="984" t="s">
        <v>1187</v>
      </c>
      <c r="V5" s="504" t="s">
        <v>1188</v>
      </c>
      <c r="W5" s="504" t="s">
        <v>1189</v>
      </c>
      <c r="X5" s="60"/>
      <c r="Y5" s="59" t="s">
        <v>1190</v>
      </c>
      <c r="Z5" s="1099" t="s">
        <v>1187</v>
      </c>
      <c r="AA5" s="504" t="s">
        <v>1188</v>
      </c>
      <c r="AB5" s="504" t="s">
        <v>1189</v>
      </c>
      <c r="AC5" s="60"/>
      <c r="AD5" s="60" t="s">
        <v>1190</v>
      </c>
      <c r="AE5" s="984" t="s">
        <v>1191</v>
      </c>
      <c r="AF5" s="504" t="s">
        <v>1192</v>
      </c>
      <c r="AG5" s="59" t="s">
        <v>1193</v>
      </c>
      <c r="AH5" s="984" t="s">
        <v>1194</v>
      </c>
      <c r="AI5" s="1099" t="s">
        <v>1195</v>
      </c>
      <c r="AJ5" s="1099" t="s">
        <v>1196</v>
      </c>
      <c r="AK5" s="504" t="s">
        <v>1197</v>
      </c>
      <c r="AL5" s="504" t="s">
        <v>1198</v>
      </c>
      <c r="AM5" s="59" t="s">
        <v>1199</v>
      </c>
      <c r="AN5" s="1582" t="s">
        <v>1200</v>
      </c>
      <c r="AO5" s="1452" t="s">
        <v>1201</v>
      </c>
      <c r="AP5" s="967"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已出租-车间</v>
      </c>
      <c r="B6" s="1585" t="str">
        <f>IF(A6=0,"","经营性")</f>
        <v>经营性</v>
      </c>
      <c r="C6" s="1586" t="s">
        <v>3</v>
      </c>
      <c r="D6" s="804">
        <f>SUMIF(项目基本情况!C$12:I$12,C6,项目基本情况!C$14:I$14)</f>
        <v>50</v>
      </c>
      <c r="E6" s="803">
        <f>IF(B6="","",SUMIF(项目基本情况!C$12:I$12,C6,项目基本情况!C$13:I$13))</f>
        <v>57479</v>
      </c>
      <c r="F6" s="61">
        <f>SUMIF(项目基本情况!C$12:I$12,C6,项目基本情况!C$15:I$15)</f>
        <v>32.9</v>
      </c>
      <c r="G6" s="62">
        <f>IF(ISERROR(ROUND(POWER(1+H6,D6-F6)*(POWER(1+H6,F6)-1)/(POWER(1+H6,D6)-1),3)),0,ROUND(POWER(1+H6,D6-F6)*(POWER(1+H6,F6)-1)/(POWER(1+H6,D6)-1),3))</f>
        <v>0.86</v>
      </c>
      <c r="H6" s="691">
        <v>4.4999999999999998E-2</v>
      </c>
      <c r="I6" s="691">
        <v>0.05</v>
      </c>
      <c r="J6" s="63">
        <v>7.0000000000000007E-2</v>
      </c>
      <c r="K6" s="969">
        <f>SUMIF('数据-汇总表'!C$19:C$33,A6,'数据-汇总表'!E$19:E$33)</f>
        <v>7900</v>
      </c>
      <c r="L6" s="692">
        <v>2500</v>
      </c>
      <c r="M6" s="64">
        <f t="shared" ref="M6:M14" si="0">ROUND(K6*L6/10000,0)</f>
        <v>1975</v>
      </c>
      <c r="N6" s="690">
        <f>W22</f>
        <v>0.8</v>
      </c>
      <c r="O6" s="64" t="str">
        <f>IF($N$5="成新度","——",ROUND(M6*N6,0))</f>
        <v>——</v>
      </c>
      <c r="P6" s="65" t="str">
        <f>IF($N$5="成新度","——",M6-O6)</f>
        <v>——</v>
      </c>
      <c r="Q6" s="693">
        <v>7.0000000000000007E-2</v>
      </c>
      <c r="R6" s="66">
        <f ca="1">SUMIF('数据-汇总表'!C$19:C$33,A6,'数据-汇总表'!R$19:R$27)</f>
        <v>6124.21</v>
      </c>
      <c r="S6" s="49">
        <f>IF('数据-汇总表'!$I$17="按面积比例",SUMIF('数据-汇总表'!C$19:C$33,A6,'数据-汇总表'!K$19:K$33),SUMIF('数据-汇总表'!C$19:C$33,A6,'数据-汇总表'!N$19:N$33))</f>
        <v>0</v>
      </c>
      <c r="T6" s="1091">
        <f>ROUND($L$14*S6/10000,0)</f>
        <v>0</v>
      </c>
      <c r="U6" s="3125">
        <f>租赁合同整理!H88</f>
        <v>1.1000000000000001</v>
      </c>
      <c r="V6" s="67">
        <v>0</v>
      </c>
      <c r="W6" s="67">
        <v>0</v>
      </c>
      <c r="X6" s="978"/>
      <c r="Y6" s="68">
        <f>N6</f>
        <v>0.8</v>
      </c>
      <c r="Z6" s="69">
        <f>租赁合同整理!B91</f>
        <v>1.4</v>
      </c>
      <c r="AA6" s="63">
        <f>租赁合同整理!B90</f>
        <v>0.02</v>
      </c>
      <c r="AB6" s="63">
        <v>0.1</v>
      </c>
      <c r="AC6" s="978"/>
      <c r="AD6" s="70">
        <f>租赁合同整理!B89</f>
        <v>0.72</v>
      </c>
      <c r="AE6" s="979">
        <f ca="1">IF(AN6="",0,SUMIF(INDIRECT("'"&amp;AN6&amp;"'"&amp;"!E:E"),$AE$5,INDIRECT("'"&amp;AN6&amp;"'"&amp;"!F:F")))</f>
        <v>32.9</v>
      </c>
      <c r="AF6" s="74">
        <f>租赁合同整理!B87</f>
        <v>6.24</v>
      </c>
      <c r="AG6" s="130">
        <f ca="1">IF(AF6="",0,AE6-AF6)</f>
        <v>26.659999999999997</v>
      </c>
      <c r="AH6" s="71"/>
      <c r="AI6" s="73">
        <v>365</v>
      </c>
      <c r="AJ6" s="74"/>
      <c r="AK6" s="3208">
        <v>3.0000000000000001E-3</v>
      </c>
      <c r="AL6" s="76">
        <v>1E-3</v>
      </c>
      <c r="AM6" s="77">
        <v>0.01</v>
      </c>
      <c r="AN6" s="1587" t="s">
        <v>3906</v>
      </c>
      <c r="AO6" s="50">
        <f ca="1">SUMIF(INDIRECT("'"&amp;AN6&amp;"'"&amp;"!A:A"),"总价",INDIRECT("'"&amp;AN6&amp;"'"&amp;"!B:B"))</f>
        <v>5225</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t="str">
        <f>'数据-汇总表'!C20</f>
        <v>未出租-车间</v>
      </c>
      <c r="B7" s="1585" t="str">
        <f t="shared" ref="B7:B13" si="1">IF(A7=0,"","经营性")</f>
        <v>经营性</v>
      </c>
      <c r="C7" s="1586" t="s">
        <v>3</v>
      </c>
      <c r="D7" s="804">
        <f>SUMIF(项目基本情况!C$12:I$12,C7,项目基本情况!C$14:I$14)</f>
        <v>50</v>
      </c>
      <c r="E7" s="803">
        <f>IF(B7="","",SUMIF(项目基本情况!C$12:I$12,C7,项目基本情况!C$13:I$13))</f>
        <v>57479</v>
      </c>
      <c r="F7" s="61">
        <f>SUMIF(项目基本情况!C$12:I$12,C7,项目基本情况!C$15:I$15)</f>
        <v>32.9</v>
      </c>
      <c r="G7" s="62">
        <f t="shared" ref="G7:G11" si="2">IF(ISERROR(ROUND(POWER(1+H7,D7-F7)*(POWER(1+H7,F7)-1)/(POWER(1+H7,D7)-1),3)),0,ROUND(POWER(1+H7,D7-F7)*(POWER(1+H7,F7)-1)/(POWER(1+H7,D7)-1),3))</f>
        <v>0.86</v>
      </c>
      <c r="H7" s="691">
        <f>H6</f>
        <v>4.4999999999999998E-2</v>
      </c>
      <c r="I7" s="691">
        <f t="shared" ref="I7:J7" si="3">I6</f>
        <v>0.05</v>
      </c>
      <c r="J7" s="691">
        <f t="shared" si="3"/>
        <v>7.0000000000000007E-2</v>
      </c>
      <c r="K7" s="969">
        <f>SUMIF('数据-汇总表'!C$19:C$33,A7,'数据-汇总表'!E$19:E$33)</f>
        <v>4902.5</v>
      </c>
      <c r="L7" s="692">
        <v>2500</v>
      </c>
      <c r="M7" s="64">
        <f t="shared" si="0"/>
        <v>1226</v>
      </c>
      <c r="N7" s="690">
        <f>N6</f>
        <v>0.8</v>
      </c>
      <c r="O7" s="64" t="str">
        <f t="shared" ref="O7:O14" si="4">IF($N$5="成新度","——",ROUND(M7*N7,0))</f>
        <v>——</v>
      </c>
      <c r="P7" s="65" t="str">
        <f t="shared" ref="P7:P14" si="5">IF($N$5="成新度","——",M7-O7)</f>
        <v>——</v>
      </c>
      <c r="Q7" s="693">
        <f>Q6</f>
        <v>7.0000000000000007E-2</v>
      </c>
      <c r="R7" s="66">
        <f ca="1">SUMIF('数据-汇总表'!C$19:C$33,A7,'数据-汇总表'!R$19:R$27)</f>
        <v>3800.5</v>
      </c>
      <c r="S7" s="49">
        <f>IF('数据-汇总表'!$I$17="按面积比例",SUMIF('数据-汇总表'!C$19:C$33,A7,'数据-汇总表'!K$19:K$33),SUMIF('数据-汇总表'!C$19:C$33,A7,'数据-汇总表'!N$19:N$33))</f>
        <v>0</v>
      </c>
      <c r="T7" s="1091">
        <f t="shared" ref="T7:T13" si="6">ROUND($L$14*S7/10000,0)</f>
        <v>0</v>
      </c>
      <c r="U7" s="3125">
        <f>AC22</f>
        <v>1.2</v>
      </c>
      <c r="V7" s="67">
        <v>0.02</v>
      </c>
      <c r="W7" s="67">
        <v>0.1</v>
      </c>
      <c r="X7" s="978"/>
      <c r="Y7" s="68">
        <f>N7</f>
        <v>0.8</v>
      </c>
      <c r="Z7" s="69"/>
      <c r="AA7" s="63"/>
      <c r="AB7" s="63"/>
      <c r="AC7" s="978"/>
      <c r="AD7" s="70"/>
      <c r="AE7" s="979">
        <f t="shared" ref="AE7:AE13" ca="1" si="7">IF(AN7="",0,SUMIF(INDIRECT("'"&amp;AN7&amp;"'"&amp;"!E:E"),$AE$5,INDIRECT("'"&amp;AN7&amp;"'"&amp;"!F:F")))</f>
        <v>32.9</v>
      </c>
      <c r="AF7" s="74"/>
      <c r="AG7" s="130">
        <f t="shared" ref="AG7:AG13" si="8">IF(AF7="",0,AE7-AF7)</f>
        <v>0</v>
      </c>
      <c r="AH7" s="71"/>
      <c r="AI7" s="73">
        <v>365</v>
      </c>
      <c r="AJ7" s="74"/>
      <c r="AK7" s="3208">
        <f>AK6</f>
        <v>3.0000000000000001E-3</v>
      </c>
      <c r="AL7" s="75">
        <f t="shared" ref="AL7:AM7" si="9">AL6</f>
        <v>1E-3</v>
      </c>
      <c r="AM7" s="75">
        <f t="shared" si="9"/>
        <v>0.01</v>
      </c>
      <c r="AN7" s="1587" t="s">
        <v>3908</v>
      </c>
      <c r="AO7" s="50">
        <f t="shared" ref="AO7:AO13" ca="1" si="10">SUMIF(INDIRECT("'"&amp;AN7&amp;"'"&amp;"!A:A"),"总价",INDIRECT("'"&amp;AN7&amp;"'"&amp;"!B:B"))</f>
        <v>3177</v>
      </c>
      <c r="AP7" s="1588">
        <f t="shared" ref="AP7:AP13" si="11">IF(C7="住宅",K7*L7,0)</f>
        <v>0</v>
      </c>
      <c r="AQ7" s="50">
        <f t="shared" ref="AQ7:AQ13" si="12">ROUND($L$14*$N$14*S7/10000,0)</f>
        <v>0</v>
      </c>
      <c r="AR7" s="50">
        <f t="shared" ref="AR7:AR13" si="13">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t="str">
        <f>'数据-汇总表'!C21</f>
        <v>办公</v>
      </c>
      <c r="B8" s="1585" t="str">
        <f t="shared" si="1"/>
        <v>经营性</v>
      </c>
      <c r="C8" s="1586" t="s">
        <v>3</v>
      </c>
      <c r="D8" s="804">
        <f>SUMIF(项目基本情况!C$12:I$12,C8,项目基本情况!C$14:I$14)</f>
        <v>50</v>
      </c>
      <c r="E8" s="803">
        <f>IF(B8="","",SUMIF(项目基本情况!C$12:I$12,C8,项目基本情况!C$13:I$13))</f>
        <v>57479</v>
      </c>
      <c r="F8" s="61">
        <f>SUMIF(项目基本情况!C$12:I$12,C8,项目基本情况!C$15:I$15)</f>
        <v>32.9</v>
      </c>
      <c r="G8" s="62">
        <f t="shared" si="2"/>
        <v>0.86</v>
      </c>
      <c r="H8" s="691">
        <f>H6</f>
        <v>4.4999999999999998E-2</v>
      </c>
      <c r="I8" s="691">
        <f t="shared" ref="I8:J8" si="14">I6</f>
        <v>0.05</v>
      </c>
      <c r="J8" s="691">
        <f t="shared" si="14"/>
        <v>7.0000000000000007E-2</v>
      </c>
      <c r="K8" s="969">
        <f>SUMIF('数据-汇总表'!C$19:C$33,A8,'数据-汇总表'!E$19:E$33)</f>
        <v>7231.66</v>
      </c>
      <c r="L8" s="692">
        <v>3300</v>
      </c>
      <c r="M8" s="64">
        <f>ROUND(K8*L8/10000,0)</f>
        <v>2386</v>
      </c>
      <c r="N8" s="690">
        <f>W25</f>
        <v>0.78</v>
      </c>
      <c r="O8" s="64" t="str">
        <f t="shared" si="4"/>
        <v>——</v>
      </c>
      <c r="P8" s="65" t="str">
        <f t="shared" si="5"/>
        <v>——</v>
      </c>
      <c r="Q8" s="693">
        <f>Q6</f>
        <v>7.0000000000000007E-2</v>
      </c>
      <c r="R8" s="66">
        <f ca="1">SUMIF('数据-汇总表'!C$19:C$33,A8,'数据-汇总表'!R$19:R$27)</f>
        <v>5606.11</v>
      </c>
      <c r="S8" s="49">
        <f>IF('数据-汇总表'!$I$17="按面积比例",SUMIF('数据-汇总表'!C$19:C$33,A8,'数据-汇总表'!K$19:K$33),SUMIF('数据-汇总表'!C$19:C$33,A8,'数据-汇总表'!N$19:N$33))</f>
        <v>0</v>
      </c>
      <c r="T8" s="1091">
        <f t="shared" si="6"/>
        <v>0</v>
      </c>
      <c r="U8" s="3126">
        <f>AC23</f>
        <v>2.1</v>
      </c>
      <c r="V8" s="694">
        <v>0.02</v>
      </c>
      <c r="W8" s="694">
        <v>0.1</v>
      </c>
      <c r="X8" s="978"/>
      <c r="Y8" s="68">
        <f>N8</f>
        <v>0.78</v>
      </c>
      <c r="Z8" s="69"/>
      <c r="AA8" s="63"/>
      <c r="AB8" s="63"/>
      <c r="AC8" s="978"/>
      <c r="AD8" s="70"/>
      <c r="AE8" s="979">
        <f t="shared" ca="1" si="7"/>
        <v>32.9</v>
      </c>
      <c r="AF8" s="74"/>
      <c r="AG8" s="130">
        <f t="shared" si="8"/>
        <v>0</v>
      </c>
      <c r="AH8" s="695">
        <f>'数据-汇总表'!F21</f>
        <v>6465.86</v>
      </c>
      <c r="AI8" s="73">
        <v>365</v>
      </c>
      <c r="AJ8" s="74"/>
      <c r="AK8" s="3209">
        <f>AK6</f>
        <v>3.0000000000000001E-3</v>
      </c>
      <c r="AL8" s="696">
        <f t="shared" ref="AL8:AM8" si="15">AL6</f>
        <v>1E-3</v>
      </c>
      <c r="AM8" s="696">
        <f t="shared" si="15"/>
        <v>0.01</v>
      </c>
      <c r="AN8" s="1587" t="s">
        <v>3761</v>
      </c>
      <c r="AO8" s="50">
        <f t="shared" ca="1" si="10"/>
        <v>7394</v>
      </c>
      <c r="AP8" s="1588">
        <f t="shared" si="11"/>
        <v>0</v>
      </c>
      <c r="AQ8" s="50">
        <f t="shared" si="12"/>
        <v>0</v>
      </c>
      <c r="AR8" s="50">
        <f t="shared" si="13"/>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hidden="1">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1">
        <f t="shared" si="6"/>
        <v>0</v>
      </c>
      <c r="U9" s="3125"/>
      <c r="V9" s="67"/>
      <c r="W9" s="67"/>
      <c r="X9" s="978"/>
      <c r="Y9" s="68"/>
      <c r="Z9" s="69"/>
      <c r="AA9" s="63"/>
      <c r="AB9" s="63"/>
      <c r="AC9" s="978"/>
      <c r="AD9" s="70"/>
      <c r="AE9" s="979">
        <f t="shared" ca="1" si="7"/>
        <v>0</v>
      </c>
      <c r="AF9" s="74"/>
      <c r="AG9" s="130">
        <f t="shared" si="8"/>
        <v>0</v>
      </c>
      <c r="AH9" s="71"/>
      <c r="AI9" s="73"/>
      <c r="AJ9" s="74"/>
      <c r="AK9" s="75"/>
      <c r="AL9" s="76"/>
      <c r="AM9" s="77"/>
      <c r="AN9" s="1587"/>
      <c r="AO9" s="50" t="e">
        <f t="shared" ca="1" si="10"/>
        <v>#REF!</v>
      </c>
      <c r="AP9" s="1588">
        <f t="shared" si="11"/>
        <v>0</v>
      </c>
      <c r="AQ9" s="50">
        <f t="shared" si="12"/>
        <v>0</v>
      </c>
      <c r="AR9" s="50">
        <f t="shared" si="13"/>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hidden="1">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1">
        <f t="shared" si="6"/>
        <v>0</v>
      </c>
      <c r="U10" s="3125"/>
      <c r="V10" s="67"/>
      <c r="W10" s="67"/>
      <c r="X10" s="978"/>
      <c r="Y10" s="68"/>
      <c r="Z10" s="69"/>
      <c r="AA10" s="63"/>
      <c r="AB10" s="63"/>
      <c r="AC10" s="978"/>
      <c r="AD10" s="70"/>
      <c r="AE10" s="979">
        <f t="shared" ca="1" si="7"/>
        <v>0</v>
      </c>
      <c r="AF10" s="74"/>
      <c r="AG10" s="130">
        <f t="shared" si="8"/>
        <v>0</v>
      </c>
      <c r="AH10" s="71"/>
      <c r="AI10" s="73"/>
      <c r="AJ10" s="74"/>
      <c r="AK10" s="75"/>
      <c r="AL10" s="76"/>
      <c r="AM10" s="77"/>
      <c r="AN10" s="1587"/>
      <c r="AO10" s="50" t="e">
        <f t="shared" ca="1" si="10"/>
        <v>#REF!</v>
      </c>
      <c r="AP10" s="1588">
        <f t="shared" si="11"/>
        <v>0</v>
      </c>
      <c r="AQ10" s="50">
        <f t="shared" si="12"/>
        <v>0</v>
      </c>
      <c r="AR10" s="50">
        <f t="shared" si="13"/>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hidden="1">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1">
        <f t="shared" si="6"/>
        <v>0</v>
      </c>
      <c r="U11" s="3125"/>
      <c r="V11" s="63"/>
      <c r="W11" s="63"/>
      <c r="X11" s="978"/>
      <c r="Y11" s="68"/>
      <c r="Z11" s="81"/>
      <c r="AA11" s="63"/>
      <c r="AB11" s="63"/>
      <c r="AC11" s="978"/>
      <c r="AD11" s="70"/>
      <c r="AE11" s="979">
        <f t="shared" ca="1" si="7"/>
        <v>0</v>
      </c>
      <c r="AF11" s="74"/>
      <c r="AG11" s="130">
        <f t="shared" si="8"/>
        <v>0</v>
      </c>
      <c r="AH11" s="71"/>
      <c r="AI11" s="73"/>
      <c r="AJ11" s="74"/>
      <c r="AK11" s="75"/>
      <c r="AL11" s="76"/>
      <c r="AM11" s="77"/>
      <c r="AN11" s="1587"/>
      <c r="AO11" s="50" t="e">
        <f t="shared" ca="1" si="10"/>
        <v>#REF!</v>
      </c>
      <c r="AP11" s="1588">
        <f t="shared" si="11"/>
        <v>0</v>
      </c>
      <c r="AQ11" s="50">
        <f t="shared" si="12"/>
        <v>0</v>
      </c>
      <c r="AR11" s="50">
        <f t="shared" si="13"/>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hidden="1">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1">
        <f t="shared" si="6"/>
        <v>0</v>
      </c>
      <c r="U12" s="3125"/>
      <c r="V12" s="63"/>
      <c r="W12" s="63"/>
      <c r="X12" s="978"/>
      <c r="Y12" s="68"/>
      <c r="Z12" s="81"/>
      <c r="AA12" s="63"/>
      <c r="AB12" s="63"/>
      <c r="AC12" s="978"/>
      <c r="AD12" s="70"/>
      <c r="AE12" s="979">
        <f t="shared" ca="1" si="7"/>
        <v>0</v>
      </c>
      <c r="AF12" s="74"/>
      <c r="AG12" s="130">
        <f t="shared" si="8"/>
        <v>0</v>
      </c>
      <c r="AH12" s="71"/>
      <c r="AI12" s="73"/>
      <c r="AJ12" s="74"/>
      <c r="AK12" s="75"/>
      <c r="AL12" s="76"/>
      <c r="AM12" s="77"/>
      <c r="AN12" s="1587"/>
      <c r="AO12" s="50" t="e">
        <f t="shared" ca="1" si="10"/>
        <v>#REF!</v>
      </c>
      <c r="AP12" s="1588">
        <f t="shared" si="11"/>
        <v>0</v>
      </c>
      <c r="AQ12" s="50">
        <f t="shared" si="12"/>
        <v>0</v>
      </c>
      <c r="AR12" s="50">
        <f t="shared" si="13"/>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hidden="1">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1">
        <f t="shared" si="6"/>
        <v>0</v>
      </c>
      <c r="U13" s="3127"/>
      <c r="V13" s="67"/>
      <c r="W13" s="67"/>
      <c r="X13" s="978"/>
      <c r="Y13" s="68"/>
      <c r="Z13" s="69"/>
      <c r="AA13" s="63"/>
      <c r="AB13" s="63"/>
      <c r="AC13" s="978"/>
      <c r="AD13" s="70"/>
      <c r="AE13" s="979">
        <f t="shared" ca="1" si="7"/>
        <v>0</v>
      </c>
      <c r="AF13" s="74"/>
      <c r="AG13" s="130">
        <f t="shared" si="8"/>
        <v>0</v>
      </c>
      <c r="AH13" s="71"/>
      <c r="AI13" s="73"/>
      <c r="AJ13" s="74"/>
      <c r="AK13" s="75"/>
      <c r="AL13" s="76"/>
      <c r="AM13" s="77"/>
      <c r="AN13" s="1587"/>
      <c r="AO13" s="50" t="e">
        <f t="shared" ca="1" si="10"/>
        <v>#REF!</v>
      </c>
      <c r="AP13" s="1588">
        <f t="shared" si="11"/>
        <v>0</v>
      </c>
      <c r="AQ13" s="50">
        <f t="shared" si="12"/>
        <v>0</v>
      </c>
      <c r="AR13" s="50">
        <f t="shared" si="13"/>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4"/>
      <c r="E14" s="803"/>
      <c r="F14" s="61"/>
      <c r="G14" s="62"/>
      <c r="H14" s="968"/>
      <c r="I14" s="968"/>
      <c r="J14" s="968"/>
      <c r="K14" s="969">
        <f>SUMIF('数据-汇总表'!C$19:C$33,A14,'数据-汇总表'!E$19:E$33)</f>
        <v>0</v>
      </c>
      <c r="L14" s="79"/>
      <c r="M14" s="64">
        <f t="shared" si="0"/>
        <v>0</v>
      </c>
      <c r="N14" s="80"/>
      <c r="O14" s="64" t="str">
        <f t="shared" si="4"/>
        <v>——</v>
      </c>
      <c r="P14" s="65" t="str">
        <f t="shared" si="5"/>
        <v>——</v>
      </c>
      <c r="Q14" s="972"/>
      <c r="R14" s="66"/>
      <c r="S14" s="49"/>
      <c r="T14" s="1091"/>
      <c r="U14" s="637"/>
      <c r="V14" s="974"/>
      <c r="W14" s="974"/>
      <c r="X14" s="975"/>
      <c r="Y14" s="976"/>
      <c r="Z14" s="54"/>
      <c r="AA14" s="977"/>
      <c r="AB14" s="977"/>
      <c r="AC14" s="978"/>
      <c r="AD14" s="975"/>
      <c r="AE14" s="979"/>
      <c r="AF14" s="50"/>
      <c r="AG14" s="130"/>
      <c r="AH14" s="979"/>
      <c r="AI14" s="1264"/>
      <c r="AJ14" s="50"/>
      <c r="AK14" s="980"/>
      <c r="AL14" s="981"/>
      <c r="AM14" s="982"/>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4"/>
      <c r="AJ15" s="50"/>
      <c r="AK15" s="980"/>
      <c r="AL15" s="981"/>
      <c r="AM15" s="982"/>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2"/>
      <c r="D16" s="1592"/>
      <c r="E16" s="82"/>
      <c r="F16" s="82"/>
      <c r="G16" s="83">
        <f>ROUND(SUMPRODUCT(G6:G13,K6:K13)/SUMPRODUCT((G6:G13&gt;0)*(K6:K13)),3)</f>
        <v>0.86</v>
      </c>
      <c r="H16" s="84">
        <f>ROUND(SUMPRODUCT(H6:H13,K6:K13)/SUMPRODUCT((H6:H13&gt;0)*(K6:K13)),3)</f>
        <v>4.4999999999999998E-2</v>
      </c>
      <c r="I16" s="85"/>
      <c r="J16" s="85"/>
      <c r="K16" s="86">
        <f>SUM(K6:K15)</f>
        <v>20034.16</v>
      </c>
      <c r="L16" s="87">
        <f>ROUND(M16*10000/SUM(K6:K14),0)</f>
        <v>2789</v>
      </c>
      <c r="M16" s="87">
        <f>SUM(M6:M14)</f>
        <v>5587</v>
      </c>
      <c r="N16" s="88">
        <f>ROUND(SUMPRODUCT(M6:M14,N6:N14)/M16,3)</f>
        <v>0.79100000000000004</v>
      </c>
      <c r="O16" s="87">
        <f>SUM(O6:O14)</f>
        <v>0</v>
      </c>
      <c r="P16" s="87">
        <f>SUM(P6:P14)</f>
        <v>0</v>
      </c>
      <c r="Q16" s="89">
        <f>ROUND(SUMPRODUCT(Q6:Q13,K6:K13)/SUMPRODUCT((Q6:Q13&gt;0)*(K6:K13)),2)</f>
        <v>7.0000000000000007E-2</v>
      </c>
      <c r="R16" s="973">
        <f ca="1">SUM(R6:R13)</f>
        <v>15530.82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f>Q16/B20</f>
        <v>4.6666666666666669E-2</v>
      </c>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4" t="s">
        <v>1211</v>
      </c>
      <c r="B19" s="97">
        <v>0</v>
      </c>
      <c r="C19" s="2559" t="s">
        <v>2301</v>
      </c>
      <c r="D19" s="2450"/>
      <c r="E19" s="2437"/>
      <c r="F19" s="2437"/>
      <c r="G19" s="2437"/>
      <c r="H19" s="2437"/>
      <c r="I19" s="2437"/>
      <c r="J19" s="2437"/>
      <c r="K19" s="2448"/>
      <c r="L19" s="2448"/>
      <c r="M19" s="2447"/>
      <c r="N19" s="2447"/>
      <c r="O19" s="2447"/>
      <c r="P19" s="2447"/>
      <c r="Q19" s="2447"/>
      <c r="R19" s="2447"/>
      <c r="S19" s="2447"/>
      <c r="T19" s="2447"/>
      <c r="U19" s="2447"/>
      <c r="V19" s="2447">
        <f>2024-Q24</f>
        <v>11</v>
      </c>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5" t="s">
        <v>1212</v>
      </c>
      <c r="B20" s="98">
        <v>1.5</v>
      </c>
      <c r="C20" s="2560" t="s">
        <v>2299</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6" t="s">
        <v>1213</v>
      </c>
      <c r="B21" s="98">
        <v>1.5</v>
      </c>
      <c r="C21" s="2437"/>
      <c r="D21" s="2450"/>
      <c r="E21" s="2437"/>
      <c r="F21" s="2437"/>
      <c r="G21" s="2437"/>
      <c r="H21" s="2437"/>
      <c r="I21" s="2437"/>
      <c r="J21" s="2437"/>
      <c r="K21" s="2448"/>
      <c r="L21" s="2448"/>
      <c r="M21" s="2447"/>
      <c r="N21" s="2447"/>
      <c r="O21" s="2447"/>
      <c r="P21" s="2447"/>
      <c r="Q21" s="3154" t="s">
        <v>3742</v>
      </c>
      <c r="R21" s="3155" t="s">
        <v>3743</v>
      </c>
      <c r="S21" s="3167" t="s">
        <v>3744</v>
      </c>
      <c r="T21" s="3167" t="s">
        <v>3752</v>
      </c>
      <c r="U21" s="3167" t="s">
        <v>3747</v>
      </c>
      <c r="V21" s="3167" t="s">
        <v>3756</v>
      </c>
      <c r="W21" s="3167" t="s">
        <v>3757</v>
      </c>
      <c r="X21" s="3167"/>
      <c r="Y21" s="3167" t="s">
        <v>3788</v>
      </c>
      <c r="Z21" s="3167"/>
      <c r="AA21" s="3167"/>
      <c r="AB21" s="3167" t="s">
        <v>3792</v>
      </c>
      <c r="AC21" s="3155" t="s">
        <v>3847</v>
      </c>
      <c r="AD21" s="2447"/>
      <c r="AE21" s="2447"/>
      <c r="AF21" s="2447"/>
      <c r="AG21" s="2447"/>
      <c r="AH21" s="2447"/>
      <c r="AI21" s="2447"/>
      <c r="AJ21" s="2447"/>
      <c r="AK21" s="2447"/>
      <c r="AL21" s="2447"/>
      <c r="AM21" s="2447"/>
      <c r="AN21" s="2447"/>
      <c r="AO21" s="2447"/>
      <c r="AP21" s="2447"/>
      <c r="AQ21" s="2447"/>
      <c r="AR21" s="2447"/>
    </row>
    <row r="22" spans="1:44" ht="14.4">
      <c r="A22" s="1595" t="s">
        <v>1214</v>
      </c>
      <c r="B22" s="99">
        <f>B19+B20</f>
        <v>1.5</v>
      </c>
      <c r="C22" s="2437"/>
      <c r="D22" s="2450"/>
      <c r="E22" s="2437"/>
      <c r="F22" s="2437"/>
      <c r="G22" s="2437"/>
      <c r="H22" s="2437"/>
      <c r="I22" s="2437"/>
      <c r="J22" s="2437"/>
      <c r="K22" s="2448"/>
      <c r="L22" s="2448"/>
      <c r="M22" s="2447"/>
      <c r="N22" s="2447"/>
      <c r="O22" s="2447"/>
      <c r="P22" s="2447"/>
      <c r="Q22" s="2448">
        <v>2010</v>
      </c>
      <c r="R22" s="2447" t="s">
        <v>3753</v>
      </c>
      <c r="S22" s="3168">
        <v>2</v>
      </c>
      <c r="T22" s="3167" t="s">
        <v>3745</v>
      </c>
      <c r="U22" s="3167" t="s">
        <v>3749</v>
      </c>
      <c r="V22" s="3168">
        <f>'数据-基础表'!I13</f>
        <v>12802.5</v>
      </c>
      <c r="W22" s="3168">
        <f>ROUND(1-(1-2%)*(2024-Q22)/70,2)</f>
        <v>0.8</v>
      </c>
      <c r="X22" s="3168"/>
      <c r="Y22" s="3168" t="s">
        <v>3789</v>
      </c>
      <c r="Z22" s="3168"/>
      <c r="AA22" s="3168"/>
      <c r="AB22" s="3168">
        <v>2500</v>
      </c>
      <c r="AC22" s="2447">
        <v>1.2</v>
      </c>
      <c r="AD22" s="2447">
        <f>AC22*V22</f>
        <v>15363</v>
      </c>
      <c r="AE22" s="2447"/>
      <c r="AF22" s="2447"/>
      <c r="AG22" s="2447"/>
      <c r="AH22" s="2447"/>
      <c r="AI22" s="2447"/>
      <c r="AJ22" s="2447"/>
      <c r="AK22" s="2447"/>
      <c r="AL22" s="2447"/>
      <c r="AM22" s="2447"/>
      <c r="AN22" s="2447"/>
      <c r="AO22" s="2447"/>
      <c r="AP22" s="2447"/>
      <c r="AQ22" s="2447"/>
      <c r="AR22" s="2447"/>
    </row>
    <row r="23" spans="1:44" ht="14.4">
      <c r="A23" s="1596" t="s">
        <v>1215</v>
      </c>
      <c r="B23" s="99">
        <f>B19+B21</f>
        <v>1.5</v>
      </c>
      <c r="C23" s="2437"/>
      <c r="D23" s="2450"/>
      <c r="E23" s="2437"/>
      <c r="F23" s="2437"/>
      <c r="G23" s="2437"/>
      <c r="H23" s="2437"/>
      <c r="I23" s="2437"/>
      <c r="J23" s="2437"/>
      <c r="K23" s="2448"/>
      <c r="L23" s="2448"/>
      <c r="M23" s="2447"/>
      <c r="N23" s="2447"/>
      <c r="O23" s="2447"/>
      <c r="P23" s="2447"/>
      <c r="Q23" s="2448">
        <v>2010</v>
      </c>
      <c r="R23" s="2447" t="s">
        <v>3913</v>
      </c>
      <c r="S23" s="3168" t="s">
        <v>3746</v>
      </c>
      <c r="T23" s="3167" t="s">
        <v>3754</v>
      </c>
      <c r="U23" s="3167" t="s">
        <v>3751</v>
      </c>
      <c r="V23" s="3168">
        <f>'数据-基础表'!I14+'数据-基础表'!K14</f>
        <v>5511.36</v>
      </c>
      <c r="W23" s="3168">
        <f>ROUND(1-(1-0%)*(2024-Q23)/60,2)</f>
        <v>0.77</v>
      </c>
      <c r="X23" s="3168">
        <f>W23*V23</f>
        <v>4243.7471999999998</v>
      </c>
      <c r="Y23" s="3168" t="s">
        <v>3790</v>
      </c>
      <c r="Z23" s="3168"/>
      <c r="AA23" s="3168"/>
      <c r="AB23" s="3168">
        <v>3300</v>
      </c>
      <c r="AC23" s="2447">
        <f>'比较法-工业租金'!C43</f>
        <v>2.1</v>
      </c>
      <c r="AD23" s="2447">
        <f t="shared" ref="AD23:AD24" si="16">AC23*V23</f>
        <v>11573.856</v>
      </c>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3154" t="s">
        <v>3730</v>
      </c>
      <c r="M24" s="3155" t="s">
        <v>3731</v>
      </c>
      <c r="N24" s="3155" t="s">
        <v>3732</v>
      </c>
      <c r="O24" s="2447"/>
      <c r="P24" s="2447"/>
      <c r="Q24" s="2448">
        <v>2013</v>
      </c>
      <c r="R24" s="2447" t="s">
        <v>3912</v>
      </c>
      <c r="S24" s="3168">
        <v>5</v>
      </c>
      <c r="T24" s="3167" t="s">
        <v>3755</v>
      </c>
      <c r="U24" s="3167" t="s">
        <v>3751</v>
      </c>
      <c r="V24" s="3168">
        <f>'数据-基础表'!I15</f>
        <v>1720.3</v>
      </c>
      <c r="W24" s="3168">
        <f>ROUND(1-(1-0%)*(2024-Q24)/60,2)</f>
        <v>0.82</v>
      </c>
      <c r="X24" s="3168">
        <f>W24*V24</f>
        <v>1410.646</v>
      </c>
      <c r="Y24" s="3168" t="s">
        <v>3791</v>
      </c>
      <c r="Z24" s="3168"/>
      <c r="AA24" s="3168"/>
      <c r="AB24" s="3168"/>
      <c r="AC24" s="2447">
        <f>AC23</f>
        <v>2.1</v>
      </c>
      <c r="AD24" s="2447">
        <f t="shared" si="16"/>
        <v>3612.63</v>
      </c>
      <c r="AE24" s="2447"/>
      <c r="AF24" s="2447"/>
      <c r="AG24" s="2447"/>
      <c r="AH24" s="2447"/>
      <c r="AI24" s="2447"/>
      <c r="AJ24" s="2447"/>
      <c r="AK24" s="2447"/>
      <c r="AL24" s="2447"/>
      <c r="AM24" s="2447"/>
      <c r="AN24" s="2447"/>
      <c r="AO24" s="2447"/>
      <c r="AP24" s="2447"/>
      <c r="AQ24" s="2447"/>
      <c r="AR24" s="2447"/>
    </row>
    <row r="25" spans="1:44" ht="14.4" thickBot="1">
      <c r="A25" s="1447"/>
      <c r="B25" s="1540"/>
      <c r="C25" s="2437"/>
      <c r="D25" s="2450"/>
      <c r="E25" s="2437"/>
      <c r="F25" s="2437"/>
      <c r="G25" s="2437"/>
      <c r="H25" s="2437"/>
      <c r="I25" s="2437"/>
      <c r="J25" s="2437"/>
      <c r="K25" s="3156" t="s">
        <v>3733</v>
      </c>
      <c r="L25" s="3157"/>
      <c r="M25" s="3158">
        <f>M26+M29+M30</f>
        <v>3300</v>
      </c>
      <c r="N25" s="3157"/>
      <c r="O25" s="2447"/>
      <c r="P25" s="2447"/>
      <c r="Q25" s="2447"/>
      <c r="R25" s="2447"/>
      <c r="S25" s="3168"/>
      <c r="T25" s="3167"/>
      <c r="U25" s="3168"/>
      <c r="V25" s="3168">
        <f>V22+V23+V24</f>
        <v>20034.16</v>
      </c>
      <c r="W25" s="3168">
        <f>ROUND(X25/(V23+V24),2)</f>
        <v>0.78</v>
      </c>
      <c r="X25" s="3168">
        <f>X23+X24</f>
        <v>5654.3931999999995</v>
      </c>
      <c r="Y25" s="3168"/>
      <c r="Z25" s="3168"/>
      <c r="AA25" s="3168"/>
      <c r="AB25" s="3168"/>
      <c r="AC25" s="2447">
        <f>ROUND(AD25/V25,1)</f>
        <v>1.5</v>
      </c>
      <c r="AD25" s="2447">
        <f>AD22+AD23+AD24</f>
        <v>30549.486000000001</v>
      </c>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3159" t="s">
        <v>3734</v>
      </c>
      <c r="L26" s="3160">
        <f>L27+L28</f>
        <v>20034.16</v>
      </c>
      <c r="M26" s="3161">
        <f>N26/L26</f>
        <v>1600</v>
      </c>
      <c r="N26" s="3162">
        <f>N27+N28</f>
        <v>32054656</v>
      </c>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599" t="s">
        <v>1220</v>
      </c>
      <c r="B27" s="101">
        <v>160</v>
      </c>
      <c r="C27" s="2561" t="s">
        <v>2303</v>
      </c>
      <c r="D27" s="2453"/>
      <c r="E27" s="2438" t="s">
        <v>3767</v>
      </c>
      <c r="F27" s="2438"/>
      <c r="G27" s="2437"/>
      <c r="H27" s="2437"/>
      <c r="I27" s="2437"/>
      <c r="J27" s="2437"/>
      <c r="K27" s="3163" t="s">
        <v>3735</v>
      </c>
      <c r="L27" s="3164">
        <f>'数据-汇总表'!F31</f>
        <v>19268.36</v>
      </c>
      <c r="M27" s="3165">
        <v>1600</v>
      </c>
      <c r="N27" s="3165">
        <f>M27*L27</f>
        <v>30829376</v>
      </c>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0" t="s">
        <v>1221</v>
      </c>
      <c r="B28" s="103">
        <v>200</v>
      </c>
      <c r="C28" s="2454"/>
      <c r="D28" s="2453"/>
      <c r="E28" s="3170" t="s">
        <v>3911</v>
      </c>
      <c r="F28" s="2438"/>
      <c r="G28" s="2437"/>
      <c r="H28" s="2437"/>
      <c r="I28" s="2437"/>
      <c r="J28" s="2437"/>
      <c r="K28" s="3163" t="s">
        <v>3736</v>
      </c>
      <c r="L28" s="3165">
        <f>'数据-汇总表'!G31</f>
        <v>765.8</v>
      </c>
      <c r="M28" s="3165">
        <v>1600</v>
      </c>
      <c r="N28" s="3165">
        <f t="shared" ref="N28:N30" si="17">M28*L28</f>
        <v>1225280</v>
      </c>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1" t="s">
        <v>1222</v>
      </c>
      <c r="B29" s="105">
        <f ca="1">成本法!C10</f>
        <v>401</v>
      </c>
      <c r="C29" s="2562" t="s">
        <v>2290</v>
      </c>
      <c r="D29" s="2453"/>
      <c r="E29" s="2438"/>
      <c r="F29" s="2438"/>
      <c r="G29" s="2437"/>
      <c r="H29" s="2437"/>
      <c r="I29" s="2437"/>
      <c r="J29" s="2437"/>
      <c r="K29" s="3159" t="s">
        <v>3737</v>
      </c>
      <c r="L29" s="3160">
        <f>L26</f>
        <v>20034.16</v>
      </c>
      <c r="M29" s="3162">
        <v>700</v>
      </c>
      <c r="N29" s="3165">
        <f t="shared" si="17"/>
        <v>14023912</v>
      </c>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2" t="s">
        <v>1223</v>
      </c>
      <c r="B30" s="638">
        <v>200</v>
      </c>
      <c r="C30" s="2454"/>
      <c r="D30" s="2453"/>
      <c r="E30" s="2438"/>
      <c r="F30" s="2438"/>
      <c r="G30" s="2437"/>
      <c r="H30" s="2437"/>
      <c r="I30" s="2437"/>
      <c r="J30" s="2437"/>
      <c r="K30" s="3159" t="s">
        <v>3738</v>
      </c>
      <c r="L30" s="3160">
        <f>L26</f>
        <v>20034.16</v>
      </c>
      <c r="M30" s="3162">
        <v>1000</v>
      </c>
      <c r="N30" s="3165">
        <f t="shared" si="17"/>
        <v>20034160</v>
      </c>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0" t="s">
        <v>1224</v>
      </c>
      <c r="B31" s="104">
        <f>B30-B32</f>
        <v>200</v>
      </c>
      <c r="C31" s="2452"/>
      <c r="D31" s="2453"/>
      <c r="E31" s="2438"/>
      <c r="F31" s="2438"/>
      <c r="G31" s="2437"/>
      <c r="H31" s="2437"/>
      <c r="I31" s="2437"/>
      <c r="J31" s="2437"/>
      <c r="K31" s="3156" t="s">
        <v>3739</v>
      </c>
      <c r="L31" s="3162">
        <v>0</v>
      </c>
      <c r="M31" s="3161">
        <f>M25</f>
        <v>3300</v>
      </c>
      <c r="N31" s="3161">
        <f>M31*L31</f>
        <v>0</v>
      </c>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3" t="s">
        <v>1225</v>
      </c>
      <c r="B32" s="639"/>
      <c r="C32" s="2454"/>
      <c r="D32" s="2450"/>
      <c r="E32" s="2437"/>
      <c r="F32" s="2437"/>
      <c r="G32" s="2437"/>
      <c r="H32" s="2437"/>
      <c r="I32" s="2437"/>
      <c r="J32" s="2437"/>
      <c r="K32" s="3156" t="s">
        <v>3740</v>
      </c>
      <c r="L32" s="3166">
        <f>L26</f>
        <v>20034.16</v>
      </c>
      <c r="M32" s="3158">
        <f>N32/L32</f>
        <v>3300</v>
      </c>
      <c r="N32" s="3158">
        <f>N26+N29+N30+N31</f>
        <v>66112728</v>
      </c>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599" t="s">
        <v>1226</v>
      </c>
      <c r="B33" s="640">
        <v>0.04</v>
      </c>
      <c r="C33" s="2563" t="s">
        <v>2291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0" t="s">
        <v>1227</v>
      </c>
      <c r="B34" s="106"/>
      <c r="C34" s="2563" t="s">
        <v>2292</v>
      </c>
      <c r="D34" s="2458" t="s">
        <v>2300</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0" t="s">
        <v>1228</v>
      </c>
      <c r="B35" s="103">
        <v>200</v>
      </c>
      <c r="C35" s="2563" t="s">
        <v>2293</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v>0.02</v>
      </c>
      <c r="C36" s="2563" t="s">
        <v>2294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2" t="s">
        <v>1230</v>
      </c>
      <c r="B37" s="108">
        <v>0.02</v>
      </c>
      <c r="C37" s="2563" t="s">
        <v>2295</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0" t="s">
        <v>1231</v>
      </c>
      <c r="B38" s="106">
        <v>0.02</v>
      </c>
      <c r="C38" s="2563" t="s">
        <v>2295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4">
        <f ca="1">IF(A40="利息：取LPR",存贷款利率!G1,存贷款利率!G1+C40)</f>
        <v>3.4500000000000003E-2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599"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4"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4"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5" t="s">
        <v>1236</v>
      </c>
      <c r="B44" s="112">
        <v>0.05</v>
      </c>
      <c r="C44" s="2563" t="s">
        <v>2304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5" t="s">
        <v>1237</v>
      </c>
      <c r="B45" s="110">
        <v>0.03</v>
      </c>
      <c r="C45" s="2562" t="s">
        <v>2296</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5" t="s">
        <v>1238</v>
      </c>
      <c r="B46" s="110">
        <v>0.02</v>
      </c>
      <c r="C46" s="2562" t="s">
        <v>2297</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7" t="s">
        <v>1240</v>
      </c>
      <c r="B48" s="114">
        <v>0.03</v>
      </c>
      <c r="C48" s="2562" t="s">
        <v>2296</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v>5.0000000000000001E-4</v>
      </c>
      <c r="C49" s="2562" t="s">
        <v>2298</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8"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0" t="s">
        <v>1245</v>
      </c>
      <c r="B53" s="1609" t="s">
        <v>29</v>
      </c>
      <c r="C53" s="2438" t="s">
        <v>1246</v>
      </c>
      <c r="D53" s="2564" t="s">
        <v>2302</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0"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0"/>
  </cols>
  <sheetData>
    <row r="1" spans="1:29" s="2257" customFormat="1" ht="18" thickBot="1">
      <c r="A1" s="3299" t="s">
        <v>2282</v>
      </c>
      <c r="B1" s="3300"/>
      <c r="C1" s="3300"/>
      <c r="D1" s="3300"/>
      <c r="E1" s="3300"/>
      <c r="F1" s="3300"/>
      <c r="G1" s="330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2277</v>
      </c>
      <c r="D2" s="1593"/>
      <c r="E2" s="2258"/>
      <c r="F2" s="2261"/>
      <c r="G2" s="2260" t="s">
        <v>2278</v>
      </c>
      <c r="H2" s="750"/>
      <c r="I2" s="750"/>
      <c r="J2" s="750"/>
      <c r="K2" s="750"/>
      <c r="L2" s="750"/>
      <c r="M2" s="750"/>
      <c r="N2" s="750"/>
      <c r="O2" s="750"/>
      <c r="P2" s="750"/>
      <c r="Q2" s="750"/>
    </row>
    <row r="3" spans="1:29" ht="48">
      <c r="A3" s="2245" t="s">
        <v>2279</v>
      </c>
      <c r="B3" s="2262" t="s">
        <v>2248</v>
      </c>
      <c r="C3" s="2263" t="s">
        <v>2280</v>
      </c>
      <c r="D3" s="2264"/>
      <c r="E3" s="2246" t="s">
        <v>2279</v>
      </c>
      <c r="F3" s="2265" t="s">
        <v>2249</v>
      </c>
      <c r="G3" s="2266" t="s">
        <v>2281</v>
      </c>
      <c r="H3" s="750"/>
      <c r="I3" s="750"/>
      <c r="J3" s="750"/>
      <c r="K3" s="750"/>
      <c r="L3" s="750"/>
      <c r="M3" s="750"/>
      <c r="N3" s="750"/>
      <c r="O3" s="750"/>
      <c r="P3" s="750"/>
      <c r="Q3" s="750"/>
    </row>
    <row r="4" spans="1:29" ht="37.200000000000003">
      <c r="A4" s="2246"/>
      <c r="B4" s="315" t="s">
        <v>2250</v>
      </c>
      <c r="C4" s="2267" t="s">
        <v>2251</v>
      </c>
      <c r="D4" s="2264"/>
      <c r="E4" s="2268"/>
      <c r="F4" s="1279" t="s">
        <v>2252</v>
      </c>
      <c r="G4" s="2269" t="s">
        <v>2253</v>
      </c>
      <c r="H4" s="750"/>
      <c r="I4" s="750"/>
      <c r="J4" s="750"/>
      <c r="K4" s="750"/>
      <c r="L4" s="750"/>
      <c r="M4" s="750"/>
      <c r="N4" s="750"/>
      <c r="O4" s="750"/>
      <c r="P4" s="750"/>
      <c r="Q4" s="750"/>
    </row>
    <row r="5" spans="1:29" ht="37.200000000000003">
      <c r="A5" s="2246"/>
      <c r="B5" s="315" t="s">
        <v>2254</v>
      </c>
      <c r="C5" s="2267" t="s">
        <v>2255</v>
      </c>
      <c r="D5" s="2264"/>
      <c r="E5" s="2268"/>
      <c r="F5" s="315" t="s">
        <v>2256</v>
      </c>
      <c r="G5" s="2269" t="s">
        <v>2257</v>
      </c>
      <c r="H5" s="750"/>
      <c r="I5" s="750"/>
      <c r="J5" s="750"/>
      <c r="K5" s="750"/>
      <c r="L5" s="750"/>
      <c r="M5" s="750"/>
      <c r="N5" s="750"/>
      <c r="O5" s="750"/>
      <c r="P5" s="750"/>
      <c r="Q5" s="750"/>
    </row>
    <row r="6" spans="1:29" ht="48">
      <c r="A6" s="2246"/>
      <c r="B6" s="315" t="s">
        <v>2258</v>
      </c>
      <c r="C6" s="2269" t="s">
        <v>2253</v>
      </c>
      <c r="D6" s="2264"/>
      <c r="E6" s="2268"/>
      <c r="F6" s="315" t="s">
        <v>2259</v>
      </c>
      <c r="G6" s="2269" t="s">
        <v>2260</v>
      </c>
      <c r="H6" s="750"/>
      <c r="I6" s="750"/>
      <c r="J6" s="750"/>
      <c r="K6" s="750"/>
      <c r="L6" s="750"/>
      <c r="M6" s="750"/>
      <c r="N6" s="750"/>
      <c r="O6" s="750"/>
      <c r="P6" s="750"/>
      <c r="Q6" s="750"/>
    </row>
    <row r="7" spans="1:29" ht="36.6" thickBot="1">
      <c r="A7" s="2246"/>
      <c r="B7" s="315" t="s">
        <v>2256</v>
      </c>
      <c r="C7" s="2269" t="s">
        <v>2257</v>
      </c>
      <c r="D7" s="2243"/>
      <c r="E7" s="2270"/>
      <c r="F7" s="2271" t="s">
        <v>2261</v>
      </c>
      <c r="G7" s="2272" t="s">
        <v>2262</v>
      </c>
      <c r="H7" s="750"/>
      <c r="I7" s="750"/>
      <c r="J7" s="750"/>
      <c r="K7" s="750"/>
      <c r="L7" s="750"/>
      <c r="M7" s="750"/>
      <c r="N7" s="750"/>
      <c r="O7" s="750"/>
      <c r="P7" s="750"/>
      <c r="Q7" s="750"/>
    </row>
    <row r="8" spans="1:29" ht="24">
      <c r="A8" s="2246"/>
      <c r="B8" s="315" t="s">
        <v>2259</v>
      </c>
      <c r="C8" s="2269" t="s">
        <v>2260</v>
      </c>
      <c r="D8" s="2243"/>
      <c r="E8" s="2243"/>
      <c r="F8" s="121"/>
      <c r="G8" s="121"/>
      <c r="H8" s="750"/>
      <c r="I8" s="750"/>
      <c r="J8" s="750"/>
      <c r="K8" s="750"/>
      <c r="L8" s="750"/>
      <c r="M8" s="750"/>
      <c r="N8" s="750"/>
      <c r="O8" s="750"/>
      <c r="P8" s="750"/>
      <c r="Q8" s="750"/>
    </row>
    <row r="9" spans="1:29" ht="24">
      <c r="A9" s="2246"/>
      <c r="B9" s="315" t="s">
        <v>2263</v>
      </c>
      <c r="C9" s="2267" t="s">
        <v>2264</v>
      </c>
      <c r="D9" s="2264"/>
      <c r="E9" s="2243"/>
      <c r="F9" s="121"/>
      <c r="G9" s="121"/>
      <c r="H9" s="750"/>
      <c r="I9" s="750"/>
      <c r="J9" s="750"/>
      <c r="K9" s="750"/>
      <c r="L9" s="750"/>
      <c r="M9" s="750"/>
      <c r="N9" s="750"/>
      <c r="O9" s="750"/>
      <c r="P9" s="750"/>
      <c r="Q9" s="750"/>
    </row>
    <row r="10" spans="1:29" ht="14.4" thickBot="1">
      <c r="A10" s="2247"/>
      <c r="B10" s="2273" t="s">
        <v>2265</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2283</v>
      </c>
      <c r="B13" s="2278"/>
      <c r="C13" s="2278"/>
      <c r="D13" s="2277"/>
      <c r="E13" s="2278"/>
      <c r="F13" s="2278"/>
      <c r="G13" s="2278"/>
    </row>
    <row r="14" spans="1:29" ht="14.4" thickBot="1">
      <c r="A14" s="2283"/>
      <c r="B14" s="2283"/>
      <c r="C14" s="2284" t="s">
        <v>2266</v>
      </c>
      <c r="D14" s="2264"/>
      <c r="E14" s="2285"/>
      <c r="F14" s="2285"/>
      <c r="G14" s="2260" t="s">
        <v>2267</v>
      </c>
    </row>
    <row r="15" spans="1:29" ht="52.8">
      <c r="A15" s="2248" t="s">
        <v>2268</v>
      </c>
      <c r="B15" s="2286" t="s">
        <v>2248</v>
      </c>
      <c r="C15" s="2287" t="str">
        <f>C3</f>
        <v>估价对象周边居住用地比例、居住小区规模和社区发展完善程度，综合评价居住社区成熟度一般</v>
      </c>
      <c r="D15" s="2264"/>
      <c r="E15" s="2249" t="s">
        <v>2269</v>
      </c>
      <c r="F15" s="2286" t="s">
        <v>2270</v>
      </c>
      <c r="G15" s="2288" t="str">
        <f>G3</f>
        <v>估价对象位于XX开发区，园区建设成熟度XX，产业集聚程度XX</v>
      </c>
    </row>
    <row r="16" spans="1:29" ht="39.6">
      <c r="A16" s="2250"/>
      <c r="B16" s="2289" t="s">
        <v>2250</v>
      </c>
      <c r="C16" s="2290" t="str">
        <f>C4</f>
        <v>估价对象位于XX商圈，周边商业氛围成熟，人流量大，商业繁华度好</v>
      </c>
      <c r="D16" s="2264"/>
      <c r="E16" s="2251"/>
      <c r="F16" s="2291" t="s">
        <v>2252</v>
      </c>
      <c r="G16" s="2292" t="str">
        <f>G4</f>
        <v>估价对象周边道路状况、公共交通通达情况、停车便捷程度，综合评价交通便捷度较好</v>
      </c>
    </row>
    <row r="17" spans="1:17" ht="39.6">
      <c r="A17" s="2250"/>
      <c r="B17" s="2289" t="s">
        <v>2254</v>
      </c>
      <c r="C17" s="2290" t="str">
        <f>C5</f>
        <v>估价对象位于XX商圈，周边办公楼项目较多，入驻率高，办公集聚程度较好</v>
      </c>
      <c r="D17" s="2243"/>
      <c r="E17" s="2251"/>
      <c r="F17" s="2291" t="s">
        <v>2271</v>
      </c>
      <c r="G17" s="2293"/>
    </row>
    <row r="18" spans="1:17" ht="52.8">
      <c r="A18" s="2250"/>
      <c r="B18" s="2291" t="s">
        <v>2258</v>
      </c>
      <c r="C18" s="2292" t="str">
        <f>C6</f>
        <v>估价对象周边道路状况、公共交通通达情况、停车便捷程度，综合评价交通便捷度较好</v>
      </c>
      <c r="D18" s="2243"/>
      <c r="E18" s="2251"/>
      <c r="F18" s="2291" t="s">
        <v>2261</v>
      </c>
      <c r="G18" s="2292" t="str">
        <f>G7</f>
        <v>该园区内是否有污染型企业，绿化情况，卫生条件，整体环境状况判断</v>
      </c>
    </row>
    <row r="19" spans="1:17" ht="26.4">
      <c r="A19" s="2250"/>
      <c r="B19" s="2291" t="s">
        <v>2272</v>
      </c>
      <c r="C19" s="2293"/>
      <c r="D19" s="2264"/>
      <c r="E19" s="2251"/>
      <c r="F19" s="315" t="s">
        <v>2256</v>
      </c>
      <c r="G19" s="2292" t="str">
        <f>G5</f>
        <v>估价对象所在区域公共配套设施齐备情况</v>
      </c>
    </row>
    <row r="20" spans="1:17" ht="26.4">
      <c r="A20" s="2250"/>
      <c r="B20" s="2291" t="s">
        <v>2273</v>
      </c>
      <c r="C20" s="2290" t="str">
        <f>C9</f>
        <v>区域自然环境：；人文环境；综合评价环境状况一般</v>
      </c>
      <c r="D20" s="2243"/>
      <c r="E20" s="2251"/>
      <c r="F20" s="315" t="s">
        <v>2259</v>
      </c>
      <c r="G20" s="2292" t="str">
        <f>G6</f>
        <v>估价对象所在区域基础设施水平</v>
      </c>
    </row>
    <row r="21" spans="1:17" ht="26.4">
      <c r="A21" s="2250"/>
      <c r="B21" s="315" t="s">
        <v>2256</v>
      </c>
      <c r="C21" s="2292" t="str">
        <f>C7</f>
        <v>估价对象所在区域公共配套设施齐备情况</v>
      </c>
      <c r="D21" s="2264"/>
      <c r="E21" s="2251"/>
      <c r="F21" s="2291" t="s">
        <v>2274</v>
      </c>
      <c r="G21" s="2294"/>
    </row>
    <row r="22" spans="1:17" ht="13.5" customHeight="1">
      <c r="A22" s="2250"/>
      <c r="B22" s="315" t="s">
        <v>2259</v>
      </c>
      <c r="C22" s="2292" t="str">
        <f>C8</f>
        <v>估价对象所在区域基础设施水平</v>
      </c>
      <c r="D22" s="2264"/>
      <c r="E22" s="2251"/>
      <c r="F22" s="2291" t="s">
        <v>2265</v>
      </c>
      <c r="G22" s="2293"/>
    </row>
    <row r="23" spans="1:17" s="750" customFormat="1" ht="14.4" thickBot="1">
      <c r="A23" s="2250"/>
      <c r="B23" s="2291" t="s">
        <v>2274</v>
      </c>
      <c r="C23" s="2294"/>
      <c r="D23" s="1612"/>
      <c r="E23" s="2252"/>
      <c r="F23" s="2295" t="s">
        <v>2275</v>
      </c>
      <c r="G23" s="2296"/>
      <c r="H23" s="2275"/>
      <c r="I23" s="2275"/>
      <c r="J23" s="2275"/>
      <c r="K23" s="2275"/>
      <c r="L23" s="2275"/>
      <c r="M23" s="2275"/>
      <c r="N23" s="2275"/>
      <c r="O23" s="2275"/>
      <c r="P23" s="2275"/>
      <c r="Q23" s="2275"/>
    </row>
    <row r="24" spans="1:17" s="750" customFormat="1" ht="14.4" thickBot="1">
      <c r="A24" s="2253"/>
      <c r="B24" s="2295" t="s">
        <v>2276</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AK83"/>
  <sheetViews>
    <sheetView view="pageBreakPreview" topLeftCell="A37" zoomScale="80" zoomScaleNormal="70" zoomScaleSheetLayoutView="8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3727</v>
      </c>
      <c r="D1" s="1269" t="s">
        <v>43</v>
      </c>
      <c r="E1" s="1270" t="s">
        <v>678</v>
      </c>
      <c r="F1" s="998" t="e">
        <f ca="1">J53</f>
        <v>#N/A</v>
      </c>
      <c r="G1" s="1284" t="e">
        <f>MATCH(C1,'数据-取费表'!A6:A16,0)+5</f>
        <v>#N/A</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#N/A</v>
      </c>
      <c r="C2" s="1287" t="s">
        <v>805</v>
      </c>
      <c r="D2" s="1287"/>
      <c r="E2" s="1293"/>
      <c r="F2" s="1294"/>
      <c r="G2" s="2477"/>
      <c r="H2" s="2467"/>
      <c r="I2" s="3200" t="e">
        <f ca="1">B2+'收益法-车间未出租'!B2</f>
        <v>#N/A</v>
      </c>
      <c r="J2" s="2467"/>
      <c r="K2" s="2468"/>
      <c r="L2" s="2467"/>
      <c r="M2" s="2467"/>
    </row>
    <row r="3" spans="1:37" ht="18" customHeight="1" thickBot="1">
      <c r="A3" s="1295" t="s">
        <v>806</v>
      </c>
      <c r="B3" s="1296">
        <f ca="1">IF(ISERROR(B2*10000/F43),0,ROUND(B2*10000/F43,0))</f>
        <v>0</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6" t="e">
        <f ca="1">C6+C10+C12</f>
        <v>#N/A</v>
      </c>
      <c r="D5" s="1271" t="s">
        <v>693</v>
      </c>
      <c r="E5" s="1007"/>
      <c r="F5" s="1008"/>
      <c r="G5" s="1290"/>
      <c r="H5" s="291">
        <v>1</v>
      </c>
      <c r="I5" s="292" t="s">
        <v>692</v>
      </c>
      <c r="J5" s="1006" t="e">
        <f ca="1">J6+J10+J12</f>
        <v>#N/A</v>
      </c>
      <c r="K5" s="1271" t="s">
        <v>693</v>
      </c>
      <c r="L5" s="1007"/>
      <c r="M5" s="1008"/>
    </row>
    <row r="6" spans="1:37" ht="18" customHeight="1">
      <c r="A6" s="1005" t="s">
        <v>398</v>
      </c>
      <c r="B6" s="3314" t="s">
        <v>694</v>
      </c>
      <c r="C6" s="1010" t="e">
        <f ca="1">ROUND(F6*F8*F7*(1-F9)/10000,0)</f>
        <v>#N/A</v>
      </c>
      <c r="D6" s="147" t="s">
        <v>2105</v>
      </c>
      <c r="E6" s="294" t="s">
        <v>696</v>
      </c>
      <c r="F6" s="295">
        <f>租赁合同整理!H88</f>
        <v>1.1000000000000001</v>
      </c>
      <c r="G6" s="1290"/>
      <c r="H6" s="1005" t="s">
        <v>398</v>
      </c>
      <c r="I6" s="3314" t="s">
        <v>694</v>
      </c>
      <c r="J6" s="293" t="e">
        <f ca="1">ROUND(M6*M8*M7*(1-M9)/10000,0)</f>
        <v>#N/A</v>
      </c>
      <c r="K6" s="147" t="s">
        <v>2104</v>
      </c>
      <c r="L6" s="294" t="s">
        <v>696</v>
      </c>
      <c r="M6" s="295">
        <f>租赁合同整理!B91</f>
        <v>1.4</v>
      </c>
    </row>
    <row r="7" spans="1:37" ht="18" customHeight="1">
      <c r="A7" s="1009"/>
      <c r="B7" s="3315"/>
      <c r="C7" s="1011"/>
      <c r="D7" s="299"/>
      <c r="E7" s="1012" t="s">
        <v>697</v>
      </c>
      <c r="F7" s="295">
        <f>租赁合同整理!B71</f>
        <v>7900</v>
      </c>
      <c r="G7" s="1290"/>
      <c r="H7" s="296"/>
      <c r="I7" s="3315"/>
      <c r="J7" s="298"/>
      <c r="K7" s="299"/>
      <c r="L7" s="294" t="s">
        <v>697</v>
      </c>
      <c r="M7" s="295">
        <f>F7</f>
        <v>7900</v>
      </c>
    </row>
    <row r="8" spans="1:37" ht="18" customHeight="1">
      <c r="A8" s="296"/>
      <c r="B8" s="3315"/>
      <c r="C8" s="298"/>
      <c r="D8" s="299"/>
      <c r="E8" s="294" t="s">
        <v>698</v>
      </c>
      <c r="F8" s="295" t="e">
        <f ca="1">INDIRECT("'数据-取费表'!ai"&amp;$G$1)</f>
        <v>#N/A</v>
      </c>
      <c r="G8" s="1290"/>
      <c r="H8" s="296"/>
      <c r="I8" s="3315"/>
      <c r="J8" s="298"/>
      <c r="K8" s="299"/>
      <c r="L8" s="294" t="s">
        <v>698</v>
      </c>
      <c r="M8" s="295" t="e">
        <f ca="1">INDIRECT("'数据-取费表'!ai"&amp;$G$1)</f>
        <v>#N/A</v>
      </c>
    </row>
    <row r="9" spans="1:37" ht="18" customHeight="1">
      <c r="A9" s="296"/>
      <c r="B9" s="3316"/>
      <c r="C9" s="298"/>
      <c r="D9" s="299"/>
      <c r="E9" s="294" t="s">
        <v>699</v>
      </c>
      <c r="F9" s="304">
        <v>0</v>
      </c>
      <c r="G9" s="1290"/>
      <c r="H9" s="296"/>
      <c r="I9" s="3316"/>
      <c r="J9" s="298"/>
      <c r="K9" s="299"/>
      <c r="L9" s="305" t="s">
        <v>699</v>
      </c>
      <c r="M9" s="306">
        <v>0.1</v>
      </c>
    </row>
    <row r="10" spans="1:37" ht="18" customHeight="1">
      <c r="A10" s="1005" t="s">
        <v>402</v>
      </c>
      <c r="B10" s="1272" t="s">
        <v>700</v>
      </c>
      <c r="C10" s="308" t="e">
        <f ca="1">ROUND(IF(F10="押一",C6/12*F11,IF(F10="押二",C6/12*2*F11,IF(F10="押三",C6/12*3*F11,C11*F11))),0)</f>
        <v>#N/A</v>
      </c>
      <c r="D10" s="150" t="s">
        <v>2112</v>
      </c>
      <c r="E10" s="305" t="s">
        <v>701</v>
      </c>
      <c r="F10" s="1052" t="s">
        <v>3758</v>
      </c>
      <c r="G10" s="1290"/>
      <c r="H10" s="1005" t="s">
        <v>402</v>
      </c>
      <c r="I10" s="1272" t="s">
        <v>700</v>
      </c>
      <c r="J10" s="293" t="e">
        <f ca="1">ROUND(IF(M10="押一",J6/12*M11,IF(M10="押二",J6/12*2*M11,IF(M10="押三",J6/12*3*M11,J11*M11))),0)</f>
        <v>#N/A</v>
      </c>
      <c r="K10" s="150" t="s">
        <v>2112</v>
      </c>
      <c r="L10" s="305" t="s">
        <v>701</v>
      </c>
      <c r="M10" s="1052" t="s">
        <v>3758</v>
      </c>
    </row>
    <row r="11" spans="1:37" ht="18" customHeight="1">
      <c r="A11" s="300"/>
      <c r="B11" s="1273" t="s">
        <v>679</v>
      </c>
      <c r="C11" s="904"/>
      <c r="D11" s="1274"/>
      <c r="E11" s="305" t="s">
        <v>702</v>
      </c>
      <c r="F11" s="306">
        <f ca="1">'数据-取费表'!B39</f>
        <v>1.4999999999999999E-2</v>
      </c>
      <c r="G11" s="1290"/>
      <c r="H11" s="1013"/>
      <c r="I11" s="1273" t="s">
        <v>679</v>
      </c>
      <c r="J11" s="904"/>
      <c r="K11" s="646"/>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0"/>
      <c r="H13" s="1015">
        <v>2</v>
      </c>
      <c r="I13" s="1016" t="s">
        <v>704</v>
      </c>
      <c r="J13" s="1004" t="e">
        <f ca="1">ROUND(J14*J15,0)</f>
        <v>#N/A</v>
      </c>
      <c r="K13" s="1023" t="s">
        <v>705</v>
      </c>
      <c r="L13" s="1297"/>
      <c r="M13" s="1298"/>
    </row>
    <row r="14" spans="1:37" ht="18" customHeight="1">
      <c r="A14" s="927" t="s">
        <v>397</v>
      </c>
      <c r="B14" s="294" t="s">
        <v>707</v>
      </c>
      <c r="C14" s="310" t="e">
        <f ca="1">INDIRECT("'数据-取费表'!m"&amp;$G$1)+INDIRECT("'数据-取费表'!t"&amp;$G$1)</f>
        <v>#N/A</v>
      </c>
      <c r="D14" s="1255" t="s">
        <v>708</v>
      </c>
      <c r="E14" s="1253"/>
      <c r="F14" s="311"/>
      <c r="G14" s="1290"/>
      <c r="H14" s="927" t="s">
        <v>398</v>
      </c>
      <c r="I14" s="294" t="s">
        <v>709</v>
      </c>
      <c r="J14" s="21" t="e">
        <f ca="1">C29</f>
        <v>#N/A</v>
      </c>
      <c r="K14" s="12"/>
      <c r="L14" s="758"/>
      <c r="M14" s="759"/>
    </row>
    <row r="15" spans="1:37" s="1302" customFormat="1" ht="18" customHeight="1" thickBot="1">
      <c r="A15" s="927" t="s">
        <v>399</v>
      </c>
      <c r="B15" s="294" t="s">
        <v>710</v>
      </c>
      <c r="C15" s="21" t="e">
        <f ca="1">ROUND(C14*F15,0)</f>
        <v>#N/A</v>
      </c>
      <c r="D15" s="312" t="s">
        <v>711</v>
      </c>
      <c r="E15" s="312" t="s">
        <v>712</v>
      </c>
      <c r="F15" s="313">
        <f>'数据-取费表'!B33</f>
        <v>0.04</v>
      </c>
      <c r="G15" s="1301"/>
      <c r="H15" s="1025" t="s">
        <v>402</v>
      </c>
      <c r="I15" s="1026" t="s">
        <v>706</v>
      </c>
      <c r="J15" s="1035" t="e">
        <f ca="1">INDIRECT("'数据-取费表'!ad"&amp;$G$1)</f>
        <v>#N/A</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t="e">
        <f ca="1">ROUND(INDIRECT("'数据-取费表'!m"&amp;$G$1)*F16,0)</f>
        <v>#N/A</v>
      </c>
      <c r="D16" s="294" t="s">
        <v>711</v>
      </c>
      <c r="E16" s="294" t="s">
        <v>712</v>
      </c>
      <c r="F16" s="314" t="e">
        <f ca="1">IF(INDIRECT("'数据-取费表'!c"&amp;$G$1)="住宅",'数据-取费表'!B34,0)</f>
        <v>#N/A</v>
      </c>
      <c r="G16" s="1290"/>
      <c r="H16" s="1015" t="s">
        <v>393</v>
      </c>
      <c r="I16" s="1016" t="s">
        <v>714</v>
      </c>
      <c r="J16" s="302" t="e">
        <f ca="1">ROUND(J17+J22+J23+J24,0)</f>
        <v>#N/A</v>
      </c>
      <c r="K16" s="1023" t="s">
        <v>715</v>
      </c>
      <c r="L16" s="1024"/>
      <c r="M16" s="1008"/>
    </row>
    <row r="17" spans="1:37" s="1302" customFormat="1" ht="18" customHeight="1">
      <c r="A17" s="927" t="s">
        <v>681</v>
      </c>
      <c r="B17" s="294" t="s">
        <v>716</v>
      </c>
      <c r="C17" s="21" t="e">
        <f ca="1">ROUND(F17*(F43+INDIRECT("'数据-取费表'!S"&amp;$G$1))/10000,0)</f>
        <v>#N/A</v>
      </c>
      <c r="D17" s="294" t="s">
        <v>717</v>
      </c>
      <c r="E17" s="294" t="s">
        <v>718</v>
      </c>
      <c r="F17" s="23">
        <f>'数据-取费表'!B35</f>
        <v>200</v>
      </c>
      <c r="G17" s="1301"/>
      <c r="H17" s="927" t="s">
        <v>398</v>
      </c>
      <c r="I17" s="294" t="s">
        <v>719</v>
      </c>
      <c r="J17" s="2139" t="e">
        <f ca="1">ROUND(IF(AND(项目基本情况!B11="自然人",项目基本情况!B10="北京市"),J6*M17/(1+'数据-取费表'!C42),J18+J19+J20),2)</f>
        <v>#N/A</v>
      </c>
      <c r="K17" s="1255" t="s">
        <v>720</v>
      </c>
      <c r="L17" s="1254" t="s">
        <v>721</v>
      </c>
      <c r="M17" s="2138"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t="e">
        <f ca="1">ROUND(C14*F18,0)</f>
        <v>#N/A</v>
      </c>
      <c r="D18" s="294" t="s">
        <v>711</v>
      </c>
      <c r="E18" s="294" t="s">
        <v>712</v>
      </c>
      <c r="F18" s="314">
        <f>'数据-取费表'!B36</f>
        <v>0.02</v>
      </c>
      <c r="G18" s="1301"/>
      <c r="H18" s="927" t="s">
        <v>397</v>
      </c>
      <c r="I18" s="294" t="s">
        <v>723</v>
      </c>
      <c r="J18" s="21" t="e">
        <f ca="1">ROUND(J6*M18/(1+'数据-取费表'!C42),2)</f>
        <v>#N/A</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t="e">
        <f ca="1">SUM(C14:C18)</f>
        <v>#N/A</v>
      </c>
      <c r="D19" s="123" t="s">
        <v>726</v>
      </c>
      <c r="E19" s="1267"/>
      <c r="F19" s="23"/>
      <c r="G19" s="1290"/>
      <c r="H19" s="927" t="s">
        <v>399</v>
      </c>
      <c r="I19" s="294" t="s">
        <v>727</v>
      </c>
      <c r="J19" s="21" t="e">
        <f ca="1">IF(K19="按租金收入计税",ROUND(J6*M19/(1+'数据-取费表'!C42),2),ROUND(C29*M19*0.7,2))</f>
        <v>#N/A</v>
      </c>
      <c r="K19" s="1276" t="s">
        <v>3336</v>
      </c>
      <c r="L19" s="294" t="s">
        <v>712</v>
      </c>
      <c r="M19" s="314">
        <f>IF(K19="按租金收入计税",'数据-取费表'!B51,'数据-取费表'!B50)</f>
        <v>0.12</v>
      </c>
    </row>
    <row r="20" spans="1:37" s="1302" customFormat="1" ht="18" customHeight="1">
      <c r="A20" s="927" t="s">
        <v>402</v>
      </c>
      <c r="B20" s="294" t="s">
        <v>728</v>
      </c>
      <c r="C20" s="21" t="e">
        <f ca="1">ROUND(C19*F20,0)</f>
        <v>#N/A</v>
      </c>
      <c r="D20" s="315" t="s">
        <v>729</v>
      </c>
      <c r="E20" s="294" t="s">
        <v>712</v>
      </c>
      <c r="F20" s="314">
        <f>'数据-取费表'!B37</f>
        <v>0.02</v>
      </c>
      <c r="G20" s="1301"/>
      <c r="H20" s="927" t="s">
        <v>680</v>
      </c>
      <c r="I20" s="147" t="s">
        <v>730</v>
      </c>
      <c r="J20" s="22">
        <f>ROUND(M20*M21/10000,2)</f>
        <v>0.96</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0.02</v>
      </c>
      <c r="G21" s="1301"/>
      <c r="H21" s="318"/>
      <c r="I21" s="303"/>
      <c r="J21" s="26"/>
      <c r="K21" s="319"/>
      <c r="L21" s="294" t="s">
        <v>736</v>
      </c>
      <c r="M21" s="295">
        <f>F35</f>
        <v>6370.9677419354839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t="e">
        <f ca="1">ROUND(J14*M22,2)</f>
        <v>#N/A</v>
      </c>
      <c r="K22" s="1254" t="s">
        <v>739</v>
      </c>
      <c r="L22" s="294" t="s">
        <v>712</v>
      </c>
      <c r="M22" s="320" t="e">
        <f ca="1">INDIRECT("'数据-取费表'!Ak"&amp;$G$1)</f>
        <v>#N/A</v>
      </c>
    </row>
    <row r="23" spans="1:37" s="1302"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1"/>
      <c r="H23" s="927" t="s">
        <v>437</v>
      </c>
      <c r="I23" s="294" t="s">
        <v>742</v>
      </c>
      <c r="J23" s="21" t="e">
        <f ca="1">ROUND(J13*M23,2)</f>
        <v>#N/A</v>
      </c>
      <c r="K23" s="1254" t="s">
        <v>743</v>
      </c>
      <c r="L23" s="294" t="s">
        <v>744</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1"/>
      <c r="H24" s="1025" t="s">
        <v>683</v>
      </c>
      <c r="I24" s="1026" t="s">
        <v>728</v>
      </c>
      <c r="J24" s="1027" t="e">
        <f ca="1">ROUND(J5*M24,2)</f>
        <v>#N/A</v>
      </c>
      <c r="K24" s="1028" t="s">
        <v>748</v>
      </c>
      <c r="L24" s="1026" t="s">
        <v>744</v>
      </c>
      <c r="M24" s="1022"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5" t="s">
        <v>394</v>
      </c>
      <c r="I25" s="1030" t="s">
        <v>752</v>
      </c>
      <c r="J25" s="302" t="e">
        <f ca="1">J5-J16</f>
        <v>#N/A</v>
      </c>
      <c r="K25" s="1031" t="s">
        <v>753</v>
      </c>
      <c r="L25" s="1032"/>
      <c r="M25" s="1033"/>
    </row>
    <row r="26" spans="1:37">
      <c r="A26" s="927"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0"/>
      <c r="H27" s="296"/>
      <c r="I27" s="297"/>
      <c r="J27" s="298"/>
      <c r="K27" s="323" t="s">
        <v>762</v>
      </c>
      <c r="L27" s="294" t="s">
        <v>763</v>
      </c>
      <c r="M27" s="324">
        <f>项目基本情况!H15-'收益法-试测算车间已出租'!F41</f>
        <v>26.659999999999997</v>
      </c>
    </row>
    <row r="28" spans="1:37" s="1302" customFormat="1" ht="18" customHeight="1">
      <c r="A28" s="927"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租赁合同整理!B90</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t="e">
        <f ca="1">ROUND((C19+C20+C23+C26)/(1-F21-C24-C27-C28),0)</f>
        <v>#N/A</v>
      </c>
      <c r="D29" s="1028"/>
      <c r="E29" s="1026"/>
      <c r="F29" s="1029"/>
      <c r="G29" s="1301"/>
      <c r="H29" s="325" t="s">
        <v>396</v>
      </c>
      <c r="I29" s="326" t="s">
        <v>768</v>
      </c>
      <c r="J29" s="327" t="e">
        <f ca="1">ROUND(J26/(1+F40)^F41,0)</f>
        <v>#N/A</v>
      </c>
      <c r="K29" s="328" t="s">
        <v>769</v>
      </c>
      <c r="L29" s="329"/>
      <c r="M29" s="330">
        <f>M7</f>
        <v>7900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t="e">
        <f ca="1">ROUND(C31+C36+C37+C38,0)</f>
        <v>#N/A</v>
      </c>
      <c r="D30" s="1023" t="s">
        <v>715</v>
      </c>
      <c r="E30" s="1024"/>
      <c r="F30" s="1008"/>
      <c r="G30" s="1290"/>
      <c r="H30" s="2469"/>
      <c r="I30" s="1303"/>
      <c r="J30" s="1304"/>
      <c r="K30" s="121"/>
      <c r="L30" s="2470"/>
      <c r="M30" s="2471"/>
    </row>
    <row r="31" spans="1:37" ht="18" customHeight="1">
      <c r="A31" s="927" t="s">
        <v>398</v>
      </c>
      <c r="B31" s="294" t="s">
        <v>719</v>
      </c>
      <c r="C31" s="2139" t="e">
        <f ca="1">ROUND(IF(AND(项目基本情况!B11="自然人",项目基本情况!B10="北京市"),C6*F31/(1+'数据-取费表'!C42),C32+C33+C34),2)</f>
        <v>#N/A</v>
      </c>
      <c r="D31" s="1255" t="s">
        <v>720</v>
      </c>
      <c r="E31" s="1254" t="s">
        <v>770</v>
      </c>
      <c r="F31" s="2138" t="str">
        <f>IF(项目基本情况!B11="企业","——",IF(M47="住宅",IF(F6*F7*F8/12/(1+'数据-取费表'!F30)&gt;100000,4%,2.5%),IF(F6*F7*F8/12/(1+'数据-取费表'!F30)&gt;100000,12%,7%)))</f>
        <v>——</v>
      </c>
      <c r="G31" s="1290"/>
      <c r="H31" s="2568" t="s">
        <v>2306</v>
      </c>
      <c r="I31" s="1303"/>
      <c r="J31" s="1304"/>
      <c r="K31" s="121"/>
      <c r="L31" s="2470"/>
      <c r="M31" s="2471"/>
    </row>
    <row r="32" spans="1:37" ht="18" customHeight="1">
      <c r="A32" s="927" t="s">
        <v>397</v>
      </c>
      <c r="B32" s="294" t="s">
        <v>723</v>
      </c>
      <c r="C32" s="21" t="e">
        <f ca="1">IF(项目基本情况!B11="自然人","——",ROUND(C6*F32/(1+'数据-取费表'!C42),2))</f>
        <v>#N/A</v>
      </c>
      <c r="D32" s="1254" t="s">
        <v>724</v>
      </c>
      <c r="E32" s="294" t="s">
        <v>712</v>
      </c>
      <c r="F32" s="322">
        <f>'数据-取费表'!B41</f>
        <v>5.5000000000000007E-2</v>
      </c>
      <c r="G32" s="1290"/>
      <c r="H32" s="2469"/>
      <c r="I32" s="1303"/>
      <c r="J32" s="1304"/>
      <c r="K32" s="121"/>
      <c r="L32" s="2470"/>
      <c r="M32" s="2471"/>
    </row>
    <row r="33" spans="1:18" ht="18" customHeight="1">
      <c r="A33" s="927" t="s">
        <v>399</v>
      </c>
      <c r="B33" s="294" t="s">
        <v>727</v>
      </c>
      <c r="C33" s="21" t="e">
        <f ca="1">IF(项目基本情况!B11="自然人","——",IF(D33="按租金收入计税",ROUND(C6*F33/(1+'数据-取费表'!C42),2),IF(D33="按房产原值计税",ROUND(C29*F33*0.7,2),INDIRECT("'数据-取费表'!Aj"&amp;$G$1))))</f>
        <v>#N/A</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IF(项目基本情况!B11="自然人","——",ROUND(F34*F35/10000,2))</f>
        <v>0.96</v>
      </c>
      <c r="D34" s="316" t="s">
        <v>731</v>
      </c>
      <c r="E34" s="294" t="s">
        <v>732</v>
      </c>
      <c r="F34" s="317">
        <f>'数据-取费表'!B52</f>
        <v>1.5</v>
      </c>
      <c r="G34" s="1290"/>
      <c r="H34" s="2469"/>
      <c r="I34" s="1303"/>
      <c r="J34" s="1304"/>
      <c r="K34" s="2474"/>
      <c r="L34" s="2475"/>
      <c r="M34" s="2475"/>
    </row>
    <row r="35" spans="1:18" ht="18" customHeight="1">
      <c r="A35" s="1039"/>
      <c r="B35" s="1037"/>
      <c r="C35" s="26"/>
      <c r="D35" s="319"/>
      <c r="E35" s="294" t="s">
        <v>736</v>
      </c>
      <c r="F35" s="295">
        <f>F7/'数据-汇总表'!I4</f>
        <v>6370.9677419354839</v>
      </c>
      <c r="G35" s="1290"/>
      <c r="H35" s="2469"/>
      <c r="I35" s="1303"/>
      <c r="J35" s="1304"/>
      <c r="K35" s="2473"/>
      <c r="L35" s="2472"/>
      <c r="M35" s="2472"/>
    </row>
    <row r="36" spans="1:18" ht="18" customHeight="1">
      <c r="A36" s="1038" t="s">
        <v>402</v>
      </c>
      <c r="B36" s="294" t="s">
        <v>738</v>
      </c>
      <c r="C36" s="21" t="e">
        <f ca="1">ROUND(C29*F36,2)</f>
        <v>#N/A</v>
      </c>
      <c r="D36" s="1254" t="s">
        <v>771</v>
      </c>
      <c r="E36" s="294" t="s">
        <v>712</v>
      </c>
      <c r="F36" s="320" t="e">
        <f ca="1">INDIRECT("'数据-取费表'!Ak"&amp;$G$1)</f>
        <v>#N/A</v>
      </c>
      <c r="G36" s="1290"/>
      <c r="H36" s="2472"/>
      <c r="I36" s="1303"/>
      <c r="J36" s="1304"/>
      <c r="K36" s="2329"/>
      <c r="L36" s="2472"/>
      <c r="M36" s="2472"/>
    </row>
    <row r="37" spans="1:18" ht="18" customHeight="1">
      <c r="A37" s="927" t="s">
        <v>437</v>
      </c>
      <c r="B37" s="294" t="s">
        <v>742</v>
      </c>
      <c r="C37" s="21" t="e">
        <f ca="1">ROUND(C13*F37,2)</f>
        <v>#N/A</v>
      </c>
      <c r="D37" s="1254" t="s">
        <v>743</v>
      </c>
      <c r="E37" s="294" t="s">
        <v>744</v>
      </c>
      <c r="F37" s="321" t="e">
        <f ca="1">INDIRECT("'数据-取费表'!Al"&amp;$G$1)</f>
        <v>#N/A</v>
      </c>
      <c r="G37" s="1290"/>
      <c r="H37" s="2472"/>
      <c r="I37" s="1303"/>
      <c r="J37" s="1304"/>
      <c r="K37" s="2329"/>
      <c r="L37" s="2472"/>
      <c r="M37" s="2472"/>
    </row>
    <row r="38" spans="1:18" ht="18" customHeight="1" thickBot="1">
      <c r="A38" s="1025" t="s">
        <v>683</v>
      </c>
      <c r="B38" s="1026" t="s">
        <v>728</v>
      </c>
      <c r="C38" s="1027" t="e">
        <f ca="1">ROUND(C5*F38,2)</f>
        <v>#N/A</v>
      </c>
      <c r="D38" s="1028" t="s">
        <v>748</v>
      </c>
      <c r="E38" s="1026" t="s">
        <v>744</v>
      </c>
      <c r="F38" s="1022" t="e">
        <f ca="1">INDIRECT("'数据-取费表'!Am"&amp;$G$1)</f>
        <v>#N/A</v>
      </c>
      <c r="G38" s="1290"/>
      <c r="H38" s="2472"/>
      <c r="I38" s="1303"/>
      <c r="J38" s="1304"/>
      <c r="K38" s="2470"/>
      <c r="L38" s="2472"/>
      <c r="M38" s="2472"/>
    </row>
    <row r="39" spans="1:18" ht="24.6" customHeight="1" thickTop="1">
      <c r="A39" s="1015" t="s">
        <v>394</v>
      </c>
      <c r="B39" s="1030" t="s">
        <v>772</v>
      </c>
      <c r="C39" s="302" t="e">
        <f ca="1">C5-C30</f>
        <v>#N/A</v>
      </c>
      <c r="D39" s="1031" t="s">
        <v>773</v>
      </c>
      <c r="E39" s="1032"/>
      <c r="F39" s="1033"/>
      <c r="G39" s="1290"/>
      <c r="H39" s="2472"/>
      <c r="I39" s="1303" t="e">
        <f ca="1">C39/C6</f>
        <v>#N/A</v>
      </c>
      <c r="J39" s="1304"/>
      <c r="K39" s="2470"/>
      <c r="L39" s="2472"/>
      <c r="M39" s="2472"/>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70"/>
      <c r="L40" s="1364"/>
      <c r="M40" s="1364"/>
    </row>
    <row r="41" spans="1:18" ht="18" customHeight="1">
      <c r="A41" s="296"/>
      <c r="B41" s="297"/>
      <c r="C41" s="298"/>
      <c r="D41" s="323" t="s">
        <v>775</v>
      </c>
      <c r="E41" s="294" t="s">
        <v>763</v>
      </c>
      <c r="F41" s="324">
        <f>租赁合同整理!B87</f>
        <v>6.24</v>
      </c>
      <c r="G41" s="1290"/>
      <c r="H41" s="121"/>
      <c r="I41" s="1303"/>
      <c r="J41" s="1304"/>
      <c r="K41" s="2329"/>
      <c r="L41" s="121"/>
      <c r="M41" s="121"/>
    </row>
    <row r="42" spans="1:18" ht="18" customHeight="1">
      <c r="A42" s="300"/>
      <c r="B42" s="301"/>
      <c r="C42" s="302"/>
      <c r="D42" s="319"/>
      <c r="E42" s="294" t="s">
        <v>766</v>
      </c>
      <c r="F42" s="304">
        <v>0</v>
      </c>
      <c r="G42" s="1290"/>
      <c r="H42" s="121"/>
      <c r="I42" s="1303"/>
      <c r="J42" s="1304"/>
      <c r="K42" s="2329"/>
      <c r="L42" s="121"/>
      <c r="M42" s="121"/>
    </row>
    <row r="43" spans="1:18" ht="18" customHeight="1" thickBot="1">
      <c r="A43" s="325" t="s">
        <v>396</v>
      </c>
      <c r="B43" s="326" t="s">
        <v>776</v>
      </c>
      <c r="C43" s="327" t="e">
        <f ca="1">ROUND(C40*10000/F43,0)</f>
        <v>#N/A</v>
      </c>
      <c r="D43" s="328" t="s">
        <v>777</v>
      </c>
      <c r="E43" s="329" t="s">
        <v>778</v>
      </c>
      <c r="F43" s="330">
        <f>'收益法-试测算车间已出租'!F7</f>
        <v>7900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8"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8" thickBot="1">
      <c r="A47" s="891" t="s">
        <v>687</v>
      </c>
      <c r="B47" s="923" t="s">
        <v>688</v>
      </c>
      <c r="C47" s="1053" t="s">
        <v>689</v>
      </c>
      <c r="D47" s="923" t="s">
        <v>690</v>
      </c>
      <c r="E47" s="994" t="s">
        <v>691</v>
      </c>
      <c r="F47" s="995"/>
      <c r="G47" s="681"/>
      <c r="I47" s="1319" t="s">
        <v>815</v>
      </c>
      <c r="J47" s="1320" t="s">
        <v>3748</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6" t="s">
        <v>438</v>
      </c>
      <c r="B48" s="292" t="s">
        <v>692</v>
      </c>
      <c r="C48" s="1266" t="e">
        <f ca="1">C49+C53+C55</f>
        <v>#N/A</v>
      </c>
      <c r="D48" s="1048"/>
      <c r="E48" s="1049"/>
      <c r="F48" s="907"/>
      <c r="G48" s="681"/>
      <c r="H48" s="682"/>
      <c r="I48" s="1326" t="s">
        <v>819</v>
      </c>
      <c r="J48" s="1327" t="s">
        <v>3759</v>
      </c>
      <c r="K48" s="1328" t="s">
        <v>820</v>
      </c>
      <c r="L48" s="1329" t="e">
        <f ca="1">INDIRECT("'数据-取费表'!f"&amp;$G$1)</f>
        <v>#N/A</v>
      </c>
      <c r="O48" s="1323" t="s">
        <v>404</v>
      </c>
      <c r="P48" s="1324" t="s">
        <v>821</v>
      </c>
      <c r="Q48" s="1325" t="e">
        <f ca="1">J60</f>
        <v>#N/A</v>
      </c>
      <c r="R48" s="1325" t="s">
        <v>822</v>
      </c>
    </row>
    <row r="49" spans="1:18" s="1290" customFormat="1" ht="13.8" thickBot="1">
      <c r="A49" s="920" t="s">
        <v>439</v>
      </c>
      <c r="B49" s="1277" t="s">
        <v>779</v>
      </c>
      <c r="C49" s="1050" t="e">
        <f ca="1">ROUND(F49*F51*F50*(1-F52)/10000,0)</f>
        <v>#N/A</v>
      </c>
      <c r="D49" s="991" t="s">
        <v>2104</v>
      </c>
      <c r="E49" s="1278" t="s">
        <v>780</v>
      </c>
      <c r="F49" s="996">
        <f>租赁合同整理!B88</f>
        <v>1.2</v>
      </c>
      <c r="H49" s="682"/>
      <c r="I49" s="1326" t="s">
        <v>823</v>
      </c>
      <c r="J49" s="1330">
        <f>'数据-取费表'!Q22</f>
        <v>2010</v>
      </c>
      <c r="K49" s="1328" t="s">
        <v>824</v>
      </c>
      <c r="L49" s="1331"/>
      <c r="O49" s="1332" t="s">
        <v>405</v>
      </c>
      <c r="P49" s="1324" t="s">
        <v>825</v>
      </c>
      <c r="Q49" s="1325" t="e">
        <f ca="1">C29</f>
        <v>#N/A</v>
      </c>
      <c r="R49" s="1325" t="s">
        <v>818</v>
      </c>
    </row>
    <row r="50" spans="1:18" s="1290" customFormat="1" ht="13.8" thickBot="1">
      <c r="A50" s="921"/>
      <c r="B50" s="924"/>
      <c r="C50" s="1054"/>
      <c r="D50" s="898"/>
      <c r="E50" s="992" t="s">
        <v>697</v>
      </c>
      <c r="F50" s="993">
        <f>F7</f>
        <v>7900</v>
      </c>
      <c r="H50" s="682"/>
      <c r="I50" s="1326" t="s">
        <v>826</v>
      </c>
      <c r="J50" s="1333">
        <f>SUMPRODUCT((I63:I65=J47)*(J62:L62=J48)*(J63:L65))</f>
        <v>70</v>
      </c>
      <c r="K50" s="1328" t="s">
        <v>827</v>
      </c>
      <c r="L50" s="1331"/>
      <c r="M50" s="1334"/>
      <c r="O50" s="1332" t="s">
        <v>406</v>
      </c>
      <c r="P50" s="1324" t="s">
        <v>828</v>
      </c>
      <c r="Q50" s="1335" t="e">
        <f ca="1">J58</f>
        <v>#N/A</v>
      </c>
      <c r="R50" s="1325"/>
    </row>
    <row r="51" spans="1:18" s="1290" customFormat="1" ht="13.8" thickBot="1">
      <c r="A51" s="922"/>
      <c r="B51" s="924"/>
      <c r="C51" s="925"/>
      <c r="D51" s="898"/>
      <c r="E51" s="926" t="s">
        <v>698</v>
      </c>
      <c r="F51" s="295" t="e">
        <f ca="1">F8</f>
        <v>#N/A</v>
      </c>
      <c r="I51" s="1336" t="s">
        <v>829</v>
      </c>
      <c r="J51" s="1329">
        <f>IF(J49="",J50,J49+J50-YEAR('数据-取费表'!B2))</f>
        <v>56</v>
      </c>
      <c r="K51" s="1337" t="s">
        <v>830</v>
      </c>
      <c r="L51" s="1338" t="e">
        <f ca="1">ROUND(-PV(INDIRECT("'数据-取费表'!h"&amp;$G$1),J51,(C39-C13*C76),0),0)</f>
        <v>#N/A</v>
      </c>
      <c r="M51" s="1339"/>
      <c r="O51" s="1332" t="s">
        <v>407</v>
      </c>
      <c r="P51" s="1324" t="s">
        <v>831</v>
      </c>
      <c r="Q51" s="1335">
        <f>J52</f>
        <v>7.5000000000000011E-2</v>
      </c>
      <c r="R51" s="1325"/>
    </row>
    <row r="52" spans="1:18" s="1290" customFormat="1" ht="13.8" thickBot="1">
      <c r="A52" s="922"/>
      <c r="B52" s="924"/>
      <c r="C52" s="925"/>
      <c r="D52" s="898"/>
      <c r="E52" s="926" t="s">
        <v>699</v>
      </c>
      <c r="F52" s="990">
        <v>0.1</v>
      </c>
      <c r="I52" s="1340" t="s">
        <v>832</v>
      </c>
      <c r="J52" s="1341">
        <f>'数据-取费表'!J6+0.5%</f>
        <v>7.5000000000000011E-2</v>
      </c>
      <c r="K52" s="1340" t="s">
        <v>833</v>
      </c>
      <c r="L52" s="1341"/>
      <c r="O52" s="1332" t="s">
        <v>408</v>
      </c>
      <c r="P52" s="1324" t="s">
        <v>834</v>
      </c>
      <c r="Q52" s="1325" t="e">
        <f ca="1">J53</f>
        <v>#N/A</v>
      </c>
      <c r="R52" s="1325" t="s">
        <v>835</v>
      </c>
    </row>
    <row r="53" spans="1:18" s="1290" customFormat="1" ht="36.6" thickBot="1">
      <c r="A53" s="1078" t="s">
        <v>440</v>
      </c>
      <c r="B53" s="1279" t="s">
        <v>700</v>
      </c>
      <c r="C53" s="308" t="e">
        <f ca="1">ROUND(IF(F53="押一",C49/12*F11,IF(F53="押二",C49/12*2*F11,IF(F53="押三",C49/12*3*F11,C54*F11))),0)</f>
        <v>#N/A</v>
      </c>
      <c r="D53" s="150" t="s">
        <v>2112</v>
      </c>
      <c r="E53" s="305" t="s">
        <v>701</v>
      </c>
      <c r="F53" s="1052" t="s">
        <v>3758</v>
      </c>
      <c r="I53" s="1342" t="s">
        <v>836</v>
      </c>
      <c r="J53" s="2005" t="e">
        <f ca="1">IF(M47="住宅",IF(D1="——",MAX(J51,L48),MAX(J51,L48-'数据-取费表'!B24)),IF(D1="——",MIN(J51,L48),MIN(J51,L48-'数据-取费表'!B24)))</f>
        <v>#N/A</v>
      </c>
      <c r="K53" s="3317" t="s">
        <v>837</v>
      </c>
      <c r="L53" s="3318"/>
      <c r="O53" s="1323" t="s">
        <v>409</v>
      </c>
      <c r="P53" s="1324" t="s">
        <v>838</v>
      </c>
      <c r="Q53" s="1325" t="e">
        <f ca="1">Q47+Q48</f>
        <v>#N/A</v>
      </c>
      <c r="R53" s="1325" t="s">
        <v>410</v>
      </c>
    </row>
    <row r="54" spans="1:18" s="1290" customFormat="1" ht="24.6" thickBot="1">
      <c r="A54" s="1079"/>
      <c r="B54" s="1273" t="s">
        <v>679</v>
      </c>
      <c r="C54" s="904"/>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9" t="s">
        <v>437</v>
      </c>
      <c r="B55" s="1275" t="s">
        <v>703</v>
      </c>
      <c r="C55" s="1020"/>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7.200000000000003" thickTop="1" thickBot="1">
      <c r="A56" s="902">
        <v>2</v>
      </c>
      <c r="B56" s="903" t="s">
        <v>704</v>
      </c>
      <c r="C56" s="224" t="e">
        <f ca="1">C13</f>
        <v>#N/A</v>
      </c>
      <c r="D56" s="1350"/>
      <c r="E56" s="1351"/>
      <c r="F56" s="1343"/>
      <c r="I56" s="1352" t="s">
        <v>842</v>
      </c>
      <c r="J56" s="3202" t="s">
        <v>3725</v>
      </c>
      <c r="K56" s="1326" t="s">
        <v>843</v>
      </c>
      <c r="L56" s="1329" t="e">
        <f ca="1">IF(L48&lt;J51,"——",L48-J53)</f>
        <v>#N/A</v>
      </c>
      <c r="O56" s="1323" t="s">
        <v>403</v>
      </c>
      <c r="P56" s="1324" t="s">
        <v>817</v>
      </c>
      <c r="Q56" s="1325" t="e">
        <f ca="1">C40+J29</f>
        <v>#N/A</v>
      </c>
      <c r="R56" s="1325" t="s">
        <v>818</v>
      </c>
    </row>
    <row r="57" spans="1:18" s="1290" customFormat="1" ht="24.6" thickBot="1">
      <c r="A57" s="1354"/>
      <c r="B57" s="895" t="s">
        <v>767</v>
      </c>
      <c r="C57" s="230"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6" thickBot="1">
      <c r="A58" s="307" t="s">
        <v>393</v>
      </c>
      <c r="B58" s="903" t="s">
        <v>714</v>
      </c>
      <c r="C58" s="308" t="e">
        <f ca="1">ROUND(C59+C64+C65+C66,0)</f>
        <v>#N/A</v>
      </c>
      <c r="D58" s="905" t="s">
        <v>715</v>
      </c>
      <c r="E58" s="906"/>
      <c r="F58" s="907"/>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2" thickBot="1">
      <c r="A60" s="927" t="s">
        <v>397</v>
      </c>
      <c r="B60" s="895" t="s">
        <v>723</v>
      </c>
      <c r="C60" s="21" t="e">
        <f ca="1">IF(项目基本情况!B11="自然人","——",ROUND(C48*F60/(1+'数据-取费表'!C42),2))</f>
        <v>#N/A</v>
      </c>
      <c r="D60" s="909" t="s">
        <v>724</v>
      </c>
      <c r="E60" s="895" t="s">
        <v>712</v>
      </c>
      <c r="F60" s="322">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7" t="s">
        <v>781</v>
      </c>
      <c r="B61" s="895" t="s">
        <v>782</v>
      </c>
      <c r="C61" s="21" t="e">
        <f ca="1">IF(项目基本情况!B11="自然人","——",IF(D61="按租金收入计税",ROUND(C49*F61/(1+'数据-取费表'!C42),2),IF(D61="按房产原值计税",ROUND(C57*F61*0.7,2),INDIRECT("'数据-取费表'!Aj"&amp;$G$1))))</f>
        <v>#N/A</v>
      </c>
      <c r="D61" s="1276" t="s">
        <v>3336</v>
      </c>
      <c r="E61" s="895" t="s">
        <v>783</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7" t="s">
        <v>784</v>
      </c>
      <c r="B62" s="894" t="s">
        <v>785</v>
      </c>
      <c r="C62" s="22">
        <f>IF(项目基本情况!B11="自然人","——",ROUND(F62*F63/10000,2))</f>
        <v>0.96</v>
      </c>
      <c r="D62" s="910" t="s">
        <v>731</v>
      </c>
      <c r="E62" s="895" t="s">
        <v>787</v>
      </c>
      <c r="F62" s="317">
        <f t="shared" si="0"/>
        <v>1.5</v>
      </c>
      <c r="I62" s="1365" t="s">
        <v>858</v>
      </c>
      <c r="J62" s="610" t="s">
        <v>859</v>
      </c>
      <c r="K62" s="610" t="s">
        <v>860</v>
      </c>
      <c r="L62" s="610" t="s">
        <v>861</v>
      </c>
      <c r="M62" s="1366" t="s">
        <v>862</v>
      </c>
      <c r="O62" s="1323" t="s">
        <v>409</v>
      </c>
      <c r="P62" s="1324" t="s">
        <v>863</v>
      </c>
      <c r="Q62" s="1325" t="e">
        <f ca="1">Q56+Q57</f>
        <v>#N/A</v>
      </c>
      <c r="R62" s="1325" t="s">
        <v>410</v>
      </c>
    </row>
    <row r="63" spans="1:18" s="1290" customFormat="1" ht="13.8" thickBot="1">
      <c r="A63" s="318"/>
      <c r="B63" s="901"/>
      <c r="C63" s="26"/>
      <c r="D63" s="911"/>
      <c r="E63" s="895" t="s">
        <v>788</v>
      </c>
      <c r="F63" s="295">
        <f t="shared" si="0"/>
        <v>6370.9677419354839</v>
      </c>
      <c r="I63" s="1365" t="s">
        <v>864</v>
      </c>
      <c r="J63" s="610">
        <v>70</v>
      </c>
      <c r="K63" s="610">
        <v>50</v>
      </c>
      <c r="L63" s="610">
        <v>80</v>
      </c>
      <c r="M63" s="1367">
        <v>0.02</v>
      </c>
      <c r="O63" s="1308" t="s">
        <v>865</v>
      </c>
      <c r="P63" s="1287"/>
      <c r="Q63" s="1287"/>
      <c r="R63" s="1287"/>
    </row>
    <row r="64" spans="1:18" s="1290" customFormat="1" ht="13.8" thickBot="1">
      <c r="A64" s="927" t="s">
        <v>402</v>
      </c>
      <c r="B64" s="895" t="s">
        <v>738</v>
      </c>
      <c r="C64" s="21" t="e">
        <f ca="1">ROUND(C57*F64,2)</f>
        <v>#N/A</v>
      </c>
      <c r="D64" s="909" t="s">
        <v>791</v>
      </c>
      <c r="E64" s="895" t="s">
        <v>783</v>
      </c>
      <c r="F64" s="320" t="e">
        <f t="shared" ca="1" si="0"/>
        <v>#N/A</v>
      </c>
      <c r="I64" s="1365" t="s">
        <v>866</v>
      </c>
      <c r="J64" s="610">
        <v>50</v>
      </c>
      <c r="K64" s="610">
        <v>35</v>
      </c>
      <c r="L64" s="610">
        <v>60</v>
      </c>
      <c r="M64" s="1366">
        <v>0</v>
      </c>
      <c r="O64" s="1316" t="s">
        <v>811</v>
      </c>
      <c r="P64" s="1317" t="s">
        <v>812</v>
      </c>
      <c r="Q64" s="1318" t="s">
        <v>813</v>
      </c>
      <c r="R64" s="1318" t="s">
        <v>814</v>
      </c>
    </row>
    <row r="65" spans="1:18" s="1290" customFormat="1" ht="13.8" thickBot="1">
      <c r="A65" s="927" t="s">
        <v>792</v>
      </c>
      <c r="B65" s="895" t="s">
        <v>742</v>
      </c>
      <c r="C65" s="21" t="e">
        <f ca="1">ROUND(C56*F65,2)</f>
        <v>#N/A</v>
      </c>
      <c r="D65" s="909" t="s">
        <v>743</v>
      </c>
      <c r="E65" s="895" t="s">
        <v>744</v>
      </c>
      <c r="F65" s="321" t="e">
        <f t="shared" ca="1" si="0"/>
        <v>#N/A</v>
      </c>
      <c r="I65" s="1365" t="s">
        <v>867</v>
      </c>
      <c r="J65" s="610">
        <v>40</v>
      </c>
      <c r="K65" s="610">
        <v>30</v>
      </c>
      <c r="L65" s="610">
        <v>50</v>
      </c>
      <c r="M65" s="1367">
        <v>0.02</v>
      </c>
      <c r="O65" s="1323" t="s">
        <v>403</v>
      </c>
      <c r="P65" s="1324" t="s">
        <v>868</v>
      </c>
      <c r="Q65" s="1325" t="e">
        <f ca="1">C40+J29</f>
        <v>#N/A</v>
      </c>
      <c r="R65" s="1325" t="s">
        <v>818</v>
      </c>
    </row>
    <row r="66" spans="1:18" s="1290" customFormat="1" ht="16.2" thickBot="1">
      <c r="A66" s="927" t="s">
        <v>793</v>
      </c>
      <c r="B66" s="895" t="s">
        <v>728</v>
      </c>
      <c r="C66" s="21" t="e">
        <f ca="1">ROUND(C48*F66,2)</f>
        <v>#N/A</v>
      </c>
      <c r="D66" s="909" t="s">
        <v>794</v>
      </c>
      <c r="E66" s="895" t="s">
        <v>712</v>
      </c>
      <c r="F66" s="304" t="e">
        <f t="shared" ca="1" si="0"/>
        <v>#N/A</v>
      </c>
      <c r="O66" s="1323" t="s">
        <v>404</v>
      </c>
      <c r="P66" s="1324" t="s">
        <v>846</v>
      </c>
      <c r="Q66" s="1325" t="e">
        <f ca="1">L60</f>
        <v>#N/A</v>
      </c>
      <c r="R66" s="1325" t="s">
        <v>869</v>
      </c>
    </row>
    <row r="67" spans="1:18" s="1290" customFormat="1" ht="24.6" thickBot="1">
      <c r="A67" s="902" t="s">
        <v>394</v>
      </c>
      <c r="B67" s="912" t="s">
        <v>752</v>
      </c>
      <c r="C67" s="308" t="e">
        <f ca="1">C48-C58</f>
        <v>#N/A</v>
      </c>
      <c r="D67" s="908" t="s">
        <v>753</v>
      </c>
      <c r="E67" s="913"/>
      <c r="F67" s="914"/>
      <c r="O67" s="1332" t="s">
        <v>405</v>
      </c>
      <c r="P67" s="1324" t="s">
        <v>850</v>
      </c>
      <c r="Q67" s="1368" t="e">
        <f ca="1">L51</f>
        <v>#N/A</v>
      </c>
      <c r="R67" s="1325" t="s">
        <v>870</v>
      </c>
    </row>
    <row r="68" spans="1:18" s="1290" customFormat="1" ht="16.2" thickBot="1">
      <c r="A68" s="892" t="s">
        <v>395</v>
      </c>
      <c r="B68" s="893" t="s">
        <v>774</v>
      </c>
      <c r="C68" s="293" t="e">
        <f ca="1">ROUND(C67*(1-((1+F70)/(1+F68))^F69)/(F68-F70),0)</f>
        <v>#N/A</v>
      </c>
      <c r="D68" s="910" t="s">
        <v>758</v>
      </c>
      <c r="E68" s="895" t="s">
        <v>759</v>
      </c>
      <c r="F68" s="304" t="e">
        <f ca="1">F40</f>
        <v>#N/A</v>
      </c>
      <c r="O68" s="1332" t="s">
        <v>406</v>
      </c>
      <c r="P68" s="1369" t="s">
        <v>871</v>
      </c>
      <c r="Q68" s="1325" t="e">
        <f ca="1">ROUND(Q69-Q70*Q71,0)</f>
        <v>#N/A</v>
      </c>
      <c r="R68" s="1325" t="s">
        <v>414</v>
      </c>
    </row>
    <row r="69" spans="1:18" s="1290" customFormat="1" ht="13.8" thickBot="1">
      <c r="A69" s="896"/>
      <c r="B69" s="897"/>
      <c r="C69" s="298"/>
      <c r="D69" s="915" t="s">
        <v>762</v>
      </c>
      <c r="E69" s="895" t="s">
        <v>763</v>
      </c>
      <c r="F69" s="324">
        <f>F41</f>
        <v>6.24</v>
      </c>
      <c r="O69" s="1332" t="s">
        <v>411</v>
      </c>
      <c r="P69" s="1369" t="s">
        <v>872</v>
      </c>
      <c r="Q69" s="1325" t="e">
        <f ca="1">C39</f>
        <v>#N/A</v>
      </c>
      <c r="R69" s="1325" t="s">
        <v>818</v>
      </c>
    </row>
    <row r="70" spans="1:18" s="1290" customFormat="1" ht="13.8" thickBot="1">
      <c r="A70" s="899"/>
      <c r="B70" s="900"/>
      <c r="C70" s="302"/>
      <c r="D70" s="911"/>
      <c r="E70" s="895" t="s">
        <v>766</v>
      </c>
      <c r="F70" s="990">
        <v>0.02</v>
      </c>
      <c r="O70" s="1332" t="s">
        <v>412</v>
      </c>
      <c r="P70" s="1369" t="s">
        <v>873</v>
      </c>
      <c r="Q70" s="1325" t="e">
        <f ca="1">C13</f>
        <v>#N/A</v>
      </c>
      <c r="R70" s="1325" t="s">
        <v>818</v>
      </c>
    </row>
    <row r="71" spans="1:18" s="1290" customFormat="1" ht="13.8" thickBot="1">
      <c r="A71" s="916" t="s">
        <v>396</v>
      </c>
      <c r="B71" s="917" t="s">
        <v>776</v>
      </c>
      <c r="C71" s="327" t="e">
        <f ca="1">ROUND(C68*10000/F71,0)</f>
        <v>#N/A</v>
      </c>
      <c r="D71" s="918" t="s">
        <v>777</v>
      </c>
      <c r="E71" s="919" t="s">
        <v>778</v>
      </c>
      <c r="F71" s="330">
        <f>F43</f>
        <v>7900</v>
      </c>
      <c r="O71" s="1332" t="s">
        <v>413</v>
      </c>
      <c r="P71" s="1369" t="s">
        <v>874</v>
      </c>
      <c r="Q71" s="1335" t="e">
        <f ca="1">C76</f>
        <v>#N/A</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#N/A</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formatCells="0" formatColumns="0" formatRows="0"/>
  <mergeCells count="3">
    <mergeCell ref="B6:B9"/>
    <mergeCell ref="I6:I9"/>
    <mergeCell ref="K53:L53"/>
  </mergeCells>
  <phoneticPr fontId="136" type="noConversion"/>
  <conditionalFormatting sqref="C11">
    <cfRule type="expression" dxfId="172" priority="3">
      <formula>$F$10="自定义"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J11">
    <cfRule type="expression" dxfId="169" priority="2">
      <formula>$M$10="自定义"</formula>
    </cfRule>
  </conditionalFormatting>
  <conditionalFormatting sqref="K55 K60">
    <cfRule type="expression" dxfId="168" priority="4">
      <formula>$L$48&gt;$J$51</formula>
    </cfRule>
  </conditionalFormatting>
  <dataValidations count="9">
    <dataValidation type="list" allowBlank="1" showInputMessage="1" showErrorMessage="1" sqref="D1" xr:uid="{00000000-0002-0000-1100-000000000000}">
      <formula1>"在建（套用方法）,土地（套用方法）,——"</formula1>
    </dataValidation>
    <dataValidation type="list" allowBlank="1" showInputMessage="1" showErrorMessage="1" sqref="M10 F10 F53" xr:uid="{00000000-0002-0000-1100-000001000000}">
      <formula1>"押一,押二,押三,自定义"</formula1>
    </dataValidation>
    <dataValidation type="list" allowBlank="1" showInputMessage="1" showErrorMessage="1" sqref="L55" xr:uid="{00000000-0002-0000-1100-000002000000}">
      <formula1>"比较法,基准地价,收益还原"</formula1>
    </dataValidation>
    <dataValidation type="list" allowBlank="1" showInputMessage="1" showErrorMessage="1" sqref="J56" xr:uid="{00000000-0002-0000-1100-000003000000}">
      <formula1>估价范围判定</formula1>
    </dataValidation>
    <dataValidation type="list" allowBlank="1" showInputMessage="1" showErrorMessage="1" sqref="J48" xr:uid="{00000000-0002-0000-1100-000004000000}">
      <formula1>"非生产用房,生产用房,受腐蚀的生产用房"</formula1>
    </dataValidation>
    <dataValidation type="list" allowBlank="1" showInputMessage="1" showErrorMessage="1" sqref="J47" xr:uid="{00000000-0002-0000-1100-000005000000}">
      <formula1>"钢,钢混,砖混"</formula1>
    </dataValidation>
    <dataValidation type="list" allowBlank="1" showInputMessage="1" showErrorMessage="1" sqref="C1" xr:uid="{00000000-0002-0000-1100-000006000000}">
      <formula1>项目类型</formula1>
    </dataValidation>
    <dataValidation type="list" allowBlank="1" showInputMessage="1" showErrorMessage="1" sqref="D33 D61" xr:uid="{00000000-0002-0000-1100-000007000000}">
      <formula1>"按租金收入计税,按房产原值计税,按票据"</formula1>
    </dataValidation>
    <dataValidation type="list" allowBlank="1" showInputMessage="1" showErrorMessage="1" sqref="K19" xr:uid="{00000000-0002-0000-11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AK83"/>
  <sheetViews>
    <sheetView view="pageBreakPreview" zoomScale="80" zoomScaleNormal="70" zoomScaleSheetLayoutView="80" workbookViewId="0">
      <selection activeCell="J68" sqref="J6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3727</v>
      </c>
      <c r="D1" s="1269" t="s">
        <v>43</v>
      </c>
      <c r="E1" s="1270" t="s">
        <v>678</v>
      </c>
      <c r="F1" s="998" t="e">
        <f ca="1">J53</f>
        <v>#N/A</v>
      </c>
      <c r="G1" s="1284" t="e">
        <f>MATCH(C1,'数据-取费表'!A6:A16,0)+5</f>
        <v>#N/A</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#N/A</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6" t="e">
        <f ca="1">C6+C10+C12</f>
        <v>#N/A</v>
      </c>
      <c r="D5" s="1271" t="s">
        <v>693</v>
      </c>
      <c r="E5" s="1007"/>
      <c r="F5" s="1008"/>
      <c r="G5" s="1290"/>
      <c r="H5" s="291">
        <v>1</v>
      </c>
      <c r="I5" s="292" t="s">
        <v>692</v>
      </c>
      <c r="J5" s="1006" t="e">
        <f ca="1">J6+J10+J12</f>
        <v>#N/A</v>
      </c>
      <c r="K5" s="1271" t="s">
        <v>693</v>
      </c>
      <c r="L5" s="1007"/>
      <c r="M5" s="1008"/>
    </row>
    <row r="6" spans="1:37" ht="18" customHeight="1">
      <c r="A6" s="1005" t="s">
        <v>398</v>
      </c>
      <c r="B6" s="3314" t="s">
        <v>694</v>
      </c>
      <c r="C6" s="1010" t="e">
        <f ca="1">ROUND(F6*F8*F7*(1-F9)/10000,0)</f>
        <v>#N/A</v>
      </c>
      <c r="D6" s="147" t="s">
        <v>2105</v>
      </c>
      <c r="E6" s="294" t="s">
        <v>696</v>
      </c>
      <c r="F6" s="295">
        <f>租赁合同整理!B88</f>
        <v>1.2</v>
      </c>
      <c r="G6" s="1290"/>
      <c r="H6" s="1005" t="s">
        <v>398</v>
      </c>
      <c r="I6" s="3314" t="s">
        <v>694</v>
      </c>
      <c r="J6" s="293" t="e">
        <f ca="1">ROUND(M6*M8*M7*(1-M9)/10000,0)</f>
        <v>#N/A</v>
      </c>
      <c r="K6" s="147" t="s">
        <v>2104</v>
      </c>
      <c r="L6" s="294" t="s">
        <v>696</v>
      </c>
      <c r="M6" s="295" t="e">
        <f ca="1">INDIRECT("'数据-取费表'!z"&amp;$G$1)</f>
        <v>#N/A</v>
      </c>
    </row>
    <row r="7" spans="1:37" ht="18" customHeight="1">
      <c r="A7" s="1009"/>
      <c r="B7" s="3315"/>
      <c r="C7" s="1011"/>
      <c r="D7" s="299"/>
      <c r="E7" s="1012" t="s">
        <v>697</v>
      </c>
      <c r="F7" s="295">
        <f>'数据-基础表'!I13-租赁合同整理!B71</f>
        <v>4902.5</v>
      </c>
      <c r="G7" s="1290"/>
      <c r="H7" s="296"/>
      <c r="I7" s="3315"/>
      <c r="J7" s="298"/>
      <c r="K7" s="299"/>
      <c r="L7" s="294" t="s">
        <v>697</v>
      </c>
      <c r="M7" s="295">
        <f>F7</f>
        <v>4902.5</v>
      </c>
    </row>
    <row r="8" spans="1:37" ht="18" customHeight="1">
      <c r="A8" s="296"/>
      <c r="B8" s="3315"/>
      <c r="C8" s="298"/>
      <c r="D8" s="299"/>
      <c r="E8" s="294" t="s">
        <v>698</v>
      </c>
      <c r="F8" s="295" t="e">
        <f ca="1">INDIRECT("'数据-取费表'!ai"&amp;$G$1)</f>
        <v>#N/A</v>
      </c>
      <c r="G8" s="1290"/>
      <c r="H8" s="296"/>
      <c r="I8" s="3315"/>
      <c r="J8" s="298"/>
      <c r="K8" s="299"/>
      <c r="L8" s="294" t="s">
        <v>698</v>
      </c>
      <c r="M8" s="295" t="e">
        <f ca="1">INDIRECT("'数据-取费表'!ai"&amp;$G$1)</f>
        <v>#N/A</v>
      </c>
    </row>
    <row r="9" spans="1:37" ht="18" customHeight="1">
      <c r="A9" s="296"/>
      <c r="B9" s="3316"/>
      <c r="C9" s="298"/>
      <c r="D9" s="299"/>
      <c r="E9" s="294" t="s">
        <v>699</v>
      </c>
      <c r="F9" s="304" t="e">
        <f ca="1">INDIRECT("'数据-取费表'!w"&amp;$G$1)</f>
        <v>#N/A</v>
      </c>
      <c r="G9" s="1290"/>
      <c r="H9" s="296"/>
      <c r="I9" s="3316"/>
      <c r="J9" s="298"/>
      <c r="K9" s="299"/>
      <c r="L9" s="305" t="s">
        <v>699</v>
      </c>
      <c r="M9" s="306" t="e">
        <f ca="1">INDIRECT("'数据-取费表'!ab"&amp;$G$1)</f>
        <v>#N/A</v>
      </c>
    </row>
    <row r="10" spans="1:37" ht="18" customHeight="1">
      <c r="A10" s="1005" t="s">
        <v>402</v>
      </c>
      <c r="B10" s="1272" t="s">
        <v>700</v>
      </c>
      <c r="C10" s="308" t="e">
        <f ca="1">ROUND(IF(F10="押一",C6/12*F11,IF(F10="押二",C6/12*2*F11,IF(F10="押三",C6/12*3*F11,C11*F11))),0)</f>
        <v>#N/A</v>
      </c>
      <c r="D10" s="150" t="s">
        <v>2112</v>
      </c>
      <c r="E10" s="305" t="s">
        <v>701</v>
      </c>
      <c r="F10" s="1052" t="s">
        <v>3758</v>
      </c>
      <c r="G10" s="1290"/>
      <c r="H10" s="1005" t="s">
        <v>402</v>
      </c>
      <c r="I10" s="1272" t="s">
        <v>700</v>
      </c>
      <c r="J10" s="293">
        <f ca="1">ROUND(IF(M10="押一",J6/12*M11,IF(M10="押二",J6/12*2*M11,IF(M10="押三",J6/12*3*M11,J11*M11))),0)</f>
        <v>0</v>
      </c>
      <c r="K10" s="150" t="s">
        <v>2112</v>
      </c>
      <c r="L10" s="305" t="s">
        <v>701</v>
      </c>
      <c r="M10" s="1052"/>
    </row>
    <row r="11" spans="1:37" ht="18" customHeight="1">
      <c r="A11" s="300"/>
      <c r="B11" s="1273" t="s">
        <v>679</v>
      </c>
      <c r="C11" s="904"/>
      <c r="D11" s="1274"/>
      <c r="E11" s="305" t="s">
        <v>702</v>
      </c>
      <c r="F11" s="306">
        <f ca="1">'数据-取费表'!B39</f>
        <v>1.4999999999999999E-2</v>
      </c>
      <c r="G11" s="1290"/>
      <c r="H11" s="1013"/>
      <c r="I11" s="1273" t="s">
        <v>679</v>
      </c>
      <c r="J11" s="904"/>
      <c r="K11" s="646"/>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0"/>
      <c r="H13" s="1015">
        <v>2</v>
      </c>
      <c r="I13" s="1016" t="s">
        <v>704</v>
      </c>
      <c r="J13" s="1004" t="e">
        <f ca="1">ROUND(J14*J15,0)</f>
        <v>#N/A</v>
      </c>
      <c r="K13" s="1023" t="s">
        <v>705</v>
      </c>
      <c r="L13" s="1297"/>
      <c r="M13" s="1298"/>
    </row>
    <row r="14" spans="1:37" ht="18" customHeight="1">
      <c r="A14" s="927" t="s">
        <v>397</v>
      </c>
      <c r="B14" s="294" t="s">
        <v>707</v>
      </c>
      <c r="C14" s="310" t="e">
        <f ca="1">INDIRECT("'数据-取费表'!m"&amp;$G$1)+INDIRECT("'数据-取费表'!t"&amp;$G$1)</f>
        <v>#N/A</v>
      </c>
      <c r="D14" s="1255" t="s">
        <v>708</v>
      </c>
      <c r="E14" s="1253"/>
      <c r="F14" s="311"/>
      <c r="G14" s="1290"/>
      <c r="H14" s="927" t="s">
        <v>398</v>
      </c>
      <c r="I14" s="294" t="s">
        <v>709</v>
      </c>
      <c r="J14" s="21" t="e">
        <f ca="1">C29</f>
        <v>#N/A</v>
      </c>
      <c r="K14" s="12"/>
      <c r="L14" s="758"/>
      <c r="M14" s="759"/>
    </row>
    <row r="15" spans="1:37" s="1302" customFormat="1" ht="18" customHeight="1" thickBot="1">
      <c r="A15" s="927" t="s">
        <v>399</v>
      </c>
      <c r="B15" s="294" t="s">
        <v>710</v>
      </c>
      <c r="C15" s="21" t="e">
        <f ca="1">ROUND(C14*F15,0)</f>
        <v>#N/A</v>
      </c>
      <c r="D15" s="312" t="s">
        <v>711</v>
      </c>
      <c r="E15" s="312" t="s">
        <v>712</v>
      </c>
      <c r="F15" s="313">
        <f>'数据-取费表'!B33</f>
        <v>0.04</v>
      </c>
      <c r="G15" s="1301"/>
      <c r="H15" s="1025" t="s">
        <v>402</v>
      </c>
      <c r="I15" s="1026" t="s">
        <v>706</v>
      </c>
      <c r="J15" s="1035" t="e">
        <f ca="1">INDIRECT("'数据-取费表'!ad"&amp;$G$1)</f>
        <v>#N/A</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t="e">
        <f ca="1">ROUND(INDIRECT("'数据-取费表'!m"&amp;$G$1)*F16,0)</f>
        <v>#N/A</v>
      </c>
      <c r="D16" s="294" t="s">
        <v>711</v>
      </c>
      <c r="E16" s="294" t="s">
        <v>712</v>
      </c>
      <c r="F16" s="314" t="e">
        <f ca="1">IF(INDIRECT("'数据-取费表'!c"&amp;$G$1)="住宅",'数据-取费表'!B34,0)</f>
        <v>#N/A</v>
      </c>
      <c r="G16" s="1290"/>
      <c r="H16" s="1015" t="s">
        <v>393</v>
      </c>
      <c r="I16" s="1016" t="s">
        <v>714</v>
      </c>
      <c r="J16" s="302" t="e">
        <f ca="1">ROUND(J17+J22+J23+J24,0)</f>
        <v>#N/A</v>
      </c>
      <c r="K16" s="1023" t="s">
        <v>715</v>
      </c>
      <c r="L16" s="1024"/>
      <c r="M16" s="1008"/>
    </row>
    <row r="17" spans="1:37" s="1302" customFormat="1" ht="18" customHeight="1">
      <c r="A17" s="927" t="s">
        <v>681</v>
      </c>
      <c r="B17" s="294" t="s">
        <v>716</v>
      </c>
      <c r="C17" s="21" t="e">
        <f ca="1">ROUND(F17*(F43+INDIRECT("'数据-取费表'!S"&amp;$G$1))/10000,0)</f>
        <v>#N/A</v>
      </c>
      <c r="D17" s="294" t="s">
        <v>717</v>
      </c>
      <c r="E17" s="294" t="s">
        <v>718</v>
      </c>
      <c r="F17" s="23">
        <f>'数据-取费表'!B35</f>
        <v>200</v>
      </c>
      <c r="G17" s="1301"/>
      <c r="H17" s="927" t="s">
        <v>398</v>
      </c>
      <c r="I17" s="294" t="s">
        <v>719</v>
      </c>
      <c r="J17" s="2139" t="e">
        <f ca="1">ROUND(IF(AND(项目基本情况!B11="自然人",项目基本情况!B10="北京市"),J6*M17/(1+'数据-取费表'!C42),J18+J19+J20),2)</f>
        <v>#N/A</v>
      </c>
      <c r="K17" s="1255" t="s">
        <v>720</v>
      </c>
      <c r="L17" s="1254" t="s">
        <v>721</v>
      </c>
      <c r="M17" s="2138"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t="e">
        <f ca="1">ROUND(C14*F18,0)</f>
        <v>#N/A</v>
      </c>
      <c r="D18" s="294" t="s">
        <v>711</v>
      </c>
      <c r="E18" s="294" t="s">
        <v>712</v>
      </c>
      <c r="F18" s="314">
        <f>'数据-取费表'!B36</f>
        <v>0.02</v>
      </c>
      <c r="G18" s="1301"/>
      <c r="H18" s="927" t="s">
        <v>397</v>
      </c>
      <c r="I18" s="294" t="s">
        <v>723</v>
      </c>
      <c r="J18" s="21" t="e">
        <f ca="1">ROUND(J6*M18/(1+'数据-取费表'!C42),2)</f>
        <v>#N/A</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t="e">
        <f ca="1">SUM(C14:C18)</f>
        <v>#N/A</v>
      </c>
      <c r="D19" s="123" t="s">
        <v>726</v>
      </c>
      <c r="E19" s="1267"/>
      <c r="F19" s="23"/>
      <c r="G19" s="1290"/>
      <c r="H19" s="927" t="s">
        <v>399</v>
      </c>
      <c r="I19" s="294" t="s">
        <v>727</v>
      </c>
      <c r="J19" s="21" t="e">
        <f ca="1">IF(K19="按租金收入计税",ROUND(J6*M19/(1+'数据-取费表'!C42),2),ROUND(C29*M19*0.7,2))</f>
        <v>#N/A</v>
      </c>
      <c r="K19" s="1276" t="s">
        <v>3336</v>
      </c>
      <c r="L19" s="294" t="s">
        <v>712</v>
      </c>
      <c r="M19" s="314">
        <f>IF(K19="按租金收入计税",'数据-取费表'!B51,'数据-取费表'!B50)</f>
        <v>0.12</v>
      </c>
    </row>
    <row r="20" spans="1:37" s="1302" customFormat="1" ht="18" customHeight="1">
      <c r="A20" s="927" t="s">
        <v>402</v>
      </c>
      <c r="B20" s="294" t="s">
        <v>728</v>
      </c>
      <c r="C20" s="21" t="e">
        <f ca="1">ROUND(C19*F20,0)</f>
        <v>#N/A</v>
      </c>
      <c r="D20" s="315" t="s">
        <v>729</v>
      </c>
      <c r="E20" s="294" t="s">
        <v>712</v>
      </c>
      <c r="F20" s="314">
        <f>'数据-取费表'!B37</f>
        <v>0.02</v>
      </c>
      <c r="G20" s="1301"/>
      <c r="H20" s="927" t="s">
        <v>680</v>
      </c>
      <c r="I20" s="147" t="s">
        <v>730</v>
      </c>
      <c r="J20" s="22" t="e">
        <f ca="1">ROUND(M20*M21/10000,2)</f>
        <v>#N/A</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0.02</v>
      </c>
      <c r="G21" s="1301"/>
      <c r="H21" s="318"/>
      <c r="I21" s="303"/>
      <c r="J21" s="26"/>
      <c r="K21" s="319"/>
      <c r="L21" s="294" t="s">
        <v>736</v>
      </c>
      <c r="M21" s="295"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t="e">
        <f ca="1">ROUND(J14*M22,2)</f>
        <v>#N/A</v>
      </c>
      <c r="K22" s="1254" t="s">
        <v>739</v>
      </c>
      <c r="L22" s="294" t="s">
        <v>712</v>
      </c>
      <c r="M22" s="320" t="e">
        <f ca="1">INDIRECT("'数据-取费表'!Ak"&amp;$G$1)</f>
        <v>#N/A</v>
      </c>
    </row>
    <row r="23" spans="1:37" s="1302"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1"/>
      <c r="H23" s="927" t="s">
        <v>437</v>
      </c>
      <c r="I23" s="294" t="s">
        <v>742</v>
      </c>
      <c r="J23" s="21" t="e">
        <f ca="1">ROUND(J13*M23,2)</f>
        <v>#N/A</v>
      </c>
      <c r="K23" s="1254" t="s">
        <v>743</v>
      </c>
      <c r="L23" s="294" t="s">
        <v>744</v>
      </c>
      <c r="M23" s="321"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1"/>
      <c r="H24" s="1025" t="s">
        <v>683</v>
      </c>
      <c r="I24" s="1026" t="s">
        <v>728</v>
      </c>
      <c r="J24" s="1027" t="e">
        <f ca="1">ROUND(J5*M24,2)</f>
        <v>#N/A</v>
      </c>
      <c r="K24" s="1028" t="s">
        <v>748</v>
      </c>
      <c r="L24" s="1026" t="s">
        <v>744</v>
      </c>
      <c r="M24" s="1022"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5" t="s">
        <v>394</v>
      </c>
      <c r="I25" s="1030" t="s">
        <v>752</v>
      </c>
      <c r="J25" s="302" t="e">
        <f ca="1">J5-J16</f>
        <v>#N/A</v>
      </c>
      <c r="K25" s="1031" t="s">
        <v>753</v>
      </c>
      <c r="L25" s="1032"/>
      <c r="M25" s="1033"/>
    </row>
    <row r="26" spans="1:37">
      <c r="A26" s="927" t="s">
        <v>397</v>
      </c>
      <c r="B26" s="294" t="s">
        <v>754</v>
      </c>
      <c r="C26" s="21" t="e">
        <f ca="1">ROUND((C19+C20)*F26,0)</f>
        <v>#N/A</v>
      </c>
      <c r="D26" s="315" t="s">
        <v>755</v>
      </c>
      <c r="E26" s="305" t="s">
        <v>756</v>
      </c>
      <c r="F26" s="304" t="e">
        <f ca="1">INDIRECT("'数据-取费表'!q"&amp;$G$1)</f>
        <v>#N/A</v>
      </c>
      <c r="G26" s="1290"/>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0"/>
      <c r="H27" s="296"/>
      <c r="I27" s="297"/>
      <c r="J27" s="298"/>
      <c r="K27" s="323" t="s">
        <v>762</v>
      </c>
      <c r="L27" s="294" t="s">
        <v>763</v>
      </c>
      <c r="M27" s="324" t="e">
        <f ca="1">INDIRECT("'数据-取费表'!ag"&amp;$G$1)</f>
        <v>#N/A</v>
      </c>
    </row>
    <row r="28" spans="1:37" s="1302" customFormat="1" ht="18" customHeight="1">
      <c r="A28" s="927"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t="e">
        <f ca="1">ROUND((C19+C20+C23+C26)/(1-F21-C24-C27-C28),0)</f>
        <v>#N/A</v>
      </c>
      <c r="D29" s="1028"/>
      <c r="E29" s="1026"/>
      <c r="F29" s="1029"/>
      <c r="G29" s="1301"/>
      <c r="H29" s="325" t="s">
        <v>396</v>
      </c>
      <c r="I29" s="326" t="s">
        <v>768</v>
      </c>
      <c r="J29" s="327" t="e">
        <f ca="1">ROUND(J26/(1+F40)^F41,0)</f>
        <v>#N/A</v>
      </c>
      <c r="K29" s="328" t="s">
        <v>769</v>
      </c>
      <c r="L29" s="329"/>
      <c r="M29" s="330"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t="e">
        <f ca="1">ROUND(C31+C36+C37+C38,0)</f>
        <v>#N/A</v>
      </c>
      <c r="D30" s="1023" t="s">
        <v>715</v>
      </c>
      <c r="E30" s="1024"/>
      <c r="F30" s="1008"/>
      <c r="G30" s="1290"/>
      <c r="H30" s="2469"/>
      <c r="I30" s="1303"/>
      <c r="J30" s="1304"/>
      <c r="K30" s="121"/>
      <c r="L30" s="2470"/>
      <c r="M30" s="2471"/>
    </row>
    <row r="31" spans="1:37" ht="18" customHeight="1">
      <c r="A31" s="927" t="s">
        <v>398</v>
      </c>
      <c r="B31" s="294" t="s">
        <v>719</v>
      </c>
      <c r="C31" s="2139" t="e">
        <f ca="1">ROUND(IF(AND(项目基本情况!B11="自然人",项目基本情况!B10="北京市"),C6*F31/(1+'数据-取费表'!C42),C32+C33+C34),2)</f>
        <v>#N/A</v>
      </c>
      <c r="D31" s="1255" t="s">
        <v>720</v>
      </c>
      <c r="E31" s="1254" t="s">
        <v>770</v>
      </c>
      <c r="F31" s="2138" t="str">
        <f>IF(项目基本情况!B11="企业","——",IF(M47="住宅",IF(F6*F7*F8/12/(1+'数据-取费表'!F30)&gt;100000,4%,2.5%),IF(F6*F7*F8/12/(1+'数据-取费表'!F30)&gt;100000,12%,7%)))</f>
        <v>——</v>
      </c>
      <c r="G31" s="1290"/>
      <c r="H31" s="2568" t="s">
        <v>2306</v>
      </c>
      <c r="I31" s="1303"/>
      <c r="J31" s="1304"/>
      <c r="K31" s="121"/>
      <c r="L31" s="2470"/>
      <c r="M31" s="2471"/>
    </row>
    <row r="32" spans="1:37" ht="18" customHeight="1">
      <c r="A32" s="927" t="s">
        <v>397</v>
      </c>
      <c r="B32" s="294" t="s">
        <v>723</v>
      </c>
      <c r="C32" s="21" t="e">
        <f ca="1">IF(项目基本情况!B11="自然人","——",ROUND(C6*F32/(1+'数据-取费表'!C42),2))</f>
        <v>#N/A</v>
      </c>
      <c r="D32" s="1254" t="s">
        <v>724</v>
      </c>
      <c r="E32" s="294" t="s">
        <v>712</v>
      </c>
      <c r="F32" s="322">
        <f>'数据-取费表'!B41</f>
        <v>5.5000000000000007E-2</v>
      </c>
      <c r="G32" s="1290"/>
      <c r="H32" s="2469"/>
      <c r="I32" s="1303"/>
      <c r="J32" s="1304"/>
      <c r="K32" s="121"/>
      <c r="L32" s="2470"/>
      <c r="M32" s="2471"/>
    </row>
    <row r="33" spans="1:18" ht="18" customHeight="1">
      <c r="A33" s="927" t="s">
        <v>399</v>
      </c>
      <c r="B33" s="294" t="s">
        <v>727</v>
      </c>
      <c r="C33" s="21" t="e">
        <f ca="1">IF(项目基本情况!B11="自然人","——",IF(D33="按租金收入计税",ROUND(C6*F33/(1+'数据-取费表'!C42),2),IF(D33="按房产原值计税",ROUND(C29*F33*0.7,2),INDIRECT("'数据-取费表'!Aj"&amp;$G$1))))</f>
        <v>#N/A</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IF(项目基本情况!B11="自然人","——",ROUND(F34*F35/10000,2))</f>
        <v>0.59</v>
      </c>
      <c r="D34" s="316" t="s">
        <v>731</v>
      </c>
      <c r="E34" s="294" t="s">
        <v>732</v>
      </c>
      <c r="F34" s="317">
        <f>'数据-取费表'!B52</f>
        <v>1.5</v>
      </c>
      <c r="G34" s="1290"/>
      <c r="H34" s="2469"/>
      <c r="I34" s="1303"/>
      <c r="J34" s="1304"/>
      <c r="K34" s="2474"/>
      <c r="L34" s="2475"/>
      <c r="M34" s="2475"/>
    </row>
    <row r="35" spans="1:18" ht="18" customHeight="1">
      <c r="A35" s="1039"/>
      <c r="B35" s="1037"/>
      <c r="C35" s="26"/>
      <c r="D35" s="319"/>
      <c r="E35" s="294" t="s">
        <v>736</v>
      </c>
      <c r="F35" s="295">
        <f>F7/'数据-汇总表'!I4</f>
        <v>3953.6290322580644</v>
      </c>
      <c r="G35" s="1290"/>
      <c r="H35" s="2469"/>
      <c r="I35" s="1303"/>
      <c r="J35" s="1304"/>
      <c r="K35" s="2473"/>
      <c r="L35" s="2472"/>
      <c r="M35" s="2472"/>
    </row>
    <row r="36" spans="1:18" ht="18" customHeight="1">
      <c r="A36" s="1038" t="s">
        <v>402</v>
      </c>
      <c r="B36" s="294" t="s">
        <v>738</v>
      </c>
      <c r="C36" s="21" t="e">
        <f ca="1">ROUND(C29*F36,2)</f>
        <v>#N/A</v>
      </c>
      <c r="D36" s="1254" t="s">
        <v>771</v>
      </c>
      <c r="E36" s="294" t="s">
        <v>712</v>
      </c>
      <c r="F36" s="320" t="e">
        <f ca="1">INDIRECT("'数据-取费表'!Ak"&amp;$G$1)</f>
        <v>#N/A</v>
      </c>
      <c r="G36" s="1290"/>
      <c r="H36" s="2472"/>
      <c r="I36" s="1303"/>
      <c r="J36" s="1304"/>
      <c r="K36" s="2329"/>
      <c r="L36" s="2472"/>
      <c r="M36" s="2472"/>
    </row>
    <row r="37" spans="1:18" ht="18" customHeight="1">
      <c r="A37" s="927" t="s">
        <v>437</v>
      </c>
      <c r="B37" s="294" t="s">
        <v>742</v>
      </c>
      <c r="C37" s="21" t="e">
        <f ca="1">ROUND(C13*F37,2)</f>
        <v>#N/A</v>
      </c>
      <c r="D37" s="1254" t="s">
        <v>743</v>
      </c>
      <c r="E37" s="294" t="s">
        <v>744</v>
      </c>
      <c r="F37" s="321" t="e">
        <f ca="1">INDIRECT("'数据-取费表'!Al"&amp;$G$1)</f>
        <v>#N/A</v>
      </c>
      <c r="G37" s="1290"/>
      <c r="H37" s="2472"/>
      <c r="I37" s="1303"/>
      <c r="J37" s="1304"/>
      <c r="K37" s="2329"/>
      <c r="L37" s="2472"/>
      <c r="M37" s="2472"/>
    </row>
    <row r="38" spans="1:18" ht="18" customHeight="1" thickBot="1">
      <c r="A38" s="1025" t="s">
        <v>683</v>
      </c>
      <c r="B38" s="1026" t="s">
        <v>728</v>
      </c>
      <c r="C38" s="1027" t="e">
        <f ca="1">ROUND(C5*F38,2)</f>
        <v>#N/A</v>
      </c>
      <c r="D38" s="1028" t="s">
        <v>748</v>
      </c>
      <c r="E38" s="1026" t="s">
        <v>744</v>
      </c>
      <c r="F38" s="1022" t="e">
        <f ca="1">INDIRECT("'数据-取费表'!Am"&amp;$G$1)</f>
        <v>#N/A</v>
      </c>
      <c r="G38" s="1290"/>
      <c r="H38" s="2472"/>
      <c r="I38" s="1303"/>
      <c r="J38" s="1304"/>
      <c r="K38" s="2470"/>
      <c r="L38" s="2472"/>
      <c r="M38" s="2472"/>
    </row>
    <row r="39" spans="1:18" ht="24.6" customHeight="1" thickTop="1">
      <c r="A39" s="1015" t="s">
        <v>394</v>
      </c>
      <c r="B39" s="1030" t="s">
        <v>772</v>
      </c>
      <c r="C39" s="302" t="e">
        <f ca="1">C5-C30</f>
        <v>#N/A</v>
      </c>
      <c r="D39" s="1031" t="s">
        <v>773</v>
      </c>
      <c r="E39" s="1032"/>
      <c r="F39" s="1033"/>
      <c r="G39" s="1290"/>
      <c r="H39" s="2472"/>
      <c r="I39" s="1303" t="e">
        <f ca="1">C39/C6</f>
        <v>#N/A</v>
      </c>
      <c r="J39" s="1304"/>
      <c r="K39" s="2470"/>
      <c r="L39" s="2472"/>
      <c r="M39" s="2472"/>
    </row>
    <row r="40" spans="1:18" ht="18" customHeight="1">
      <c r="A40" s="291" t="s">
        <v>395</v>
      </c>
      <c r="B40" s="292" t="s">
        <v>774</v>
      </c>
      <c r="C40" s="293" t="e">
        <f ca="1">ROUND(C39*(1-((1+F42)/(1+F40))^F41)/(F40-F42),0)</f>
        <v>#N/A</v>
      </c>
      <c r="D40" s="316" t="s">
        <v>758</v>
      </c>
      <c r="E40" s="294" t="s">
        <v>759</v>
      </c>
      <c r="F40" s="304" t="e">
        <f ca="1">INDIRECT("'数据-取费表'!I"&amp;$G$1)</f>
        <v>#N/A</v>
      </c>
      <c r="G40" s="1290"/>
      <c r="H40" s="1364"/>
      <c r="I40" s="1303"/>
      <c r="J40" s="1304"/>
      <c r="K40" s="2470"/>
      <c r="L40" s="1364"/>
      <c r="M40" s="1364"/>
    </row>
    <row r="41" spans="1:18" ht="18" customHeight="1">
      <c r="A41" s="296"/>
      <c r="B41" s="297"/>
      <c r="C41" s="298"/>
      <c r="D41" s="323" t="s">
        <v>775</v>
      </c>
      <c r="E41" s="294" t="s">
        <v>763</v>
      </c>
      <c r="F41" s="324" t="e">
        <f ca="1">IF(INDIRECT("'数据-取费表'!af"&amp;$G$1)=0,INDIRECT("'数据-取费表'!ae"&amp;$G$1),INDIRECT("'数据-取费表'!af"&amp;$G$1))</f>
        <v>#N/A</v>
      </c>
      <c r="G41" s="1290"/>
      <c r="H41" s="121"/>
      <c r="I41" s="1303"/>
      <c r="J41" s="1304"/>
      <c r="K41" s="2329"/>
      <c r="L41" s="121"/>
      <c r="M41" s="121"/>
    </row>
    <row r="42" spans="1:18" ht="18" customHeight="1">
      <c r="A42" s="300"/>
      <c r="B42" s="301"/>
      <c r="C42" s="302"/>
      <c r="D42" s="319"/>
      <c r="E42" s="294" t="s">
        <v>766</v>
      </c>
      <c r="F42" s="304" t="e">
        <f ca="1">INDIRECT("'数据-取费表'!v"&amp;$G$1)</f>
        <v>#N/A</v>
      </c>
      <c r="G42" s="1290"/>
      <c r="H42" s="121"/>
      <c r="I42" s="1303"/>
      <c r="J42" s="1304"/>
      <c r="K42" s="2329"/>
      <c r="L42" s="121"/>
      <c r="M42" s="121"/>
    </row>
    <row r="43" spans="1:18" ht="18" customHeight="1" thickBot="1">
      <c r="A43" s="325" t="s">
        <v>396</v>
      </c>
      <c r="B43" s="326" t="s">
        <v>776</v>
      </c>
      <c r="C43" s="327" t="e">
        <f ca="1">ROUND(C40*10000/F43,0)</f>
        <v>#N/A</v>
      </c>
      <c r="D43" s="328" t="s">
        <v>777</v>
      </c>
      <c r="E43" s="329" t="s">
        <v>778</v>
      </c>
      <c r="F43" s="330">
        <f>F7</f>
        <v>4902.5</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8"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8" thickBot="1">
      <c r="A47" s="891" t="s">
        <v>687</v>
      </c>
      <c r="B47" s="923" t="s">
        <v>688</v>
      </c>
      <c r="C47" s="1053" t="s">
        <v>689</v>
      </c>
      <c r="D47" s="923" t="s">
        <v>690</v>
      </c>
      <c r="E47" s="994" t="s">
        <v>691</v>
      </c>
      <c r="F47" s="995"/>
      <c r="G47" s="681"/>
      <c r="I47" s="1319" t="s">
        <v>815</v>
      </c>
      <c r="J47" s="1320" t="s">
        <v>3748</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6" t="s">
        <v>438</v>
      </c>
      <c r="B48" s="292" t="s">
        <v>692</v>
      </c>
      <c r="C48" s="1266" t="e">
        <f ca="1">C49+C53+C55</f>
        <v>#N/A</v>
      </c>
      <c r="D48" s="1048"/>
      <c r="E48" s="1049"/>
      <c r="F48" s="907"/>
      <c r="G48" s="681"/>
      <c r="H48" s="682"/>
      <c r="I48" s="1326" t="s">
        <v>819</v>
      </c>
      <c r="J48" s="1327" t="s">
        <v>3759</v>
      </c>
      <c r="K48" s="1328" t="s">
        <v>820</v>
      </c>
      <c r="L48" s="1329" t="e">
        <f ca="1">INDIRECT("'数据-取费表'!f"&amp;$G$1)</f>
        <v>#N/A</v>
      </c>
      <c r="O48" s="1323" t="s">
        <v>404</v>
      </c>
      <c r="P48" s="1324" t="s">
        <v>821</v>
      </c>
      <c r="Q48" s="1325" t="e">
        <f ca="1">J60</f>
        <v>#N/A</v>
      </c>
      <c r="R48" s="1325" t="s">
        <v>822</v>
      </c>
    </row>
    <row r="49" spans="1:18" s="1290" customFormat="1" ht="13.8" thickBot="1">
      <c r="A49" s="920" t="s">
        <v>439</v>
      </c>
      <c r="B49" s="1277" t="s">
        <v>779</v>
      </c>
      <c r="C49" s="1050" t="e">
        <f ca="1">ROUND(F49*F51*F50*(1-F52)/10000,0)</f>
        <v>#N/A</v>
      </c>
      <c r="D49" s="991" t="s">
        <v>2104</v>
      </c>
      <c r="E49" s="1278" t="s">
        <v>780</v>
      </c>
      <c r="F49" s="996"/>
      <c r="H49" s="682"/>
      <c r="I49" s="1326" t="s">
        <v>823</v>
      </c>
      <c r="J49" s="1330">
        <f>'数据-取费表'!Q22</f>
        <v>2010</v>
      </c>
      <c r="K49" s="1328" t="s">
        <v>824</v>
      </c>
      <c r="L49" s="1331"/>
      <c r="O49" s="1332" t="s">
        <v>405</v>
      </c>
      <c r="P49" s="1324" t="s">
        <v>825</v>
      </c>
      <c r="Q49" s="1325" t="e">
        <f ca="1">C29</f>
        <v>#N/A</v>
      </c>
      <c r="R49" s="1325" t="s">
        <v>818</v>
      </c>
    </row>
    <row r="50" spans="1:18" s="1290" customFormat="1" ht="13.8" thickBot="1">
      <c r="A50" s="921"/>
      <c r="B50" s="924"/>
      <c r="C50" s="1054"/>
      <c r="D50" s="898"/>
      <c r="E50" s="992" t="s">
        <v>697</v>
      </c>
      <c r="F50" s="993">
        <f>F7</f>
        <v>4902.5</v>
      </c>
      <c r="H50" s="682"/>
      <c r="I50" s="1326" t="s">
        <v>826</v>
      </c>
      <c r="J50" s="1333">
        <f>SUMPRODUCT((I63:I65=J47)*(J62:L62=J48)*(J63:L65))</f>
        <v>70</v>
      </c>
      <c r="K50" s="1328" t="s">
        <v>827</v>
      </c>
      <c r="L50" s="1331"/>
      <c r="M50" s="1334"/>
      <c r="O50" s="1332" t="s">
        <v>406</v>
      </c>
      <c r="P50" s="1324" t="s">
        <v>828</v>
      </c>
      <c r="Q50" s="1335" t="e">
        <f ca="1">J58</f>
        <v>#N/A</v>
      </c>
      <c r="R50" s="1325"/>
    </row>
    <row r="51" spans="1:18" s="1290" customFormat="1" ht="13.8" thickBot="1">
      <c r="A51" s="922"/>
      <c r="B51" s="924"/>
      <c r="C51" s="925"/>
      <c r="D51" s="898"/>
      <c r="E51" s="926" t="s">
        <v>698</v>
      </c>
      <c r="F51" s="295" t="e">
        <f ca="1">F8</f>
        <v>#N/A</v>
      </c>
      <c r="I51" s="1336" t="s">
        <v>829</v>
      </c>
      <c r="J51" s="1329">
        <f>IF(J49="",J50,J49+J50-YEAR('数据-取费表'!B2))</f>
        <v>56</v>
      </c>
      <c r="K51" s="1337" t="s">
        <v>830</v>
      </c>
      <c r="L51" s="1338" t="e">
        <f ca="1">ROUND(-PV(INDIRECT("'数据-取费表'!h"&amp;$G$1),J51,(C39-C13*C76),0),0)</f>
        <v>#N/A</v>
      </c>
      <c r="M51" s="1339"/>
      <c r="O51" s="1332" t="s">
        <v>407</v>
      </c>
      <c r="P51" s="1324" t="s">
        <v>831</v>
      </c>
      <c r="Q51" s="1335">
        <f>J52</f>
        <v>7.5000000000000011E-2</v>
      </c>
      <c r="R51" s="1325"/>
    </row>
    <row r="52" spans="1:18" s="1290" customFormat="1" ht="13.8" thickBot="1">
      <c r="A52" s="922"/>
      <c r="B52" s="924"/>
      <c r="C52" s="925"/>
      <c r="D52" s="898"/>
      <c r="E52" s="926" t="s">
        <v>699</v>
      </c>
      <c r="F52" s="990"/>
      <c r="I52" s="1340" t="s">
        <v>832</v>
      </c>
      <c r="J52" s="1341">
        <f>'数据-取费表'!J6+0.5%</f>
        <v>7.5000000000000011E-2</v>
      </c>
      <c r="K52" s="1340" t="s">
        <v>833</v>
      </c>
      <c r="L52" s="1341"/>
      <c r="O52" s="1332" t="s">
        <v>408</v>
      </c>
      <c r="P52" s="1324" t="s">
        <v>834</v>
      </c>
      <c r="Q52" s="1325" t="e">
        <f ca="1">J53</f>
        <v>#N/A</v>
      </c>
      <c r="R52" s="1325" t="s">
        <v>835</v>
      </c>
    </row>
    <row r="53" spans="1:18" s="1290" customFormat="1" ht="36.6" thickBot="1">
      <c r="A53" s="1078" t="s">
        <v>440</v>
      </c>
      <c r="B53" s="1279" t="s">
        <v>700</v>
      </c>
      <c r="C53" s="308">
        <f ca="1">ROUND(IF(F53="押一",C49/12*F11,IF(F53="押二",C49/12*2*F11,IF(F53="押三",C49/12*3*F11,C54*F11))),0)</f>
        <v>0</v>
      </c>
      <c r="D53" s="150" t="s">
        <v>2112</v>
      </c>
      <c r="E53" s="305" t="s">
        <v>701</v>
      </c>
      <c r="F53" s="1052"/>
      <c r="I53" s="1342" t="s">
        <v>836</v>
      </c>
      <c r="J53" s="2005" t="e">
        <f ca="1">IF(M47="住宅",IF(D1="——",MAX(J51,L48),MAX(J51,L48-'数据-取费表'!B24)),IF(D1="——",MIN(J51,L48),MIN(J51,L48-'数据-取费表'!B24)))</f>
        <v>#N/A</v>
      </c>
      <c r="K53" s="3317" t="s">
        <v>837</v>
      </c>
      <c r="L53" s="3318"/>
      <c r="O53" s="1323" t="s">
        <v>409</v>
      </c>
      <c r="P53" s="1324" t="s">
        <v>838</v>
      </c>
      <c r="Q53" s="1325" t="e">
        <f ca="1">Q47+Q48</f>
        <v>#N/A</v>
      </c>
      <c r="R53" s="1325" t="s">
        <v>410</v>
      </c>
    </row>
    <row r="54" spans="1:18" s="1290" customFormat="1" ht="24.6" thickBot="1">
      <c r="A54" s="1079"/>
      <c r="B54" s="1273" t="s">
        <v>679</v>
      </c>
      <c r="C54" s="904"/>
      <c r="D54" s="150"/>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9" t="s">
        <v>437</v>
      </c>
      <c r="B55" s="1275" t="s">
        <v>703</v>
      </c>
      <c r="C55" s="1020"/>
      <c r="D55" s="150"/>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7.200000000000003" thickTop="1" thickBot="1">
      <c r="A56" s="902">
        <v>2</v>
      </c>
      <c r="B56" s="903" t="s">
        <v>704</v>
      </c>
      <c r="C56" s="224" t="e">
        <f ca="1">C13</f>
        <v>#N/A</v>
      </c>
      <c r="D56" s="1350"/>
      <c r="E56" s="1351"/>
      <c r="F56" s="1343"/>
      <c r="I56" s="1352" t="s">
        <v>842</v>
      </c>
      <c r="J56" s="3202" t="s">
        <v>3725</v>
      </c>
      <c r="K56" s="1326" t="s">
        <v>843</v>
      </c>
      <c r="L56" s="1329" t="e">
        <f ca="1">IF(L48&lt;J51,"——",L48-J53)</f>
        <v>#N/A</v>
      </c>
      <c r="O56" s="1323" t="s">
        <v>403</v>
      </c>
      <c r="P56" s="1324" t="s">
        <v>817</v>
      </c>
      <c r="Q56" s="1325" t="e">
        <f ca="1">C40+J29</f>
        <v>#N/A</v>
      </c>
      <c r="R56" s="1325" t="s">
        <v>818</v>
      </c>
    </row>
    <row r="57" spans="1:18" s="1290" customFormat="1" ht="24.6" thickBot="1">
      <c r="A57" s="1354"/>
      <c r="B57" s="895" t="s">
        <v>767</v>
      </c>
      <c r="C57" s="230"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6" thickBot="1">
      <c r="A58" s="307" t="s">
        <v>393</v>
      </c>
      <c r="B58" s="903" t="s">
        <v>714</v>
      </c>
      <c r="C58" s="308" t="e">
        <f ca="1">ROUND(C59+C64+C65+C66,0)</f>
        <v>#N/A</v>
      </c>
      <c r="D58" s="905" t="s">
        <v>715</v>
      </c>
      <c r="E58" s="906"/>
      <c r="F58" s="907"/>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2" thickBot="1">
      <c r="A60" s="927" t="s">
        <v>397</v>
      </c>
      <c r="B60" s="895" t="s">
        <v>723</v>
      </c>
      <c r="C60" s="21" t="e">
        <f ca="1">IF(项目基本情况!B11="自然人","——",ROUND(C48*F60/(1+'数据-取费表'!C42),2))</f>
        <v>#N/A</v>
      </c>
      <c r="D60" s="909" t="s">
        <v>724</v>
      </c>
      <c r="E60" s="895" t="s">
        <v>712</v>
      </c>
      <c r="F60" s="322">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7" t="s">
        <v>781</v>
      </c>
      <c r="B61" s="895" t="s">
        <v>782</v>
      </c>
      <c r="C61" s="21" t="e">
        <f ca="1">IF(项目基本情况!B11="自然人","——",IF(D61="按租金收入计税",ROUND(C49*F61/(1+'数据-取费表'!C42),2),IF(D61="按房产原值计税",ROUND(C57*F61*0.7,2),INDIRECT("'数据-取费表'!Aj"&amp;$G$1))))</f>
        <v>#N/A</v>
      </c>
      <c r="D61" s="1276" t="s">
        <v>3336</v>
      </c>
      <c r="E61" s="895" t="s">
        <v>783</v>
      </c>
      <c r="F61" s="314">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7" t="s">
        <v>784</v>
      </c>
      <c r="B62" s="894" t="s">
        <v>785</v>
      </c>
      <c r="C62" s="22">
        <f>IF(项目基本情况!B11="自然人","——",ROUND(F62*F63/10000,2))</f>
        <v>0.59</v>
      </c>
      <c r="D62" s="910" t="s">
        <v>731</v>
      </c>
      <c r="E62" s="895" t="s">
        <v>787</v>
      </c>
      <c r="F62" s="317">
        <f t="shared" si="0"/>
        <v>1.5</v>
      </c>
      <c r="I62" s="1365" t="s">
        <v>858</v>
      </c>
      <c r="J62" s="610" t="s">
        <v>859</v>
      </c>
      <c r="K62" s="610" t="s">
        <v>860</v>
      </c>
      <c r="L62" s="610" t="s">
        <v>861</v>
      </c>
      <c r="M62" s="1366" t="s">
        <v>862</v>
      </c>
      <c r="O62" s="1323" t="s">
        <v>409</v>
      </c>
      <c r="P62" s="1324" t="s">
        <v>863</v>
      </c>
      <c r="Q62" s="1325" t="e">
        <f ca="1">Q56+Q57</f>
        <v>#N/A</v>
      </c>
      <c r="R62" s="1325" t="s">
        <v>410</v>
      </c>
    </row>
    <row r="63" spans="1:18" s="1290" customFormat="1" ht="13.8" thickBot="1">
      <c r="A63" s="318"/>
      <c r="B63" s="901"/>
      <c r="C63" s="26"/>
      <c r="D63" s="911"/>
      <c r="E63" s="895" t="s">
        <v>788</v>
      </c>
      <c r="F63" s="295">
        <f t="shared" si="0"/>
        <v>3953.6290322580644</v>
      </c>
      <c r="I63" s="1365" t="s">
        <v>864</v>
      </c>
      <c r="J63" s="610">
        <v>70</v>
      </c>
      <c r="K63" s="610">
        <v>50</v>
      </c>
      <c r="L63" s="610">
        <v>80</v>
      </c>
      <c r="M63" s="1367">
        <v>0.02</v>
      </c>
      <c r="O63" s="1308" t="s">
        <v>865</v>
      </c>
      <c r="P63" s="1287"/>
      <c r="Q63" s="1287"/>
      <c r="R63" s="1287"/>
    </row>
    <row r="64" spans="1:18" s="1290" customFormat="1" ht="13.8" thickBot="1">
      <c r="A64" s="927" t="s">
        <v>402</v>
      </c>
      <c r="B64" s="895" t="s">
        <v>738</v>
      </c>
      <c r="C64" s="21" t="e">
        <f ca="1">ROUND(C57*F64,2)</f>
        <v>#N/A</v>
      </c>
      <c r="D64" s="909" t="s">
        <v>791</v>
      </c>
      <c r="E64" s="895" t="s">
        <v>783</v>
      </c>
      <c r="F64" s="320" t="e">
        <f t="shared" ca="1" si="0"/>
        <v>#N/A</v>
      </c>
      <c r="I64" s="1365" t="s">
        <v>866</v>
      </c>
      <c r="J64" s="610">
        <v>50</v>
      </c>
      <c r="K64" s="610">
        <v>35</v>
      </c>
      <c r="L64" s="610">
        <v>60</v>
      </c>
      <c r="M64" s="1366">
        <v>0</v>
      </c>
      <c r="O64" s="1316" t="s">
        <v>811</v>
      </c>
      <c r="P64" s="1317" t="s">
        <v>812</v>
      </c>
      <c r="Q64" s="1318" t="s">
        <v>813</v>
      </c>
      <c r="R64" s="1318" t="s">
        <v>814</v>
      </c>
    </row>
    <row r="65" spans="1:18" s="1290" customFormat="1" ht="13.8" thickBot="1">
      <c r="A65" s="927" t="s">
        <v>792</v>
      </c>
      <c r="B65" s="895" t="s">
        <v>742</v>
      </c>
      <c r="C65" s="21" t="e">
        <f ca="1">ROUND(C56*F65,2)</f>
        <v>#N/A</v>
      </c>
      <c r="D65" s="909" t="s">
        <v>743</v>
      </c>
      <c r="E65" s="895" t="s">
        <v>744</v>
      </c>
      <c r="F65" s="321" t="e">
        <f t="shared" ca="1" si="0"/>
        <v>#N/A</v>
      </c>
      <c r="I65" s="1365" t="s">
        <v>867</v>
      </c>
      <c r="J65" s="610">
        <v>40</v>
      </c>
      <c r="K65" s="610">
        <v>30</v>
      </c>
      <c r="L65" s="610">
        <v>50</v>
      </c>
      <c r="M65" s="1367">
        <v>0.02</v>
      </c>
      <c r="O65" s="1323" t="s">
        <v>403</v>
      </c>
      <c r="P65" s="1324" t="s">
        <v>868</v>
      </c>
      <c r="Q65" s="1325" t="e">
        <f ca="1">C40+J29</f>
        <v>#N/A</v>
      </c>
      <c r="R65" s="1325" t="s">
        <v>818</v>
      </c>
    </row>
    <row r="66" spans="1:18" s="1290" customFormat="1" ht="16.2" thickBot="1">
      <c r="A66" s="927" t="s">
        <v>793</v>
      </c>
      <c r="B66" s="895" t="s">
        <v>728</v>
      </c>
      <c r="C66" s="21" t="e">
        <f ca="1">ROUND(C48*F66,2)</f>
        <v>#N/A</v>
      </c>
      <c r="D66" s="909" t="s">
        <v>794</v>
      </c>
      <c r="E66" s="895" t="s">
        <v>712</v>
      </c>
      <c r="F66" s="304" t="e">
        <f t="shared" ca="1" si="0"/>
        <v>#N/A</v>
      </c>
      <c r="O66" s="1323" t="s">
        <v>404</v>
      </c>
      <c r="P66" s="1324" t="s">
        <v>846</v>
      </c>
      <c r="Q66" s="1325" t="e">
        <f ca="1">L60</f>
        <v>#N/A</v>
      </c>
      <c r="R66" s="1325" t="s">
        <v>869</v>
      </c>
    </row>
    <row r="67" spans="1:18" s="1290" customFormat="1" ht="24.6" thickBot="1">
      <c r="A67" s="902" t="s">
        <v>394</v>
      </c>
      <c r="B67" s="912" t="s">
        <v>752</v>
      </c>
      <c r="C67" s="308" t="e">
        <f ca="1">C48-C58</f>
        <v>#N/A</v>
      </c>
      <c r="D67" s="908" t="s">
        <v>753</v>
      </c>
      <c r="E67" s="913"/>
      <c r="F67" s="914"/>
      <c r="O67" s="1332" t="s">
        <v>405</v>
      </c>
      <c r="P67" s="1324" t="s">
        <v>850</v>
      </c>
      <c r="Q67" s="1368" t="e">
        <f ca="1">L51</f>
        <v>#N/A</v>
      </c>
      <c r="R67" s="1325" t="s">
        <v>870</v>
      </c>
    </row>
    <row r="68" spans="1:18" s="1290" customFormat="1" ht="16.2" thickBot="1">
      <c r="A68" s="892" t="s">
        <v>395</v>
      </c>
      <c r="B68" s="893" t="s">
        <v>774</v>
      </c>
      <c r="C68" s="293" t="e">
        <f ca="1">ROUND(C67*(1-((1+F70)/(1+F68))^F69)/(F68-F70),0)</f>
        <v>#N/A</v>
      </c>
      <c r="D68" s="910" t="s">
        <v>758</v>
      </c>
      <c r="E68" s="895" t="s">
        <v>759</v>
      </c>
      <c r="F68" s="304" t="e">
        <f ca="1">F40</f>
        <v>#N/A</v>
      </c>
      <c r="O68" s="1332" t="s">
        <v>406</v>
      </c>
      <c r="P68" s="1369" t="s">
        <v>871</v>
      </c>
      <c r="Q68" s="1325" t="e">
        <f ca="1">ROUND(Q69-Q70*Q71,0)</f>
        <v>#N/A</v>
      </c>
      <c r="R68" s="1325" t="s">
        <v>414</v>
      </c>
    </row>
    <row r="69" spans="1:18" s="1290" customFormat="1" ht="13.8" thickBot="1">
      <c r="A69" s="896"/>
      <c r="B69" s="897"/>
      <c r="C69" s="298"/>
      <c r="D69" s="915" t="s">
        <v>762</v>
      </c>
      <c r="E69" s="895" t="s">
        <v>763</v>
      </c>
      <c r="F69" s="324" t="e">
        <f ca="1">F41</f>
        <v>#N/A</v>
      </c>
      <c r="O69" s="1332" t="s">
        <v>411</v>
      </c>
      <c r="P69" s="1369" t="s">
        <v>872</v>
      </c>
      <c r="Q69" s="1325" t="e">
        <f ca="1">C39</f>
        <v>#N/A</v>
      </c>
      <c r="R69" s="1325" t="s">
        <v>818</v>
      </c>
    </row>
    <row r="70" spans="1:18" s="1290" customFormat="1" ht="13.8" thickBot="1">
      <c r="A70" s="899"/>
      <c r="B70" s="900"/>
      <c r="C70" s="302"/>
      <c r="D70" s="911"/>
      <c r="E70" s="895" t="s">
        <v>766</v>
      </c>
      <c r="F70" s="990"/>
      <c r="O70" s="1332" t="s">
        <v>412</v>
      </c>
      <c r="P70" s="1369" t="s">
        <v>873</v>
      </c>
      <c r="Q70" s="1325" t="e">
        <f ca="1">C13</f>
        <v>#N/A</v>
      </c>
      <c r="R70" s="1325" t="s">
        <v>818</v>
      </c>
    </row>
    <row r="71" spans="1:18" s="1290" customFormat="1" ht="13.8" thickBot="1">
      <c r="A71" s="916" t="s">
        <v>396</v>
      </c>
      <c r="B71" s="917" t="s">
        <v>776</v>
      </c>
      <c r="C71" s="327" t="e">
        <f ca="1">ROUND(C68*10000/F71,0)</f>
        <v>#N/A</v>
      </c>
      <c r="D71" s="918" t="s">
        <v>777</v>
      </c>
      <c r="E71" s="919" t="s">
        <v>778</v>
      </c>
      <c r="F71" s="330">
        <f>F43</f>
        <v>4902.5</v>
      </c>
      <c r="O71" s="1332" t="s">
        <v>413</v>
      </c>
      <c r="P71" s="1369" t="s">
        <v>874</v>
      </c>
      <c r="Q71" s="1335" t="e">
        <f ca="1">C76</f>
        <v>#N/A</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#N/A</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31" t="s">
        <v>795</v>
      </c>
      <c r="C75" s="332" t="e">
        <f ca="1">ROUND(C13*C76,0)</f>
        <v>#N/A</v>
      </c>
      <c r="D75" s="1290"/>
      <c r="E75" s="1290"/>
      <c r="F75" s="1290"/>
      <c r="K75" s="1307"/>
      <c r="L75" s="1290"/>
      <c r="O75" s="1323" t="s">
        <v>409</v>
      </c>
      <c r="P75" s="1324" t="s">
        <v>838</v>
      </c>
      <c r="Q75" s="1325" t="e">
        <f ca="1">Q65+Q66</f>
        <v>#N/A</v>
      </c>
      <c r="R75" s="1325" t="s">
        <v>410</v>
      </c>
    </row>
    <row r="76" spans="1:18">
      <c r="B76" s="333" t="s">
        <v>796</v>
      </c>
      <c r="C76" s="334" t="e">
        <f ca="1">INDIRECT("'数据-取费表'!j"&amp;$G$1)</f>
        <v>#N/A</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formatCells="0" formatColumns="0" formatRows="0"/>
  <mergeCells count="3">
    <mergeCell ref="B6:B9"/>
    <mergeCell ref="I6:I9"/>
    <mergeCell ref="K53:L53"/>
  </mergeCells>
  <phoneticPr fontId="136"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D1" xr:uid="{00000000-0002-0000-1200-000000000000}">
      <formula1>"在建（套用方法）,土地（套用方法）,——"</formula1>
    </dataValidation>
    <dataValidation type="list" allowBlank="1" showInputMessage="1" showErrorMessage="1" sqref="M10 F10 F53" xr:uid="{00000000-0002-0000-1200-000001000000}">
      <formula1>"押一,押二,押三,自定义"</formula1>
    </dataValidation>
    <dataValidation type="list" allowBlank="1" showInputMessage="1" showErrorMessage="1" sqref="L55" xr:uid="{00000000-0002-0000-1200-000002000000}">
      <formula1>"比较法,基准地价,收益还原"</formula1>
    </dataValidation>
    <dataValidation type="list" allowBlank="1" showInputMessage="1" showErrorMessage="1" sqref="J56" xr:uid="{00000000-0002-0000-1200-000003000000}">
      <formula1>估价范围判定</formula1>
    </dataValidation>
    <dataValidation type="list" allowBlank="1" showInputMessage="1" showErrorMessage="1" sqref="J48" xr:uid="{00000000-0002-0000-1200-000004000000}">
      <formula1>"非生产用房,生产用房,受腐蚀的生产用房"</formula1>
    </dataValidation>
    <dataValidation type="list" allowBlank="1" showInputMessage="1" showErrorMessage="1" sqref="J47" xr:uid="{00000000-0002-0000-1200-000005000000}">
      <formula1>"钢,钢混,砖混"</formula1>
    </dataValidation>
    <dataValidation type="list" allowBlank="1" showInputMessage="1" showErrorMessage="1" sqref="C1" xr:uid="{00000000-0002-0000-1200-000006000000}">
      <formula1>项目类型</formula1>
    </dataValidation>
    <dataValidation type="list" allowBlank="1" showInputMessage="1" showErrorMessage="1" sqref="D33 D61" xr:uid="{00000000-0002-0000-1200-000007000000}">
      <formula1>"按租金收入计税,按房产原值计税,按票据"</formula1>
    </dataValidation>
    <dataValidation type="list" allowBlank="1" showInputMessage="1" showErrorMessage="1" sqref="K19" xr:uid="{00000000-0002-0000-12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Normal="80" zoomScaleSheetLayoutView="100" workbookViewId="0">
      <selection activeCell="F7" sqref="F7"/>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20034.16</v>
      </c>
      <c r="C1" s="2460"/>
      <c r="D1" s="2460"/>
      <c r="E1" s="2460"/>
      <c r="F1" s="2460"/>
      <c r="G1" s="2461"/>
      <c r="H1" s="2461"/>
      <c r="I1" s="2461"/>
      <c r="J1" s="2461"/>
      <c r="K1" s="2461"/>
    </row>
    <row r="2" spans="1:11" ht="16.2">
      <c r="A2" s="2298" t="s">
        <v>653</v>
      </c>
      <c r="B2" s="2298">
        <f>SUM(C14:C23)</f>
        <v>20034.16</v>
      </c>
      <c r="C2" s="2460"/>
      <c r="D2" s="2460"/>
      <c r="E2" s="2460"/>
      <c r="F2" s="2460"/>
      <c r="G2" s="2461"/>
      <c r="H2" s="2461"/>
      <c r="I2" s="2461"/>
      <c r="J2" s="2461"/>
      <c r="K2" s="2461"/>
    </row>
    <row r="3" spans="1:11" ht="15.6">
      <c r="A3" s="2298" t="s">
        <v>662</v>
      </c>
      <c r="B3" s="2300">
        <f>项目基本情况!D3</f>
        <v>45470</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13644</v>
      </c>
      <c r="C5" s="2298">
        <f ca="1">IF(B5=D14,结果表!H102,ROUND(B5*10000/$B$1,0))</f>
        <v>6810</v>
      </c>
      <c r="D5" s="2298">
        <f ca="1">ROUND(B5*10000/$B$2,0)</f>
        <v>6810</v>
      </c>
      <c r="E5" s="2460"/>
      <c r="F5" s="2461"/>
      <c r="G5" s="2461"/>
      <c r="H5" s="2461"/>
      <c r="I5" s="2461"/>
      <c r="J5" s="2461"/>
      <c r="K5" s="2461"/>
    </row>
    <row r="6" spans="1:11" ht="15.6">
      <c r="A6" s="2298" t="s">
        <v>656</v>
      </c>
      <c r="B6" s="2298">
        <f ca="1">SUM(G14:G23)</f>
        <v>13644</v>
      </c>
      <c r="C6" s="2298">
        <f ca="1">IF(B6=G14,结果表!H108,ROUND(B6*10000/$B$1,0))</f>
        <v>6810</v>
      </c>
      <c r="D6" s="2298">
        <f ca="1">ROUND(B6*10000/$B$2,0)</f>
        <v>6810</v>
      </c>
      <c r="E6" s="2460"/>
      <c r="F6" s="2461"/>
      <c r="G6" s="2461"/>
      <c r="H6" s="2461"/>
      <c r="I6" s="2461"/>
      <c r="J6" s="2461"/>
      <c r="K6" s="2461"/>
    </row>
    <row r="7" spans="1:11" ht="15.6">
      <c r="A7" s="2298" t="s">
        <v>664</v>
      </c>
      <c r="B7" s="2298">
        <f>SUM(H14:H23)</f>
        <v>0</v>
      </c>
      <c r="C7" s="2298" t="str">
        <f>IF(B7=H14,结果表!H110,ROUND(B7*10000/$B$1,0))</f>
        <v>——</v>
      </c>
      <c r="D7" s="2298">
        <f>ROUND(B7*10000/$B$2,0)</f>
        <v>0</v>
      </c>
      <c r="E7" s="2460"/>
      <c r="F7" s="2461"/>
      <c r="G7" s="2461"/>
      <c r="H7" s="2461"/>
      <c r="I7" s="2461"/>
      <c r="J7" s="2461"/>
      <c r="K7" s="2461"/>
    </row>
    <row r="8" spans="1:11" ht="15.6">
      <c r="A8" s="2298" t="s">
        <v>587</v>
      </c>
      <c r="B8" s="2298">
        <f>SUM(I14:I23)</f>
        <v>0</v>
      </c>
      <c r="C8" s="2298" t="str">
        <f>IF(B8=I14,结果表!H112,ROUND(B8*10000/$B$1,0))</f>
        <v>——</v>
      </c>
      <c r="D8" s="2298">
        <f>ROUND(B8*10000/$B$2,0)</f>
        <v>0</v>
      </c>
      <c r="E8" s="2460"/>
      <c r="F8" s="2461"/>
      <c r="G8" s="2461"/>
      <c r="H8" s="2461"/>
      <c r="I8" s="2461"/>
      <c r="J8" s="2461"/>
      <c r="K8" s="2461"/>
    </row>
    <row r="9" spans="1:11" ht="15.6">
      <c r="A9" s="2298" t="s">
        <v>655</v>
      </c>
      <c r="B9" s="1242"/>
      <c r="C9" s="2460"/>
      <c r="D9" s="2460"/>
      <c r="E9" s="2460"/>
      <c r="F9" s="2461"/>
      <c r="G9" s="2461"/>
      <c r="H9" s="2461"/>
      <c r="I9" s="2461"/>
      <c r="J9" s="2461"/>
      <c r="K9" s="2461"/>
    </row>
    <row r="10" spans="1:11" ht="15.6">
      <c r="A10" s="2298" t="s">
        <v>654</v>
      </c>
      <c r="B10" s="2298">
        <f>IF(E10="",0,ROUND(B1*(E10*365/G10)/10000,0))</f>
        <v>0</v>
      </c>
      <c r="C10" s="2298" t="s">
        <v>3356</v>
      </c>
      <c r="D10" s="2298" t="s">
        <v>3357</v>
      </c>
      <c r="E10" s="3135"/>
      <c r="F10" s="3139" t="s">
        <v>3358</v>
      </c>
      <c r="G10" s="3136"/>
      <c r="H10" s="2461"/>
      <c r="I10" s="2461"/>
      <c r="J10" s="2461"/>
      <c r="K10" s="2461"/>
    </row>
    <row r="11" spans="1:11" ht="15.6">
      <c r="A11" s="2298" t="s">
        <v>670</v>
      </c>
      <c r="B11" s="1242"/>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'数据-汇总表'!E3</f>
        <v>20034.16</v>
      </c>
      <c r="C14" s="2304">
        <f>'数据-汇总表'!E3</f>
        <v>20034.16</v>
      </c>
      <c r="D14" s="2304">
        <f ca="1">结果表!H101</f>
        <v>13644</v>
      </c>
      <c r="E14" s="2304">
        <f ca="1">ROUND(D14*10000/B14,0)</f>
        <v>6810</v>
      </c>
      <c r="F14" s="2304">
        <f ca="1">ROUND(D14*10000/C14,0)</f>
        <v>6810</v>
      </c>
      <c r="G14" s="2304">
        <f ca="1">结果表!H107</f>
        <v>13644</v>
      </c>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5.6">
      <c r="A16" s="2303" t="s">
        <v>648</v>
      </c>
      <c r="B16" s="2305"/>
      <c r="C16" s="2305"/>
      <c r="D16" s="2305"/>
      <c r="E16" s="2304" t="e">
        <f t="shared" si="0"/>
        <v>#DIV/0!</v>
      </c>
      <c r="F16" s="2304" t="e">
        <f t="shared" si="1"/>
        <v>#DIV/0!</v>
      </c>
      <c r="G16" s="1242"/>
      <c r="H16" s="1242"/>
      <c r="I16" s="2305"/>
      <c r="J16" s="2461"/>
      <c r="K16" s="2461"/>
    </row>
    <row r="17" spans="1:11" ht="15.6">
      <c r="A17" s="2303" t="s">
        <v>647</v>
      </c>
      <c r="B17" s="2305"/>
      <c r="C17" s="2305"/>
      <c r="D17" s="2305"/>
      <c r="E17" s="2304" t="e">
        <f t="shared" si="0"/>
        <v>#DIV/0!</v>
      </c>
      <c r="F17" s="2304" t="e">
        <f t="shared" si="1"/>
        <v>#DIV/0!</v>
      </c>
      <c r="G17" s="1242"/>
      <c r="H17" s="1242"/>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13" t="str">
        <f>项目基本情况!B1</f>
        <v>北京市房地产抵押价值预评估</v>
      </c>
      <c r="C37" s="3213"/>
      <c r="D37" s="3213"/>
      <c r="E37" s="3213"/>
      <c r="F37" s="3213"/>
      <c r="G37" s="3213"/>
      <c r="H37" s="3213"/>
      <c r="I37" s="3213"/>
    </row>
    <row r="38" spans="1:9">
      <c r="A38" s="793"/>
      <c r="B38" s="793"/>
    </row>
    <row r="39" spans="1:9">
      <c r="A39" s="791" t="s">
        <v>371</v>
      </c>
      <c r="B39" s="791" t="s">
        <v>373</v>
      </c>
    </row>
    <row r="40" spans="1:9">
      <c r="A40" s="791"/>
      <c r="B40" s="1376" t="str">
        <f>项目基本情况!B5</f>
        <v>新韩银行</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 ca="1">项目基本情况!K4</f>
        <v>郑燚（注册号：1120070131)、崔锴（注册号：0)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Normal="100" zoomScaleSheetLayoutView="100" zoomScalePageLayoutView="80" workbookViewId="0">
      <selection activeCell="J117" sqref="J117"/>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c r="D1" s="646"/>
      <c r="E1" s="646"/>
      <c r="F1" s="1619" t="s">
        <v>1263</v>
      </c>
      <c r="G1" s="1451"/>
      <c r="H1" s="1619" t="str">
        <f>IF(G1="现房","——","估价对象范围")</f>
        <v>估价对象范围</v>
      </c>
      <c r="I1" s="1620"/>
    </row>
    <row r="2" spans="1:12" ht="21.75" customHeight="1" thickBot="1">
      <c r="A2" s="3386" t="str">
        <f>项目基本情况!S2</f>
        <v>北京市房地产</v>
      </c>
      <c r="B2" s="3387"/>
      <c r="C2" s="3387"/>
      <c r="D2" s="3387"/>
      <c r="E2" s="3387"/>
      <c r="F2" s="3387"/>
      <c r="G2" s="3387"/>
      <c r="H2" s="3387"/>
      <c r="I2" s="3388"/>
    </row>
    <row r="3" spans="1:12" ht="13.2">
      <c r="A3" s="3390" t="s">
        <v>1264</v>
      </c>
      <c r="B3" s="3391"/>
      <c r="C3" s="3391"/>
      <c r="D3" s="3391"/>
      <c r="E3" s="3391"/>
      <c r="F3" s="3391"/>
      <c r="G3" s="3391"/>
      <c r="H3" s="3391"/>
      <c r="I3" s="3391"/>
    </row>
    <row r="4" spans="1:12" ht="14.4">
      <c r="A4" s="1622" t="s">
        <v>1265</v>
      </c>
      <c r="B4" s="1623" t="s">
        <v>1266</v>
      </c>
      <c r="C4" s="1624" t="s">
        <v>3771</v>
      </c>
      <c r="D4" s="1624" t="s">
        <v>3772</v>
      </c>
      <c r="E4" s="3395" t="s">
        <v>1267</v>
      </c>
      <c r="F4" s="3396"/>
      <c r="G4" s="3396"/>
      <c r="H4" s="3396"/>
      <c r="I4" s="33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34" t="s">
        <v>1268</v>
      </c>
      <c r="B5" s="3389">
        <v>25</v>
      </c>
      <c r="C5" s="3392"/>
      <c r="D5" s="3380"/>
      <c r="E5" s="123" t="s">
        <v>1269</v>
      </c>
      <c r="F5" s="1625"/>
      <c r="G5" s="1625"/>
      <c r="H5" s="1625"/>
      <c r="I5" s="1279"/>
    </row>
    <row r="6" spans="1:12" ht="13.2">
      <c r="A6" s="3334"/>
      <c r="B6" s="3389"/>
      <c r="C6" s="3394"/>
      <c r="D6" s="3380"/>
      <c r="E6" s="123" t="s">
        <v>1270</v>
      </c>
      <c r="F6" s="1625"/>
      <c r="G6" s="1625"/>
      <c r="H6" s="1625"/>
      <c r="I6" s="1279"/>
    </row>
    <row r="7" spans="1:12" ht="13.2">
      <c r="A7" s="3334"/>
      <c r="B7" s="3389"/>
      <c r="C7" s="3393"/>
      <c r="D7" s="3380"/>
      <c r="E7" s="123" t="s">
        <v>1271</v>
      </c>
      <c r="F7" s="1625"/>
      <c r="G7" s="1625"/>
      <c r="H7" s="1625"/>
      <c r="I7" s="1279"/>
    </row>
    <row r="8" spans="1:12" ht="13.2">
      <c r="A8" s="3334" t="s">
        <v>1272</v>
      </c>
      <c r="B8" s="3389">
        <v>15</v>
      </c>
      <c r="C8" s="3392"/>
      <c r="D8" s="3380"/>
      <c r="E8" s="123" t="s">
        <v>1273</v>
      </c>
      <c r="F8" s="1625"/>
      <c r="G8" s="1625"/>
      <c r="H8" s="1625"/>
      <c r="I8" s="1279"/>
    </row>
    <row r="9" spans="1:12" ht="13.2">
      <c r="A9" s="3334"/>
      <c r="B9" s="3389"/>
      <c r="C9" s="3393"/>
      <c r="D9" s="3380"/>
      <c r="E9" s="123" t="s">
        <v>1274</v>
      </c>
      <c r="F9" s="1625"/>
      <c r="G9" s="1625"/>
      <c r="H9" s="1625"/>
      <c r="I9" s="1279"/>
    </row>
    <row r="10" spans="1:12" ht="13.2">
      <c r="A10" s="3334" t="s">
        <v>1275</v>
      </c>
      <c r="B10" s="3389">
        <v>15</v>
      </c>
      <c r="C10" s="3392"/>
      <c r="D10" s="3380"/>
      <c r="E10" s="123" t="s">
        <v>1276</v>
      </c>
      <c r="F10" s="1625"/>
      <c r="G10" s="1625"/>
      <c r="H10" s="1625"/>
      <c r="I10" s="1279"/>
    </row>
    <row r="11" spans="1:12" ht="13.2">
      <c r="A11" s="3334"/>
      <c r="B11" s="3389"/>
      <c r="C11" s="3393"/>
      <c r="D11" s="3380"/>
      <c r="E11" s="123" t="s">
        <v>1277</v>
      </c>
      <c r="F11" s="1625"/>
      <c r="G11" s="1625"/>
      <c r="H11" s="1625"/>
      <c r="I11" s="1279"/>
    </row>
    <row r="12" spans="1:12" ht="13.2">
      <c r="A12" s="3334" t="s">
        <v>1278</v>
      </c>
      <c r="B12" s="3389">
        <v>15</v>
      </c>
      <c r="C12" s="3392"/>
      <c r="D12" s="3380"/>
      <c r="E12" s="123" t="s">
        <v>1279</v>
      </c>
      <c r="F12" s="1625"/>
      <c r="G12" s="1625"/>
      <c r="H12" s="1625"/>
      <c r="I12" s="1279"/>
    </row>
    <row r="13" spans="1:12" ht="13.2">
      <c r="A13" s="3334"/>
      <c r="B13" s="3389"/>
      <c r="C13" s="3393"/>
      <c r="D13" s="3380"/>
      <c r="E13" s="123" t="s">
        <v>1280</v>
      </c>
      <c r="F13" s="1625"/>
      <c r="G13" s="1625"/>
      <c r="H13" s="1625"/>
      <c r="I13" s="1279"/>
    </row>
    <row r="14" spans="1:12" ht="13.2">
      <c r="A14" s="3334" t="s">
        <v>1281</v>
      </c>
      <c r="B14" s="3389">
        <v>30</v>
      </c>
      <c r="C14" s="3392">
        <v>4</v>
      </c>
      <c r="D14" s="3380">
        <v>6</v>
      </c>
      <c r="E14" s="123" t="s">
        <v>1282</v>
      </c>
      <c r="F14" s="1625"/>
      <c r="G14" s="1625"/>
      <c r="H14" s="1625"/>
      <c r="I14" s="1279"/>
    </row>
    <row r="15" spans="1:12" ht="13.2">
      <c r="A15" s="3334"/>
      <c r="B15" s="3389"/>
      <c r="C15" s="3394"/>
      <c r="D15" s="3380"/>
      <c r="E15" s="123" t="s">
        <v>1283</v>
      </c>
      <c r="F15" s="1625"/>
      <c r="G15" s="1625"/>
      <c r="H15" s="1625"/>
      <c r="I15" s="1279"/>
    </row>
    <row r="16" spans="1:12" ht="13.2">
      <c r="A16" s="3334"/>
      <c r="B16" s="3389"/>
      <c r="C16" s="3393"/>
      <c r="D16" s="3380"/>
      <c r="E16" s="123" t="s">
        <v>1284</v>
      </c>
      <c r="F16" s="1625"/>
      <c r="G16" s="1625"/>
      <c r="H16" s="1625"/>
      <c r="I16" s="1279"/>
    </row>
    <row r="17" spans="1:36" ht="14.4">
      <c r="A17" s="1626" t="s">
        <v>1285</v>
      </c>
      <c r="B17" s="54"/>
      <c r="C17" s="124">
        <f>SUM(C5:C16)</f>
        <v>4</v>
      </c>
      <c r="D17" s="124">
        <f>SUM(D5:D16)</f>
        <v>6</v>
      </c>
      <c r="E17" s="121"/>
      <c r="F17" s="121"/>
      <c r="G17" s="121"/>
      <c r="H17" s="121"/>
      <c r="I17" s="121"/>
      <c r="K17" s="294"/>
      <c r="L17" s="294" t="s">
        <v>1286</v>
      </c>
      <c r="M17" s="294" t="s">
        <v>1287</v>
      </c>
    </row>
    <row r="18" spans="1:36" ht="31.95" customHeight="1" thickBot="1">
      <c r="A18" s="1627" t="s">
        <v>1288</v>
      </c>
      <c r="B18" s="1540"/>
      <c r="C18" s="125">
        <f>ROUND(C17/SUM(C17:D17),2)</f>
        <v>0.4</v>
      </c>
      <c r="D18" s="125">
        <f>1-C18</f>
        <v>0.6</v>
      </c>
      <c r="E18" s="3411" t="s">
        <v>2127</v>
      </c>
      <c r="F18" s="3412"/>
      <c r="G18" s="3412"/>
      <c r="H18" s="3412"/>
      <c r="I18" s="3412"/>
      <c r="K18" s="294" t="s">
        <v>1289</v>
      </c>
      <c r="L18" s="294">
        <f>IF(C1="",'数据-汇总表'!E3,SUMIF(项目类型,C1,'数据-汇总表'!E17:E26)+SUMIF(项目类型,C1,'数据-汇总表'!I17:I26))</f>
        <v>20034.16</v>
      </c>
      <c r="M18" s="294">
        <f>IF(C1="",'数据-汇总表'!E3,SUMIF(项目类型,C1,'数据-汇总表'!E17:E26))</f>
        <v>20034.16</v>
      </c>
    </row>
    <row r="19" spans="1:36" ht="14.4">
      <c r="A19" s="1628" t="s">
        <v>1290</v>
      </c>
      <c r="B19" s="1629" t="s">
        <v>1291</v>
      </c>
      <c r="C19" s="126">
        <f ca="1">SUMIF(INDIRECT("'"&amp;C4&amp;"'"&amp;"!A:A"),结果表!B19,INDIRECT("'"&amp;C4&amp;"'"&amp;"!B:B"))</f>
        <v>10416</v>
      </c>
      <c r="D19" s="127">
        <f ca="1">SUMIF(INDIRECT("'"&amp;D4&amp;"'"&amp;"!A:A"),结果表!B19,INDIRECT("'"&amp;D4&amp;"'"&amp;"!B:B"))</f>
        <v>15796</v>
      </c>
      <c r="E19" s="1628" t="s">
        <v>1292</v>
      </c>
      <c r="F19" s="1629" t="s">
        <v>1291</v>
      </c>
      <c r="G19" s="128">
        <f ca="1">ROUND(C19*$C$18+D19*$D$18,0)</f>
        <v>13644</v>
      </c>
      <c r="H19" s="1630" t="s">
        <v>1293</v>
      </c>
      <c r="I19" s="121"/>
      <c r="J19" s="684">
        <v>13604</v>
      </c>
      <c r="K19" s="294" t="s">
        <v>1294</v>
      </c>
      <c r="L19" s="294">
        <f>IF(C1="",'数据-汇总表'!D3,SUMIF(项目类型,C1,'数据-汇总表'!D17:D26)+SUMIF(项目类型,C1,'数据-汇总表'!H17:H27))</f>
        <v>15530.82</v>
      </c>
      <c r="M19" s="294">
        <f>IF(C1="",'数据-汇总表'!D3,SUMIF(项目类型,C1,'数据-汇总表'!D17:D26))</f>
        <v>15530.82</v>
      </c>
    </row>
    <row r="20" spans="1:36" ht="14.4">
      <c r="A20" s="1631"/>
      <c r="B20" s="43" t="s">
        <v>1295</v>
      </c>
      <c r="C20" s="129">
        <f ca="1">SUMIF(INDIRECT("'"&amp;C4&amp;"'"&amp;"!A:A"),结果表!B20,INDIRECT("'"&amp;C4&amp;"'"&amp;"!B:B"))</f>
        <v>5199</v>
      </c>
      <c r="D20" s="130">
        <f ca="1">SUMIF(INDIRECT("'"&amp;D4&amp;"'"&amp;"!A:A"),结果表!B20,INDIRECT("'"&amp;D4&amp;"'"&amp;"!B:B"))</f>
        <v>7885</v>
      </c>
      <c r="E20" s="1631"/>
      <c r="F20" s="43" t="s">
        <v>1295</v>
      </c>
      <c r="G20" s="131">
        <f ca="1">ROUND(C20*$C$18+D20*$D$18,0)</f>
        <v>6811</v>
      </c>
      <c r="H20" s="759" t="s">
        <v>1296</v>
      </c>
      <c r="I20" s="121"/>
      <c r="J20" s="684">
        <v>6790</v>
      </c>
    </row>
    <row r="21" spans="1:36" ht="15" customHeight="1" thickBot="1">
      <c r="A21" s="449"/>
      <c r="B21" s="93" t="s">
        <v>1297</v>
      </c>
      <c r="C21" s="678">
        <f ca="1">ROUND(C19*10000/L19,0)</f>
        <v>6707</v>
      </c>
      <c r="D21" s="679">
        <f ca="1">ROUND(D19*10000/L19,0)</f>
        <v>10171</v>
      </c>
      <c r="E21" s="449"/>
      <c r="F21" s="93" t="s">
        <v>1297</v>
      </c>
      <c r="G21" s="132">
        <f ca="1">ROUND(G19*10000/L19,0)</f>
        <v>8785</v>
      </c>
      <c r="H21" s="1632" t="s">
        <v>1296</v>
      </c>
      <c r="I21" s="121"/>
    </row>
    <row r="22" spans="1:36" ht="15" thickBot="1">
      <c r="A22" s="1562" t="s">
        <v>1298</v>
      </c>
      <c r="B22" s="1633"/>
      <c r="C22" s="1634"/>
      <c r="D22" s="680">
        <f ca="1">IF(C19&lt;D19,D19/C19-1,C19/D19-1)</f>
        <v>0.51651305683563753</v>
      </c>
      <c r="E22" s="121"/>
      <c r="F22" s="121"/>
      <c r="G22" s="121"/>
      <c r="H22" s="121"/>
      <c r="I22" s="121"/>
    </row>
    <row r="23" spans="1:36" ht="13.8" thickBot="1">
      <c r="A23" s="646"/>
      <c r="B23" s="646"/>
      <c r="C23" s="646"/>
      <c r="D23" s="646"/>
      <c r="E23" s="121"/>
      <c r="F23" s="121"/>
      <c r="G23" s="121"/>
      <c r="H23" s="121"/>
      <c r="I23" s="121"/>
    </row>
    <row r="24" spans="1:36" ht="14.4">
      <c r="A24" s="3404" t="s">
        <v>1299</v>
      </c>
      <c r="B24" s="1629" t="s">
        <v>1291</v>
      </c>
      <c r="C24" s="128">
        <f>IF(B30=0,0,D30)</f>
        <v>0</v>
      </c>
      <c r="D24" s="1635"/>
      <c r="E24" s="121"/>
      <c r="F24" s="121"/>
      <c r="G24" s="121"/>
      <c r="H24" s="121"/>
      <c r="I24" s="121"/>
    </row>
    <row r="25" spans="1:36" ht="14.4">
      <c r="A25" s="3405"/>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 customHeight="1" thickTop="1" thickBot="1">
      <c r="A31" s="2127"/>
      <c r="B31" s="2128"/>
      <c r="C31" s="2128"/>
      <c r="D31" s="2128"/>
      <c r="E31" s="2128"/>
      <c r="F31" s="2128"/>
      <c r="G31" s="2128"/>
      <c r="H31" s="2128"/>
      <c r="I31" s="2129" t="s">
        <v>2129</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8" t="s">
        <v>1305</v>
      </c>
      <c r="B32" s="1533"/>
      <c r="C32" s="136">
        <f ca="1">IF(D32="总价",G19-C24,G20-C25)</f>
        <v>13644</v>
      </c>
      <c r="D32" s="1639" t="s">
        <v>3769</v>
      </c>
      <c r="E32" s="121"/>
      <c r="F32" s="121"/>
      <c r="G32" s="121"/>
      <c r="H32" s="121"/>
      <c r="I32" s="121"/>
    </row>
    <row r="33" spans="1:15" ht="14.4">
      <c r="A33" s="739" t="s">
        <v>1306</v>
      </c>
      <c r="B33" s="123"/>
      <c r="C33" s="1640" t="s">
        <v>3770</v>
      </c>
      <c r="D33" s="1641" t="s">
        <v>3771</v>
      </c>
      <c r="E33" s="1642" t="s">
        <v>1307</v>
      </c>
      <c r="F33" s="1643" t="str">
        <f>IF(D32="楼面单价","取值（单价）","取值（总价）")</f>
        <v>取值（总价）</v>
      </c>
      <c r="G33" s="121"/>
      <c r="H33" s="121"/>
      <c r="I33" s="121"/>
    </row>
    <row r="34" spans="1:15" ht="14.4">
      <c r="A34" s="1644"/>
      <c r="B34" s="1645" t="s">
        <v>1308</v>
      </c>
      <c r="C34" s="140">
        <f ca="1">IF(C33="自定义",F34,C32-C35)</f>
        <v>5730</v>
      </c>
      <c r="D34" s="807">
        <f ca="1">IF(C33="自定义",ROUND(C34/C32,3),IF(C33="收益比率",SUMIF(INDIRECT("'"&amp;D33&amp;"'"&amp;"!b:b"),"土地收益比率",INDIRECT("'"&amp;D33&amp;"'"&amp;"!c:c")),SUMIF(INDIRECT("'"&amp;D33&amp;"'"&amp;"!b:b"),"土地成本比率",INDIRECT("'"&amp;D33&amp;"'"&amp;"!c:c"))))</f>
        <v>0.42000000000000004</v>
      </c>
      <c r="E34" s="1646" t="s">
        <v>1309</v>
      </c>
      <c r="F34" s="1241"/>
      <c r="G34" s="121"/>
      <c r="H34" s="121"/>
      <c r="I34" s="121"/>
    </row>
    <row r="35" spans="1:15" ht="15" thickBot="1">
      <c r="A35" s="1647"/>
      <c r="B35" s="1648" t="s">
        <v>1310</v>
      </c>
      <c r="C35" s="1089">
        <f ca="1">IF(C33="自定义",F35,ROUND(C32*D35,0))</f>
        <v>7914</v>
      </c>
      <c r="D35" s="1090">
        <f ca="1">IF(C33="自定义",ROUND(C35/C32,3),IF(C33="收益比率",SUMIF(INDIRECT("'"&amp;D33&amp;"'"&amp;"!b:b"),"建筑物收益比率",INDIRECT("'"&amp;D33&amp;"'"&amp;"!c:c")),SUMIF(INDIRECT("'"&amp;D33&amp;"'"&amp;"!b:b"),"建筑物成本比率",INDIRECT("'"&amp;D33&amp;"'"&amp;"!c:c"))))</f>
        <v>0.57999999999999996</v>
      </c>
      <c r="E35" s="1649" t="s">
        <v>1311</v>
      </c>
      <c r="F35" s="146"/>
      <c r="G35" s="121"/>
      <c r="H35" s="121"/>
      <c r="I35" s="121"/>
    </row>
    <row r="36" spans="1:15" ht="15" thickBot="1">
      <c r="A36" s="3381" t="s">
        <v>1312</v>
      </c>
      <c r="B36" s="1650" t="s">
        <v>1313</v>
      </c>
      <c r="C36" s="137"/>
      <c r="D36" s="1651"/>
      <c r="E36" s="1565"/>
      <c r="F36" s="1652"/>
      <c r="G36" s="121"/>
      <c r="H36" s="121"/>
      <c r="I36" s="121"/>
    </row>
    <row r="37" spans="1:15" ht="15" thickBot="1">
      <c r="A37" s="3382"/>
      <c r="B37" s="1553" t="s">
        <v>1314</v>
      </c>
      <c r="C37" s="139"/>
      <c r="D37" s="1070"/>
      <c r="E37" s="1070"/>
      <c r="F37" s="1652"/>
      <c r="G37" s="121"/>
      <c r="H37" s="121"/>
      <c r="I37" s="121"/>
    </row>
    <row r="38" spans="1:15" ht="15" thickBot="1">
      <c r="A38" s="3383"/>
      <c r="B38" s="1653" t="s">
        <v>1315</v>
      </c>
      <c r="C38" s="641"/>
      <c r="D38" s="1654" t="s">
        <v>1316</v>
      </c>
      <c r="E38" s="1070"/>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401" t="s">
        <v>1326</v>
      </c>
      <c r="B45" s="3402"/>
      <c r="C45" s="3403"/>
      <c r="D45" s="147">
        <f ca="1">ROUND(H101*F45,0)</f>
        <v>13644</v>
      </c>
      <c r="E45" s="148" t="s">
        <v>1327</v>
      </c>
      <c r="F45" s="149">
        <v>1</v>
      </c>
      <c r="G45" s="150" t="s">
        <v>1328</v>
      </c>
      <c r="H45" s="121"/>
      <c r="I45" s="121"/>
      <c r="J45" s="3321" t="s">
        <v>1329</v>
      </c>
      <c r="K45" s="3321"/>
      <c r="L45" s="3321"/>
      <c r="M45" s="3321"/>
      <c r="N45" s="3321"/>
      <c r="O45" s="3321"/>
    </row>
    <row r="46" spans="1:15" ht="14.25" customHeight="1">
      <c r="A46" s="3398" t="s">
        <v>1330</v>
      </c>
      <c r="B46" s="3399"/>
      <c r="C46" s="3399"/>
      <c r="D46" s="3399"/>
      <c r="E46" s="3399"/>
      <c r="F46" s="3399"/>
      <c r="G46" s="3400"/>
      <c r="H46" s="1666"/>
      <c r="I46" s="151"/>
      <c r="J46" s="2308">
        <v>1</v>
      </c>
      <c r="K46" s="3322" t="s">
        <v>1331</v>
      </c>
      <c r="L46" s="3322"/>
      <c r="M46" s="3323"/>
      <c r="N46" s="3323"/>
      <c r="O46" s="3323"/>
    </row>
    <row r="47" spans="1:15" ht="12" customHeight="1">
      <c r="A47" s="152" t="s">
        <v>1332</v>
      </c>
      <c r="B47" s="153"/>
      <c r="C47" s="154"/>
      <c r="D47" s="1023" t="s">
        <v>1333</v>
      </c>
      <c r="E47" s="294" t="s">
        <v>1334</v>
      </c>
      <c r="F47" s="155" t="s">
        <v>1335</v>
      </c>
      <c r="G47" s="2331" t="s">
        <v>1336</v>
      </c>
      <c r="H47" s="2332"/>
      <c r="I47" s="151"/>
      <c r="J47" s="2308">
        <v>2</v>
      </c>
      <c r="K47" s="3322" t="s">
        <v>1337</v>
      </c>
      <c r="L47" s="3322"/>
      <c r="M47" s="3324">
        <f>'数据-取费表'!B2</f>
        <v>45470</v>
      </c>
      <c r="N47" s="3324"/>
      <c r="O47" s="3324"/>
    </row>
    <row r="48" spans="1:15" ht="26.4">
      <c r="A48" s="3384" t="s">
        <v>1338</v>
      </c>
      <c r="B48" s="3385"/>
      <c r="C48" s="3385"/>
      <c r="D48" s="12" t="b">
        <f>IF(H48="情况1",0,IF(H48="情况2",D52,IF(H48="情况3",D53,IF(H48="情况4",D54))))</f>
        <v>0</v>
      </c>
      <c r="E48" s="1254" t="str">
        <f>IF(H48="情况4","(销售额-原购置价)×税（费）率","销售额×税（费）率")</f>
        <v>销售额×税（费）率</v>
      </c>
      <c r="F48" s="2333">
        <f>IF(H48="情况1","免征",'数据-取费表'!B41)</f>
        <v>5.5000000000000007E-2</v>
      </c>
      <c r="G48" s="2334" t="s">
        <v>1339</v>
      </c>
      <c r="H48" s="2335"/>
      <c r="I48" s="1666"/>
      <c r="J48" s="2308">
        <v>3</v>
      </c>
      <c r="K48" s="3322" t="s">
        <v>1340</v>
      </c>
      <c r="L48" s="3322"/>
      <c r="M48" s="3325">
        <f ca="1">H101</f>
        <v>13644</v>
      </c>
      <c r="N48" s="3325"/>
      <c r="O48" s="3325"/>
    </row>
    <row r="49" spans="1:35" ht="25.5" customHeight="1">
      <c r="A49" s="2151" t="s">
        <v>1341</v>
      </c>
      <c r="B49" s="3370" t="s">
        <v>1342</v>
      </c>
      <c r="C49" s="3370"/>
      <c r="D49" s="1476">
        <v>0</v>
      </c>
      <c r="E49" s="316" t="s">
        <v>1343</v>
      </c>
      <c r="F49" s="2231" t="s">
        <v>28</v>
      </c>
      <c r="G49" s="3353"/>
      <c r="H49" s="2133" t="s">
        <v>2130</v>
      </c>
      <c r="I49" s="2134"/>
      <c r="J49" s="2308">
        <v>4</v>
      </c>
      <c r="K49" s="3322" t="str">
        <f>IF(项目基本情况!E8="房地产抵押价值","房地产抵押价值","抵押担保权已注销时的房地产抵押价值")</f>
        <v>房地产抵押价值</v>
      </c>
      <c r="L49" s="3322"/>
      <c r="M49" s="3325">
        <f ca="1">IF(项目基本情况!E8="房地产抵押价值",H107,H109)</f>
        <v>13644</v>
      </c>
      <c r="N49" s="3325"/>
      <c r="O49" s="3325"/>
    </row>
    <row r="50" spans="1:35" ht="25.5" customHeight="1">
      <c r="A50" s="2336"/>
      <c r="B50" s="3370" t="s">
        <v>1344</v>
      </c>
      <c r="C50" s="3370"/>
      <c r="D50" s="2188"/>
      <c r="E50" s="323"/>
      <c r="F50" s="2231"/>
      <c r="G50" s="3354"/>
      <c r="H50" s="2135" t="s">
        <v>2131</v>
      </c>
      <c r="I50" s="2134"/>
      <c r="J50" s="3321" t="s">
        <v>1345</v>
      </c>
      <c r="K50" s="3321"/>
      <c r="L50" s="3321"/>
      <c r="M50" s="3321"/>
      <c r="N50" s="3321"/>
      <c r="O50" s="3321"/>
    </row>
    <row r="51" spans="1:35" ht="20.399999999999999" customHeight="1">
      <c r="A51" s="2337"/>
      <c r="B51" s="3370" t="s">
        <v>1346</v>
      </c>
      <c r="C51" s="3370"/>
      <c r="D51" s="1023"/>
      <c r="E51" s="319"/>
      <c r="F51" s="2231"/>
      <c r="G51" s="3355"/>
      <c r="H51" s="2135" t="s">
        <v>2132</v>
      </c>
      <c r="I51" s="2134"/>
      <c r="J51" s="2309" t="s">
        <v>1347</v>
      </c>
      <c r="K51" s="3322" t="s">
        <v>1348</v>
      </c>
      <c r="L51" s="3322"/>
      <c r="M51" s="2309" t="s">
        <v>1349</v>
      </c>
      <c r="N51" s="2309" t="s">
        <v>1350</v>
      </c>
      <c r="O51" s="2309" t="s">
        <v>1351</v>
      </c>
    </row>
    <row r="52" spans="1:35" ht="24" customHeight="1">
      <c r="A52" s="2152" t="s">
        <v>1352</v>
      </c>
      <c r="B52" s="3370" t="s">
        <v>1353</v>
      </c>
      <c r="C52" s="3370"/>
      <c r="D52" s="1023">
        <f ca="1">ROUND(D45*'数据-取费表'!B41/(1+'数据-取费表'!C42),0)</f>
        <v>715</v>
      </c>
      <c r="E52" s="1254" t="s">
        <v>1354</v>
      </c>
      <c r="F52" s="2338">
        <f>'数据-取费表'!B41</f>
        <v>5.5000000000000007E-2</v>
      </c>
      <c r="G52" s="2339"/>
      <c r="H52" s="2329"/>
      <c r="I52" s="1667"/>
      <c r="J52" s="2308">
        <v>1</v>
      </c>
      <c r="K52" s="3347" t="s">
        <v>1355</v>
      </c>
      <c r="L52" s="3347"/>
      <c r="M52" s="2310" t="b">
        <f>D48</f>
        <v>0</v>
      </c>
      <c r="N52" s="2308" t="str">
        <f>E48</f>
        <v>销售额×税（费）率</v>
      </c>
      <c r="O52" s="2311">
        <f>F48</f>
        <v>5.5000000000000007E-2</v>
      </c>
    </row>
    <row r="53" spans="1:35" ht="12" customHeight="1">
      <c r="A53" s="2152" t="s">
        <v>1356</v>
      </c>
      <c r="B53" s="3371" t="s">
        <v>2287</v>
      </c>
      <c r="C53" s="3372"/>
      <c r="D53" s="1023">
        <f ca="1">ROUND(D45*'数据-取费表'!B41/(1+'数据-取费表'!C42),0)</f>
        <v>715</v>
      </c>
      <c r="E53" s="1254" t="s">
        <v>1354</v>
      </c>
      <c r="F53" s="2338">
        <f>'数据-取费表'!B41</f>
        <v>5.5000000000000007E-2</v>
      </c>
      <c r="G53" s="2339"/>
      <c r="H53" s="2329"/>
      <c r="I53" s="1667"/>
      <c r="J53" s="2308">
        <v>2</v>
      </c>
      <c r="K53" s="3347" t="s">
        <v>1357</v>
      </c>
      <c r="L53" s="3347"/>
      <c r="M53" s="2310">
        <f t="shared" ref="M53:O54" ca="1" si="0">D55</f>
        <v>7</v>
      </c>
      <c r="N53" s="2308" t="str">
        <f t="shared" si="0"/>
        <v>销售额×税（费）率</v>
      </c>
      <c r="O53" s="2311" t="str">
        <f t="shared" si="0"/>
        <v>免征</v>
      </c>
    </row>
    <row r="54" spans="1:35" ht="12" customHeight="1">
      <c r="A54" s="2152" t="s">
        <v>1358</v>
      </c>
      <c r="B54" s="3371" t="s">
        <v>2288</v>
      </c>
      <c r="C54" s="3372"/>
      <c r="D54" s="1023">
        <f ca="1">C68</f>
        <v>715</v>
      </c>
      <c r="E54" s="319" t="s">
        <v>1359</v>
      </c>
      <c r="F54" s="2338">
        <f>'数据-取费表'!B41</f>
        <v>5.5000000000000007E-2</v>
      </c>
      <c r="G54" s="2339"/>
      <c r="H54" s="2340"/>
      <c r="I54" s="1667"/>
      <c r="J54" s="2308">
        <v>3</v>
      </c>
      <c r="K54" s="3347" t="s">
        <v>1360</v>
      </c>
      <c r="L54" s="3347"/>
      <c r="M54" s="2310">
        <f t="shared" ca="1" si="0"/>
        <v>7735</v>
      </c>
      <c r="N54" s="2308" t="str">
        <f t="shared" si="0"/>
        <v>增值额×税（费）率</v>
      </c>
      <c r="O54" s="2312" t="str">
        <f t="shared" si="0"/>
        <v>免征</v>
      </c>
    </row>
    <row r="55" spans="1:35" ht="24" customHeight="1">
      <c r="A55" s="3407" t="s">
        <v>1361</v>
      </c>
      <c r="B55" s="3385"/>
      <c r="C55" s="3385"/>
      <c r="D55" s="12">
        <f ca="1">IF(H55="个人住宅",0,ROUND(D45*I55,0))</f>
        <v>7</v>
      </c>
      <c r="E55" s="1254" t="s">
        <v>1362</v>
      </c>
      <c r="F55" s="2338" t="str">
        <f>IF(H55="正常",I55,"免征")</f>
        <v>免征</v>
      </c>
      <c r="G55" s="2339"/>
      <c r="H55" s="2335"/>
      <c r="I55" s="157">
        <f>'数据-取费表'!B49</f>
        <v>5.0000000000000001E-4</v>
      </c>
      <c r="J55" s="2308">
        <f>IF(H59="非个人房产","",4)</f>
        <v>4</v>
      </c>
      <c r="K55" s="3347" t="str">
        <f>IF(H59="非个人房产","——","个人所得税")</f>
        <v>个人所得税</v>
      </c>
      <c r="L55" s="3347"/>
      <c r="M55" s="2313">
        <f ca="1">D59</f>
        <v>130</v>
      </c>
      <c r="N55" s="1882" t="str">
        <f>E59</f>
        <v>差额计税</v>
      </c>
      <c r="O55" s="2314">
        <f>F59</f>
        <v>0.01</v>
      </c>
    </row>
    <row r="56" spans="1:35" ht="25.2">
      <c r="A56" s="3407" t="s">
        <v>1363</v>
      </c>
      <c r="B56" s="3385"/>
      <c r="C56" s="3385"/>
      <c r="D56" s="12">
        <f ca="1">IF(H56="个人住宅",D57,D58)</f>
        <v>7735</v>
      </c>
      <c r="E56" s="1254" t="s">
        <v>1364</v>
      </c>
      <c r="F56" s="2338" t="str">
        <f>IF(H56="正常",F58,"免征")</f>
        <v>免征</v>
      </c>
      <c r="G56" s="2341" t="s">
        <v>1365</v>
      </c>
      <c r="H56" s="2342"/>
      <c r="I56" s="1668"/>
      <c r="J56" s="2308" t="str">
        <f>IF(项目基本情况!K6="上海银行",IF(J55="",4,J55+1),"")</f>
        <v/>
      </c>
      <c r="K56" s="3328" t="str">
        <f>IF(项目基本情况!K6="上海银行","其他处置费用","")</f>
        <v/>
      </c>
      <c r="L56" s="3329"/>
      <c r="M56" s="2310" t="str">
        <f>IF(项目基本情况!K6="上海银行",M69,"")</f>
        <v/>
      </c>
      <c r="N56" s="3328" t="str">
        <f>IF(项目基本情况!K6="上海银行","包含处置中涉及的律师、诉讼、拍卖、评估等费用","")</f>
        <v/>
      </c>
      <c r="O56" s="3331"/>
    </row>
    <row r="57" spans="1:35" ht="13.2">
      <c r="A57" s="2152" t="s">
        <v>1341</v>
      </c>
      <c r="B57" s="3371" t="s">
        <v>1366</v>
      </c>
      <c r="C57" s="3372"/>
      <c r="D57" s="1476">
        <v>0</v>
      </c>
      <c r="E57" s="316" t="s">
        <v>1343</v>
      </c>
      <c r="F57" s="294"/>
      <c r="G57" s="2339"/>
      <c r="H57" s="2343"/>
      <c r="I57" s="1668"/>
      <c r="J57" s="3347">
        <f>IF(AND(J55="",J56=""),4,IF(项目基本情况!K6="上海银行",结果表!J56+1,结果表!J55+1))</f>
        <v>5</v>
      </c>
      <c r="K57" s="3347" t="s">
        <v>1367</v>
      </c>
      <c r="L57" s="2315" t="s">
        <v>1368</v>
      </c>
      <c r="M57" s="2316"/>
      <c r="N57" s="2317">
        <f ca="1">SUMIF(M52:M56,"&lt;9e307")</f>
        <v>7872</v>
      </c>
      <c r="O57" s="2318"/>
      <c r="P57" s="2463">
        <f ca="1">N57/M49</f>
        <v>0.57695690413368517</v>
      </c>
    </row>
    <row r="58" spans="1:35" ht="25.2">
      <c r="A58" s="2152" t="s">
        <v>1352</v>
      </c>
      <c r="B58" s="3371" t="s">
        <v>1369</v>
      </c>
      <c r="C58" s="3370"/>
      <c r="D58" s="12">
        <f ca="1">IF(H58="转让取得",C81,C97)</f>
        <v>7735</v>
      </c>
      <c r="E58" s="1254" t="s">
        <v>1364</v>
      </c>
      <c r="F58" s="294" t="s">
        <v>28</v>
      </c>
      <c r="G58" s="2339"/>
      <c r="H58" s="2342"/>
      <c r="I58" s="1668"/>
      <c r="J58" s="3347"/>
      <c r="K58" s="3347"/>
      <c r="L58" s="2315" t="s">
        <v>1370</v>
      </c>
      <c r="M58" s="2319"/>
      <c r="N58" s="2320" t="str">
        <f ca="1">NUMBERSTRING(INT(N57*10000),2)&amp;"元整"</f>
        <v>柒仟捌佰柒拾贰万元整</v>
      </c>
      <c r="O58" s="2321"/>
    </row>
    <row r="59" spans="1:35" ht="24.6" thickBot="1">
      <c r="A59" s="3351" t="s">
        <v>1371</v>
      </c>
      <c r="B59" s="3352"/>
      <c r="C59" s="3352"/>
      <c r="D59" s="2344">
        <f ca="1">IF(H59="非个人房产","——",IF(H59="个人住宅（满五唯一有凭证）",0,IF(H59="个人其他（无凭证）",ROUND(D45*F59,0),ROUND(C67*F59,0))))</f>
        <v>130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2133</v>
      </c>
      <c r="J59" s="3349">
        <f>J57+1</f>
        <v>6</v>
      </c>
      <c r="K59" s="3347" t="s">
        <v>1372</v>
      </c>
      <c r="L59" s="2308" t="s">
        <v>1368</v>
      </c>
      <c r="M59" s="2322"/>
      <c r="N59" s="2323">
        <f ca="1">M49-N57</f>
        <v>5772</v>
      </c>
      <c r="O59" s="2324"/>
    </row>
    <row r="60" spans="1:35" ht="12" customHeight="1">
      <c r="A60" s="1669"/>
      <c r="B60" s="646"/>
      <c r="C60" s="646"/>
      <c r="D60" s="646"/>
      <c r="E60" s="1464"/>
      <c r="F60" s="1668"/>
      <c r="G60" s="1668"/>
      <c r="H60" s="151"/>
      <c r="I60" s="121"/>
      <c r="J60" s="3350"/>
      <c r="K60" s="3347"/>
      <c r="L60" s="2315" t="s">
        <v>1370</v>
      </c>
      <c r="M60" s="2319"/>
      <c r="N60" s="2320" t="str">
        <f ca="1">NUMBERSTRING(INT(N59*10000),2)&amp;"元整"</f>
        <v>伍仟柒佰柒拾贰万元整</v>
      </c>
      <c r="O60" s="2321"/>
    </row>
    <row r="61" spans="1:35" ht="13.8" thickBot="1">
      <c r="A61" s="3406" t="s">
        <v>1373</v>
      </c>
      <c r="B61" s="3406"/>
      <c r="C61" s="3406"/>
      <c r="D61" s="3406"/>
      <c r="E61" s="3406"/>
      <c r="F61" s="1668"/>
      <c r="G61" s="1668"/>
      <c r="H61" s="151"/>
      <c r="I61" s="121"/>
      <c r="J61" s="2308">
        <f>J59+1</f>
        <v>7</v>
      </c>
      <c r="K61" s="3347" t="s">
        <v>1374</v>
      </c>
      <c r="L61" s="3347"/>
      <c r="M61" s="2325"/>
      <c r="N61" s="2326">
        <f ca="1">ROUND(N59*10000/'数据-汇总表'!E3,0)</f>
        <v>2881</v>
      </c>
      <c r="O61" s="2327"/>
    </row>
    <row r="62" spans="1:35" ht="13.2">
      <c r="A62" s="3366" t="s">
        <v>1375</v>
      </c>
      <c r="B62" s="3367"/>
      <c r="C62" s="1864"/>
      <c r="D62" s="1864" t="s">
        <v>1376</v>
      </c>
      <c r="E62" s="158" t="s">
        <v>1377</v>
      </c>
      <c r="F62" s="1668"/>
      <c r="G62" s="1668"/>
      <c r="H62" s="151"/>
      <c r="I62" s="121"/>
    </row>
    <row r="63" spans="1:35" ht="13.2">
      <c r="A63" s="165" t="s">
        <v>330</v>
      </c>
      <c r="B63" s="159" t="s">
        <v>1378</v>
      </c>
      <c r="C63" s="2348">
        <f ca="1">ROUND((C64+C65)/(1+'数据-取费表'!C42),0)</f>
        <v>12994</v>
      </c>
      <c r="D63" s="159"/>
      <c r="E63" s="160"/>
      <c r="F63" s="1668"/>
      <c r="G63" s="1668"/>
      <c r="H63" s="151"/>
      <c r="I63" s="121"/>
      <c r="J63" s="3330" t="s">
        <v>1379</v>
      </c>
      <c r="K63" s="1243" t="s">
        <v>1380</v>
      </c>
      <c r="L63" s="1243">
        <f ca="1">IF(M49&gt;10000,M49*0.5%,IF(AND(M49&gt;1000,M49&lt;=10000),M49*1%,IF(AND(M49&gt;100,M49&lt;=1000),M49*3%,IF(AND(M49&gt;10,M49&lt;=100),M49*5%,M49*8%))))</f>
        <v>68.22</v>
      </c>
      <c r="M63" s="294">
        <f ca="1">ROUND(L63,1)</f>
        <v>68.2</v>
      </c>
      <c r="N63" s="2328"/>
      <c r="Z63" s="1621"/>
      <c r="AI63" s="1559"/>
    </row>
    <row r="64" spans="1:35" ht="14.25" customHeight="1">
      <c r="A64" s="161" t="s">
        <v>325</v>
      </c>
      <c r="B64" s="162" t="s">
        <v>1381</v>
      </c>
      <c r="C64" s="2349">
        <f ca="1">D45</f>
        <v>13644</v>
      </c>
      <c r="D64" s="162" t="s">
        <v>26</v>
      </c>
      <c r="E64" s="164"/>
      <c r="F64" s="1668"/>
      <c r="G64" s="1668"/>
      <c r="H64" s="151"/>
      <c r="I64" s="121"/>
      <c r="J64" s="3330"/>
      <c r="K64" s="1243" t="s">
        <v>1382</v>
      </c>
      <c r="L64" s="1243">
        <f ca="1">IF(M49&gt;2000,M49*0.5%,IF(AND(M49&gt;1000,M49&lt;=2000),M49*0.6%,IF(AND(M49&gt;500,M49&lt;=1000),M49*0.7%,IF(AND(M49&gt;200,M49&lt;=500),M49*0.8%,IF(AND(M49&gt;100,M49&lt;=200),M49*0.9%,IF(AND(M49&gt;50,M49&lt;=100),M49*1%,IF(AND(M49&gt;20,M49&lt;=50),M49*1.5%,IF(AND(M49&gt;10,M49&lt;=20),M49*2%,IF(AND(M49&gt;1,M49&lt;=10),M49*2.5%)))))))))</f>
        <v>68.22</v>
      </c>
      <c r="M64" s="294">
        <f t="shared" ref="M64:M65" ca="1" si="1">ROUND(L64,1)</f>
        <v>68.2</v>
      </c>
      <c r="N64" s="2329" t="s">
        <v>1383</v>
      </c>
      <c r="Z64" s="1621"/>
      <c r="AI64" s="1559"/>
    </row>
    <row r="65" spans="1:35" ht="14.25" customHeight="1">
      <c r="A65" s="161" t="s">
        <v>326</v>
      </c>
      <c r="B65" s="162" t="s">
        <v>1384</v>
      </c>
      <c r="C65" s="2350"/>
      <c r="D65" s="162"/>
      <c r="E65" s="164"/>
      <c r="F65" s="1668"/>
      <c r="G65" s="1668"/>
      <c r="H65" s="151"/>
      <c r="I65" s="121"/>
      <c r="J65" s="3330"/>
      <c r="K65" s="1243" t="s">
        <v>1385</v>
      </c>
      <c r="L65" s="1243">
        <f ca="1">IF(M49&gt;1000,M49*0.1%,IF(AND(M49&gt;500,M49&lt;=1000),M49*0.5%,IF(AND(M49&gt;50,M49&lt;=500),M49*1%,IF(AND(M49&gt;1,M49&lt;=50),M49*1.5%))))</f>
        <v>13.644</v>
      </c>
      <c r="M65" s="294">
        <f t="shared" ca="1" si="1"/>
        <v>13.6</v>
      </c>
      <c r="N65" s="2329" t="s">
        <v>1383</v>
      </c>
      <c r="Z65" s="1621"/>
      <c r="AI65" s="1559"/>
    </row>
    <row r="66" spans="1:35" ht="14.25" customHeight="1">
      <c r="A66" s="165" t="s">
        <v>327</v>
      </c>
      <c r="B66" s="166" t="s">
        <v>1386</v>
      </c>
      <c r="C66" s="2351"/>
      <c r="D66" s="166" t="s">
        <v>26</v>
      </c>
      <c r="E66" s="1249" t="s">
        <v>671</v>
      </c>
      <c r="F66" s="1668"/>
      <c r="G66" s="1668"/>
      <c r="H66" s="151"/>
      <c r="I66" s="121"/>
      <c r="J66" s="3330"/>
      <c r="K66" s="1243" t="s">
        <v>1387</v>
      </c>
      <c r="L66" s="1243">
        <f ca="1">M49*0.5%</f>
        <v>68.22</v>
      </c>
      <c r="M66" s="294">
        <f ca="1">IF(L66&gt;0.5,0.5,ROUND(L66,0))</f>
        <v>0.5</v>
      </c>
      <c r="N66" s="2329" t="s">
        <v>1388</v>
      </c>
      <c r="Z66" s="1621"/>
      <c r="AI66" s="1559"/>
    </row>
    <row r="67" spans="1:35" ht="14.25" customHeight="1">
      <c r="A67" s="165" t="s">
        <v>328</v>
      </c>
      <c r="B67" s="166" t="s">
        <v>1389</v>
      </c>
      <c r="C67" s="2352">
        <f ca="1">C63-C66</f>
        <v>12994</v>
      </c>
      <c r="D67" s="162" t="s">
        <v>26</v>
      </c>
      <c r="E67" s="164"/>
      <c r="F67" s="1668"/>
      <c r="G67" s="1668"/>
      <c r="H67" s="151"/>
      <c r="I67" s="121"/>
      <c r="J67" s="3330"/>
      <c r="K67" s="1243" t="s">
        <v>1390</v>
      </c>
      <c r="L67" s="1243">
        <f ca="1">IF(M49&gt;=10000,(8.25+(M49-10000)*0.01%),IF(AND(M49&gt;=8000,M49&lt;10000),(7.85+(M49-8000)*0.02%),IF(AND(M49&gt;=5000,M49&lt;8000),(6.65+(M49-5000)*0.04%),IF(AND(M49&gt;=2000,M49&lt;5000),(4.25+(PM49-2000)*0.08%),IF(AND(M49&gt;=1000,M49&lt;2000),(2.75+(M49-1000)*0.15%),IF(AND(M49&gt;=100,M49&lt;1000),(0.5+(M49-100)*0.25%),IF(AND(M49&gt;0,M49&lt;100),M49*0.5%)))))))</f>
        <v>8.6143999999999998</v>
      </c>
      <c r="M67" s="294">
        <f ca="1">ROUND(L67*0.9,1)</f>
        <v>7.8</v>
      </c>
      <c r="N67" s="2328"/>
      <c r="Z67" s="1621"/>
      <c r="AI67" s="1559"/>
    </row>
    <row r="68" spans="1:35" ht="14.25" customHeight="1" thickBot="1">
      <c r="A68" s="168" t="s">
        <v>329</v>
      </c>
      <c r="B68" s="169" t="s">
        <v>1391</v>
      </c>
      <c r="C68" s="2353">
        <f ca="1">IF(C67&lt;=0,0,ROUND(C67*D68,0))</f>
        <v>715</v>
      </c>
      <c r="D68" s="2354">
        <f>'数据-取费表'!B41</f>
        <v>5.5000000000000007E-2</v>
      </c>
      <c r="E68" s="170"/>
      <c r="F68" s="1668"/>
      <c r="G68" s="1668"/>
      <c r="H68" s="151"/>
      <c r="I68" s="121"/>
      <c r="J68" s="3330"/>
      <c r="K68" s="1243" t="s">
        <v>1392</v>
      </c>
      <c r="L68" s="1243">
        <f ca="1">IF(M49&gt;10000,M49*0.5%,IF(AND(M49&gt;5000,M49&lt;=10000),M49*1%,IF(AND(M49&gt;1000,M49&lt;=5000),M49*2%,IF(AND(M49&gt;200,M49&lt;=1000),M49*3%,M49*5%))))</f>
        <v>68.22</v>
      </c>
      <c r="M68" s="294">
        <f ca="1">ROUND(L68,1)</f>
        <v>68.2</v>
      </c>
      <c r="N68" s="2328"/>
      <c r="Z68" s="1621"/>
      <c r="AI68" s="1559"/>
    </row>
    <row r="69" spans="1:35" ht="16.5" customHeight="1">
      <c r="A69" s="1670"/>
      <c r="B69" s="1671"/>
      <c r="C69" s="1672"/>
      <c r="D69" s="1673"/>
      <c r="E69" s="1674"/>
      <c r="F69" s="1464"/>
      <c r="G69" s="1464"/>
      <c r="H69" s="1465"/>
      <c r="I69" s="646"/>
      <c r="J69" s="3330"/>
      <c r="K69" s="1243" t="s">
        <v>1393</v>
      </c>
      <c r="L69" s="1243"/>
      <c r="M69" s="294">
        <f ca="1">ROUND(SUM(M63:M68),0)</f>
        <v>227</v>
      </c>
      <c r="N69" s="2330">
        <f ca="1">M69/M49</f>
        <v>1.6637349750806215E-2</v>
      </c>
      <c r="Z69" s="1621"/>
      <c r="AI69" s="1559"/>
    </row>
    <row r="70" spans="1:35" s="642" customFormat="1" ht="14.4" thickBot="1">
      <c r="A70" s="3374" t="s">
        <v>1394</v>
      </c>
      <c r="B70" s="3375"/>
      <c r="C70" s="3375"/>
      <c r="D70" s="3375"/>
      <c r="E70" s="3375"/>
      <c r="F70" s="3375"/>
      <c r="G70" s="3375"/>
      <c r="H70" s="3375"/>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66" t="s">
        <v>1375</v>
      </c>
      <c r="B71" s="3367"/>
      <c r="C71" s="1864"/>
      <c r="D71" s="1864"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2">
        <f ca="1">ROUND(D45/(1+'数据-取费表'!C42),0)</f>
        <v>12994</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2">
        <f ca="1">C74+C78</f>
        <v>65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8">
        <v>0.05</v>
      </c>
      <c r="E76" s="3371" t="s">
        <v>1402</v>
      </c>
      <c r="F76" s="3370"/>
      <c r="G76" s="3370"/>
      <c r="H76" s="337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0"/>
      <c r="H77" s="2150"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60">
        <f ca="1">ROUND(D45*D78/(1+'数据-取费表'!C42),0)</f>
        <v>65</v>
      </c>
      <c r="D78" s="2361">
        <f>'数据-取费表'!B43</f>
        <v>5.000000000000001E-3</v>
      </c>
      <c r="E78" s="3363" t="s">
        <v>1406</v>
      </c>
      <c r="F78" s="3364"/>
      <c r="G78" s="3364"/>
      <c r="H78" s="336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2">
        <f ca="1">C72-C73</f>
        <v>12929</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2">
        <f ca="1">IF(C79&lt;=0,0,C79/C73)</f>
        <v>198.90769230769232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3">
        <f ca="1">ROUND(IF(C79&lt;=0,0,IF(C80&gt;=200%,C79*60%-C73*35%,IF(C80&gt;=100%,C79*50%-C73*15%,IF(C80&gt;=50%,C79*40%-C73*5%,IF(C80&lt;50%,C79*30%,0))))),0)</f>
        <v>7735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74" t="s">
        <v>1410</v>
      </c>
      <c r="B83" s="3375"/>
      <c r="C83" s="3375"/>
      <c r="D83" s="3375"/>
      <c r="E83" s="3375"/>
      <c r="F83" s="3375"/>
      <c r="G83" s="3375"/>
      <c r="H83" s="337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66" t="s">
        <v>1375</v>
      </c>
      <c r="B84" s="3367"/>
      <c r="C84" s="1864"/>
      <c r="D84" s="1864"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2">
        <f ca="1">ROUND(D45/(1+'数据-取费表'!C42),0)</f>
        <v>12994</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2">
        <f ca="1">IF(H88="仅含出让金",C87+C90+C91+C92+C93+C94,C87+C91+C92+C93+C94)</f>
        <v>65</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60">
        <f>C88+C89</f>
        <v>0</v>
      </c>
      <c r="D87" s="2361"/>
      <c r="E87" s="2146"/>
      <c r="F87" s="2147"/>
      <c r="G87" s="2147"/>
      <c r="H87" s="2148"/>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6"/>
      <c r="D88" s="2361"/>
      <c r="E88" s="185" t="s">
        <v>1413</v>
      </c>
      <c r="F88" s="2147"/>
      <c r="G88" s="186" t="s">
        <v>1414</v>
      </c>
      <c r="H88" s="1682"/>
      <c r="I88" s="1679"/>
      <c r="J88" s="2306"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60">
        <f>ROUND(C88*D89,0)</f>
        <v>0</v>
      </c>
      <c r="D89" s="2361">
        <f>'数据-取费表'!B48+'数据-取费表'!B49</f>
        <v>3.0499999999999999E-2</v>
      </c>
      <c r="E89" s="185" t="s">
        <v>1415</v>
      </c>
      <c r="F89" s="2147"/>
      <c r="G89" s="2147"/>
      <c r="H89" s="2148"/>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6"/>
      <c r="D90" s="2361"/>
      <c r="E90" s="185" t="str">
        <f>IF(H88="-","土地取得成本中已包含该笔费用"," ")</f>
        <v xml:space="preserve"> </v>
      </c>
      <c r="F90" s="2147"/>
      <c r="G90" s="3332" t="s">
        <v>2125</v>
      </c>
      <c r="H90" s="3333"/>
      <c r="I90" s="1679"/>
      <c r="J90" s="2306"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60">
        <f>IF(H91="——",成本法!C33,I91)</f>
        <v>0</v>
      </c>
      <c r="D91" s="2361"/>
      <c r="E91" s="3363" t="s">
        <v>1419</v>
      </c>
      <c r="F91" s="3364"/>
      <c r="G91" s="336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60">
        <f>ROUND((C87+C90+C91)*D92,0)</f>
        <v>0</v>
      </c>
      <c r="D92" s="2367"/>
      <c r="E92" s="3363" t="s">
        <v>1422</v>
      </c>
      <c r="F92" s="3364"/>
      <c r="G92" s="3364"/>
      <c r="H92" s="3365"/>
      <c r="I92" s="1679"/>
      <c r="J92" s="2307"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60">
        <f ca="1">ROUND(D45*D93/(1+'数据-取费表'!C42),0)</f>
        <v>65</v>
      </c>
      <c r="D93" s="2361">
        <f>'数据-取费表'!B43</f>
        <v>5.000000000000001E-3</v>
      </c>
      <c r="E93" s="3363" t="s">
        <v>1406</v>
      </c>
      <c r="F93" s="3364"/>
      <c r="G93" s="3364"/>
      <c r="H93" s="336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6">
        <f>ROUND((C87+C90+C91)*D94,0)</f>
        <v>0</v>
      </c>
      <c r="D94" s="2361">
        <v>0.2</v>
      </c>
      <c r="E94" s="3408" t="s">
        <v>1426</v>
      </c>
      <c r="F94" s="3409"/>
      <c r="G94" s="3409"/>
      <c r="H94" s="341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2">
        <f ca="1">ROUND(C85-C86,0)</f>
        <v>12929</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2">
        <f ca="1">IF(C95&lt;=0,0,C95/C86)</f>
        <v>198.90769230769232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3">
        <f ca="1">ROUND(IF(C95&lt;=0,0,IF(C96&gt;=200%,C95*60%-C86*35%,IF(C96&gt;=100%,C95*50%-C86*15%,IF(C96&gt;=50%,C95*40%-C86*5%,IF(C96&lt;50%,C95*30%,0))))),0)</f>
        <v>7735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95" t="s">
        <v>1428</v>
      </c>
      <c r="B100" s="3296"/>
      <c r="C100" s="3296"/>
      <c r="D100" s="3348"/>
      <c r="E100" s="3296" t="s">
        <v>1429</v>
      </c>
      <c r="F100" s="3296"/>
      <c r="G100" s="3296"/>
      <c r="H100" s="3348"/>
      <c r="I100" s="121"/>
    </row>
    <row r="101" spans="1:35" ht="18.75" customHeight="1">
      <c r="A101" s="3356" t="s">
        <v>1430</v>
      </c>
      <c r="B101" s="3357"/>
      <c r="C101" s="2369" t="str">
        <f>C4</f>
        <v>成本法</v>
      </c>
      <c r="D101" s="2370" t="str">
        <f>D4</f>
        <v>收益法（汇总）</v>
      </c>
      <c r="E101" s="3326" t="s">
        <v>1431</v>
      </c>
      <c r="F101" s="3327"/>
      <c r="G101" s="1685" t="s">
        <v>1432</v>
      </c>
      <c r="H101" s="2379">
        <f ca="1">H118</f>
        <v>13644</v>
      </c>
      <c r="I101" s="121"/>
    </row>
    <row r="102" spans="1:35" ht="18.75" customHeight="1">
      <c r="A102" s="3358" t="s">
        <v>1433</v>
      </c>
      <c r="B102" s="2368" t="s">
        <v>1432</v>
      </c>
      <c r="C102" s="2369">
        <f ca="1">IF(D32="楼面单价",ROUND(C19,0),C19)</f>
        <v>10416</v>
      </c>
      <c r="D102" s="2370">
        <f ca="1">IF(D32="楼面单价",ROUND(D19,0),D19)</f>
        <v>15796</v>
      </c>
      <c r="E102" s="3326"/>
      <c r="F102" s="3327"/>
      <c r="G102" s="1685" t="s">
        <v>1434</v>
      </c>
      <c r="H102" s="2339">
        <f ca="1">I118</f>
        <v>6810</v>
      </c>
      <c r="I102" s="121"/>
    </row>
    <row r="103" spans="1:35" ht="42.75" customHeight="1">
      <c r="A103" s="3358"/>
      <c r="B103" s="2368" t="s">
        <v>1434</v>
      </c>
      <c r="C103" s="2371">
        <f ca="1">C20</f>
        <v>5199</v>
      </c>
      <c r="D103" s="2372">
        <f ca="1">D20</f>
        <v>7885</v>
      </c>
      <c r="E103" s="3319" t="s">
        <v>1435</v>
      </c>
      <c r="F103" s="3320"/>
      <c r="G103" s="1686" t="s">
        <v>1436</v>
      </c>
      <c r="H103" s="2379">
        <f>IF(D36="正常操作",H104+H105+H106,H105+H106)</f>
        <v>0</v>
      </c>
      <c r="I103" s="121"/>
    </row>
    <row r="104" spans="1:35" ht="18.75" customHeight="1">
      <c r="A104" s="3358" t="s">
        <v>1437</v>
      </c>
      <c r="B104" s="2373" t="s">
        <v>1432</v>
      </c>
      <c r="C104" s="2374">
        <f ca="1">H118</f>
        <v>13644</v>
      </c>
      <c r="D104" s="2375"/>
      <c r="E104" s="1553" t="s">
        <v>1438</v>
      </c>
      <c r="F104" s="1546"/>
      <c r="G104" s="1686" t="s">
        <v>1436</v>
      </c>
      <c r="H104" s="2380">
        <f>IF(D36="同一抵押权人同一抵押物续贷",C36&amp;"（续贷，未扣减，详见特别提示）",C36)</f>
        <v>0</v>
      </c>
      <c r="I104" s="121"/>
    </row>
    <row r="105" spans="1:35" ht="18.75" customHeight="1" thickBot="1">
      <c r="A105" s="3368"/>
      <c r="B105" s="2376" t="s">
        <v>1434</v>
      </c>
      <c r="C105" s="2377">
        <f ca="1">I118</f>
        <v>6810</v>
      </c>
      <c r="D105" s="2378"/>
      <c r="E105" s="1553" t="s">
        <v>1439</v>
      </c>
      <c r="F105" s="1546"/>
      <c r="G105" s="1686" t="s">
        <v>1436</v>
      </c>
      <c r="H105" s="2381">
        <f>C37</f>
        <v>0</v>
      </c>
      <c r="I105" s="121"/>
    </row>
    <row r="106" spans="1:35" ht="18.75" customHeight="1">
      <c r="A106" s="646" t="s">
        <v>1440</v>
      </c>
      <c r="B106" s="646"/>
      <c r="C106" s="646"/>
      <c r="D106" s="646"/>
      <c r="E106" s="1687" t="s">
        <v>1441</v>
      </c>
      <c r="F106" s="1546"/>
      <c r="G106" s="1686" t="s">
        <v>1436</v>
      </c>
      <c r="H106" s="2381">
        <f>C38</f>
        <v>0</v>
      </c>
      <c r="I106" s="121"/>
    </row>
    <row r="107" spans="1:35" ht="18.75" customHeight="1">
      <c r="A107" s="121"/>
      <c r="B107" s="121"/>
      <c r="C107" s="121"/>
      <c r="D107" s="121"/>
      <c r="E107" s="3359" t="str">
        <f>IF(项目基本情况!E8="已注销","——","3.房地产抵押价值")</f>
        <v>3.房地产抵押价值</v>
      </c>
      <c r="F107" s="3327"/>
      <c r="G107" s="1685" t="s">
        <v>1432</v>
      </c>
      <c r="H107" s="2379">
        <f ca="1">IF(E107="——","——",H101-H103)</f>
        <v>13644</v>
      </c>
      <c r="I107" s="121"/>
    </row>
    <row r="108" spans="1:35" ht="18.75" customHeight="1">
      <c r="A108" s="121"/>
      <c r="B108" s="121"/>
      <c r="C108" s="121"/>
      <c r="D108" s="121"/>
      <c r="E108" s="3359"/>
      <c r="F108" s="3327"/>
      <c r="G108" s="1685" t="s">
        <v>1434</v>
      </c>
      <c r="H108" s="2339">
        <f ca="1">IF(H107=H101,H102,ROUND(H107*10000/'数据-汇总表'!E3,0))</f>
        <v>6810</v>
      </c>
      <c r="I108" s="121"/>
    </row>
    <row r="109" spans="1:35" ht="18.75" customHeight="1">
      <c r="A109" s="121"/>
      <c r="B109" s="121"/>
      <c r="C109" s="121"/>
      <c r="D109" s="121"/>
      <c r="E109" s="3359" t="str">
        <f>IF(项目基本情况!E8="已注销及未注销","4.抵押担保权已注销时的房地产抵押价值",IF(项目基本情况!E8="已注销","3.抵押担保权已注销时的房地产抵押价值","——"))</f>
        <v>——</v>
      </c>
      <c r="F109" s="3327"/>
      <c r="G109" s="1685" t="s">
        <v>1432</v>
      </c>
      <c r="H109" s="2382" t="str">
        <f>IF(E109="——","——",H101-H105-H106)</f>
        <v>——</v>
      </c>
      <c r="I109" s="121"/>
    </row>
    <row r="110" spans="1:35" ht="18.75" customHeight="1">
      <c r="A110" s="121"/>
      <c r="B110" s="121"/>
      <c r="C110" s="121"/>
      <c r="D110" s="121"/>
      <c r="E110" s="3359"/>
      <c r="F110" s="3327"/>
      <c r="G110" s="1685" t="s">
        <v>1434</v>
      </c>
      <c r="H110" s="2339" t="str">
        <f>IF(H109="——","——",ROUND(H109*10000/'数据-汇总表'!E3,0))</f>
        <v>——</v>
      </c>
      <c r="I110" s="121"/>
    </row>
    <row r="111" spans="1:35" ht="18.75" customHeight="1">
      <c r="A111" s="121"/>
      <c r="B111" s="121"/>
      <c r="C111" s="121"/>
      <c r="D111" s="121"/>
      <c r="E111" s="3360" t="str">
        <f>IF(项目基本情况!E9="抵押净值",IF(OR(项目基本情况!E8="已注销",项目基本情况!E8="房地产抵押价值"),"4.抵押净值","5.抵押净值"),"——")</f>
        <v>——</v>
      </c>
      <c r="F111" s="3346"/>
      <c r="G111" s="1685" t="s">
        <v>1432</v>
      </c>
      <c r="H111" s="2379" t="str">
        <f>IF(E111="——","——",N59)</f>
        <v>——</v>
      </c>
      <c r="I111" s="121"/>
    </row>
    <row r="112" spans="1:35" ht="18.75" customHeight="1" thickBot="1">
      <c r="A112" s="121"/>
      <c r="B112" s="121"/>
      <c r="C112" s="121"/>
      <c r="D112" s="121"/>
      <c r="E112" s="3361"/>
      <c r="F112" s="3362"/>
      <c r="G112" s="1688" t="s">
        <v>1434</v>
      </c>
      <c r="H112" s="2383" t="str">
        <f>IF(E111="——","——",N61)</f>
        <v>——</v>
      </c>
      <c r="I112" s="121"/>
    </row>
    <row r="113" spans="1:27" ht="18.75" customHeight="1">
      <c r="A113" s="121"/>
      <c r="B113" s="121"/>
      <c r="C113" s="121"/>
      <c r="D113" s="121"/>
      <c r="E113" s="3369" t="s">
        <v>1440</v>
      </c>
      <c r="F113" s="3369"/>
      <c r="G113" s="3369"/>
      <c r="H113" s="3369"/>
      <c r="I113" s="121"/>
    </row>
    <row r="114" spans="1:27" ht="3.75" customHeight="1">
      <c r="A114" s="646"/>
      <c r="B114" s="646"/>
      <c r="C114" s="646"/>
      <c r="D114" s="646"/>
      <c r="E114" s="1669"/>
      <c r="F114" s="1669"/>
      <c r="G114" s="1669"/>
      <c r="H114" s="1669"/>
      <c r="I114" s="646"/>
    </row>
    <row r="115" spans="1:27" ht="18.75" customHeight="1">
      <c r="A115" s="3377" t="s">
        <v>1442</v>
      </c>
      <c r="B115" s="3378"/>
      <c r="C115" s="3378"/>
      <c r="D115" s="3378"/>
      <c r="E115" s="3378"/>
      <c r="F115" s="3378"/>
      <c r="G115" s="3378"/>
      <c r="H115" s="3378"/>
      <c r="I115" s="3379"/>
    </row>
    <row r="116" spans="1:27" ht="27" customHeight="1">
      <c r="A116" s="3334" t="s">
        <v>1443</v>
      </c>
      <c r="B116" s="3338" t="s">
        <v>3801</v>
      </c>
      <c r="C116" s="3338" t="s">
        <v>3802</v>
      </c>
      <c r="D116" s="3344" t="s">
        <v>1444</v>
      </c>
      <c r="E116" s="3345"/>
      <c r="F116" s="3376" t="s">
        <v>3803</v>
      </c>
      <c r="G116" s="3376"/>
      <c r="H116" s="3334" t="s">
        <v>1445</v>
      </c>
      <c r="I116" s="3334"/>
    </row>
    <row r="117" spans="1:27" ht="18.75" customHeight="1">
      <c r="A117" s="3334"/>
      <c r="B117" s="3339"/>
      <c r="C117" s="3339"/>
      <c r="D117" s="2149" t="s">
        <v>1446</v>
      </c>
      <c r="E117" s="2149" t="s">
        <v>1447</v>
      </c>
      <c r="F117" s="2149" t="s">
        <v>1446</v>
      </c>
      <c r="G117" s="2149" t="s">
        <v>1448</v>
      </c>
      <c r="H117" s="2149" t="s">
        <v>1446</v>
      </c>
      <c r="I117" s="2149" t="s">
        <v>1448</v>
      </c>
    </row>
    <row r="118" spans="1:27" ht="24.75" customHeight="1">
      <c r="A118" s="2384" t="str">
        <f>项目基本情况!S2</f>
        <v>北京市房地产</v>
      </c>
      <c r="B118" s="2149">
        <f>M18</f>
        <v>20034.16</v>
      </c>
      <c r="C118" s="2149">
        <f>M19</f>
        <v>15530.82</v>
      </c>
      <c r="D118" s="2149">
        <f ca="1">ROUND(IF(D32="总价",C34,E118*B118/10000),0)</f>
        <v>5730</v>
      </c>
      <c r="E118" s="2149">
        <f ca="1">ROUND(IF(C33="自定义",IF(D32="楼面单价",C34,D118*10000/B118),I118-G118),0)</f>
        <v>2860</v>
      </c>
      <c r="F118" s="2149">
        <f ca="1">ROUND(IF(D32="总价",C35,G118*B118/10000),0)</f>
        <v>7914</v>
      </c>
      <c r="G118" s="2149">
        <f ca="1">ROUND(IF(D32="楼面单价",C35,F118*10000/B118),0)</f>
        <v>3950</v>
      </c>
      <c r="H118" s="2149">
        <f ca="1">ROUND(IF(D32="总价",C32,I118*B118/10000),0)</f>
        <v>13644</v>
      </c>
      <c r="I118" s="2149">
        <f ca="1">ROUND(IF(D32="楼面单价",C32,H118*10000/B118),0)</f>
        <v>6810</v>
      </c>
    </row>
    <row r="119" spans="1:27" ht="18.75" customHeight="1">
      <c r="A119" s="3334" t="s">
        <v>1449</v>
      </c>
      <c r="B119" s="3334"/>
      <c r="C119" s="3334"/>
      <c r="D119" s="3340" t="str">
        <f ca="1">NUMBERSTRING(INT(D118*10000),2)&amp;"元整"</f>
        <v>伍仟柒佰叁拾万元整</v>
      </c>
      <c r="E119" s="3341"/>
      <c r="F119" s="3340" t="str">
        <f ca="1">NUMBERSTRING(INT(F118*10000),2)&amp;"元整"</f>
        <v>柒仟玖佰壹拾肆万元整</v>
      </c>
      <c r="G119" s="3341"/>
      <c r="H119" s="3340" t="str">
        <f ca="1">NUMBERSTRING(INT(H118*10000),2)&amp;"元整"</f>
        <v>壹亿叁仟陆佰肆拾肆万元整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40" t="s">
        <v>1449</v>
      </c>
      <c r="B121" s="3342"/>
      <c r="C121" s="3341"/>
      <c r="D121" s="3340" t="str">
        <f>IF(D120=0,"零元整",NUMBERSTRING(INT(D120*10000),2)&amp;"元整")</f>
        <v>零元整</v>
      </c>
      <c r="E121" s="3342"/>
      <c r="F121" s="3342"/>
      <c r="G121" s="3342"/>
      <c r="H121" s="3342"/>
      <c r="I121" s="3341"/>
      <c r="AA121" s="684"/>
    </row>
    <row r="122" spans="1:27" ht="18.75" customHeight="1">
      <c r="A122" s="3346" t="str">
        <f>IF(项目基本情况!B9="房地产市场价值","",MID(E107,3,LEN(E107)-2))</f>
        <v>房地产抵押价值</v>
      </c>
      <c r="B122" s="3346"/>
      <c r="C122" s="3346"/>
      <c r="D122" s="3335">
        <f ca="1">H107</f>
        <v>13644</v>
      </c>
      <c r="E122" s="3336"/>
      <c r="F122" s="3336"/>
      <c r="G122" s="3336"/>
      <c r="H122" s="3336"/>
      <c r="I122" s="3337"/>
      <c r="AA122" s="684"/>
    </row>
    <row r="123" spans="1:27" ht="18.75" customHeight="1">
      <c r="A123" s="3334" t="s">
        <v>1449</v>
      </c>
      <c r="B123" s="3334"/>
      <c r="C123" s="3334"/>
      <c r="D123" s="3340" t="str">
        <f ca="1">NUMBERSTRING(INT(D122*10000),2)&amp;"元整"</f>
        <v>壹亿叁仟陆佰肆拾肆万元整</v>
      </c>
      <c r="E123" s="3342"/>
      <c r="F123" s="3342"/>
      <c r="G123" s="3342"/>
      <c r="H123" s="3342"/>
      <c r="I123" s="3341"/>
      <c r="AA123" s="684"/>
    </row>
    <row r="124" spans="1:27" ht="18.75" customHeight="1">
      <c r="A124" s="3346" t="str">
        <f>IF(项目基本情况!B9="房地产市场价值","",MID(E109,3,LEN(E109)-2))</f>
        <v/>
      </c>
      <c r="B124" s="3346"/>
      <c r="C124" s="3346"/>
      <c r="D124" s="3335" t="str">
        <f>H109</f>
        <v>——</v>
      </c>
      <c r="E124" s="3336"/>
      <c r="F124" s="3336"/>
      <c r="G124" s="3336"/>
      <c r="H124" s="3336"/>
      <c r="I124" s="3337"/>
      <c r="AA124" s="684"/>
    </row>
    <row r="125" spans="1:27" ht="18.75" customHeight="1">
      <c r="A125" s="3334" t="s">
        <v>1449</v>
      </c>
      <c r="B125" s="3334"/>
      <c r="C125" s="3334"/>
      <c r="D125" s="3340" t="e">
        <f>NUMBERSTRING(INT(D124*10000),2)&amp;"元整"</f>
        <v>#VALUE!</v>
      </c>
      <c r="E125" s="3342"/>
      <c r="F125" s="3342"/>
      <c r="G125" s="3342"/>
      <c r="H125" s="3342"/>
      <c r="I125" s="3341"/>
      <c r="AA125" s="684"/>
    </row>
    <row r="126" spans="1:27" ht="18.75" customHeight="1">
      <c r="A126" s="3346" t="str">
        <f>IF(项目基本情况!B9="房地产市场价值","",MID(E111,3,LEN(E111)-2))</f>
        <v/>
      </c>
      <c r="B126" s="3346"/>
      <c r="C126" s="3346"/>
      <c r="D126" s="3335" t="str">
        <f>H111</f>
        <v>——</v>
      </c>
      <c r="E126" s="3336"/>
      <c r="F126" s="3336"/>
      <c r="G126" s="3336"/>
      <c r="H126" s="3336"/>
      <c r="I126" s="3337"/>
      <c r="AA126" s="684"/>
    </row>
    <row r="127" spans="1:27" ht="18.75" customHeight="1">
      <c r="A127" s="3334" t="s">
        <v>1449</v>
      </c>
      <c r="B127" s="3334"/>
      <c r="C127" s="3334"/>
      <c r="D127" s="3340" t="e">
        <f>NUMBERSTRING(INT(D126*10000),2)&amp;"元整"</f>
        <v>#VALUE!</v>
      </c>
      <c r="E127" s="3342"/>
      <c r="F127" s="3342"/>
      <c r="G127" s="3342"/>
      <c r="H127" s="3342"/>
      <c r="I127" s="3341"/>
      <c r="AA127" s="684"/>
    </row>
    <row r="128" spans="1:27" ht="21.75" customHeight="1">
      <c r="A128" s="3343" t="s">
        <v>1450</v>
      </c>
      <c r="B128" s="3343"/>
      <c r="C128" s="3343"/>
      <c r="D128" s="3343"/>
      <c r="E128" s="3343"/>
      <c r="F128" s="3343"/>
      <c r="G128" s="3343"/>
      <c r="H128" s="3343"/>
      <c r="I128" s="3343"/>
      <c r="AA128" s="684"/>
    </row>
    <row r="129" spans="1:35" ht="21.75" customHeight="1">
      <c r="A129" s="1689" t="s">
        <v>1451</v>
      </c>
      <c r="B129" s="1690"/>
      <c r="C129" s="1691" t="s">
        <v>1452</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1453</v>
      </c>
      <c r="G135" s="1704"/>
      <c r="H135" s="1704"/>
      <c r="I135" s="1705" t="s">
        <v>1454</v>
      </c>
    </row>
    <row r="136" spans="1:35" ht="21.75" customHeight="1">
      <c r="A136" s="684"/>
      <c r="B136" s="1706"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1456</v>
      </c>
    </row>
    <row r="139" spans="1:35" ht="21.75" customHeight="1">
      <c r="A139" s="684"/>
      <c r="B139" s="1706" t="s">
        <v>1457</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1456</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D7">
    <cfRule type="cellIs" dxfId="160" priority="10" stopIfTrue="1" operator="equal">
      <formula>25</formula>
    </cfRule>
  </conditionalFormatting>
  <conditionalFormatting sqref="C8:D13">
    <cfRule type="cellIs" dxfId="159" priority="8" stopIfTrue="1" operator="equal">
      <formula>15</formula>
    </cfRule>
  </conditionalFormatting>
  <conditionalFormatting sqref="C14:D16">
    <cfRule type="cellIs" dxfId="158" priority="6" stopIfTrue="1" operator="equal">
      <formula>30</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28" zoomScaleNormal="70" zoomScaleSheetLayoutView="100" workbookViewId="0">
      <selection activeCell="D37" sqref="D3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1458</v>
      </c>
      <c r="B1" s="1372"/>
      <c r="C1" s="190"/>
      <c r="D1" s="190"/>
      <c r="E1" s="190"/>
      <c r="F1" s="190"/>
      <c r="G1" s="1061">
        <f>MATCH(B1,'数据-取费表'!A6:A16,0)+5</f>
        <v>9</v>
      </c>
    </row>
    <row r="2" spans="1:9" s="192" customFormat="1" ht="18" customHeight="1">
      <c r="A2" s="193" t="s">
        <v>1459</v>
      </c>
      <c r="B2" s="194">
        <f ca="1">IF(D2="——",C52,C52-E2)</f>
        <v>10416</v>
      </c>
      <c r="C2" s="191" t="s">
        <v>1460</v>
      </c>
      <c r="D2" s="1709" t="s">
        <v>43</v>
      </c>
      <c r="E2" s="1088" t="e">
        <f ca="1">SUMIF(INDIRECT("'"&amp;G2&amp;"'"&amp;"!A:A"),"承租人权益价值",INDIRECT("'"&amp;G2&amp;"'"&amp;"!c:c"))</f>
        <v>#REF!</v>
      </c>
      <c r="F2" s="1710" t="s">
        <v>1460</v>
      </c>
      <c r="G2" s="1711"/>
    </row>
    <row r="3" spans="1:9" s="192" customFormat="1" ht="18" customHeight="1" thickBot="1">
      <c r="A3" s="195" t="s">
        <v>1461</v>
      </c>
      <c r="B3" s="196">
        <f ca="1">ROUND(B2*10000/(IF(B1="",'数据-汇总表'!E3,INDIRECT("'数据-取费表'!k"&amp;$G$1))),0)</f>
        <v>5199</v>
      </c>
      <c r="C3" s="191" t="s">
        <v>1462</v>
      </c>
      <c r="D3" s="191"/>
      <c r="E3" s="191"/>
      <c r="F3" s="191"/>
      <c r="G3" s="191"/>
    </row>
    <row r="4" spans="1:9" s="200" customFormat="1" ht="16.2">
      <c r="A4" s="197" t="s">
        <v>1463</v>
      </c>
      <c r="B4" s="198"/>
      <c r="C4" s="198"/>
      <c r="D4" s="198"/>
      <c r="E4" s="198"/>
      <c r="F4" s="198"/>
      <c r="G4" s="199"/>
    </row>
    <row r="5" spans="1:9" s="206" customFormat="1" ht="13.5" customHeight="1">
      <c r="A5" s="247" t="s">
        <v>1464</v>
      </c>
      <c r="B5" s="202" t="s">
        <v>1465</v>
      </c>
      <c r="C5" s="203">
        <f ca="1">C6+C7+C8</f>
        <v>3542</v>
      </c>
      <c r="D5" s="203" t="s">
        <v>1466</v>
      </c>
      <c r="E5" s="204" t="s">
        <v>1467</v>
      </c>
      <c r="F5" s="204" t="s">
        <v>1468</v>
      </c>
      <c r="G5" s="205"/>
    </row>
    <row r="6" spans="1:9" s="206" customFormat="1" ht="13.5" customHeight="1">
      <c r="A6" s="731" t="s">
        <v>1469</v>
      </c>
      <c r="B6" s="207" t="s">
        <v>1470</v>
      </c>
      <c r="C6" s="208">
        <f>'土地比较法-工业'!F61</f>
        <v>3048</v>
      </c>
      <c r="D6" s="209"/>
      <c r="E6" s="210"/>
      <c r="F6" s="210"/>
      <c r="G6" s="211"/>
    </row>
    <row r="7" spans="1:9" s="206" customFormat="1" ht="13.5" customHeight="1">
      <c r="A7" s="731" t="s">
        <v>1471</v>
      </c>
      <c r="B7" s="207" t="s">
        <v>1472</v>
      </c>
      <c r="C7" s="212">
        <f>ROUND(C6*F7,0)</f>
        <v>93</v>
      </c>
      <c r="D7" s="212"/>
      <c r="E7" s="210"/>
      <c r="F7" s="213">
        <f>IF(项目基本情况!B8="出让",0,'数据-取费表'!B48+'数据-取费表'!B49)</f>
        <v>3.0499999999999999E-2</v>
      </c>
      <c r="G7" s="211"/>
    </row>
    <row r="8" spans="1:9" s="215" customFormat="1">
      <c r="A8" s="731" t="s">
        <v>1473</v>
      </c>
      <c r="B8" s="207" t="s">
        <v>1474</v>
      </c>
      <c r="C8" s="212">
        <f ca="1">IF(G8="已包含在土地购买价格中","0",IF(B1="",'数据-取费表'!B29,IF(G9="全部缴纳",C9+C10,H9)))</f>
        <v>401</v>
      </c>
      <c r="D8" s="214"/>
      <c r="E8" s="212"/>
      <c r="F8" s="213"/>
      <c r="G8" s="1712" t="s">
        <v>3793</v>
      </c>
    </row>
    <row r="9" spans="1:9" s="206" customFormat="1" ht="13.5" customHeight="1">
      <c r="A9" s="732" t="s">
        <v>355</v>
      </c>
      <c r="B9" s="216" t="s">
        <v>1475</v>
      </c>
      <c r="C9" s="217">
        <f ca="1">ROUND(D9*E9/10000,0)</f>
        <v>0</v>
      </c>
      <c r="D9" s="794">
        <f ca="1">IF(B1="",'数据-汇总表'!E5,IF(INDIRECT("'数据-取费表'!c"&amp;$G$1)="住宅",INDIRECT("'数据-取费表'!k"&amp;$G$1),0))</f>
        <v>0</v>
      </c>
      <c r="E9" s="217">
        <f>'数据-取费表'!B27</f>
        <v>160</v>
      </c>
      <c r="F9" s="213"/>
      <c r="G9" s="1713" t="s">
        <v>3794</v>
      </c>
      <c r="H9" s="1069"/>
      <c r="I9" s="1714" t="s">
        <v>1476</v>
      </c>
    </row>
    <row r="10" spans="1:9" s="206" customFormat="1" ht="13.5" customHeight="1">
      <c r="A10" s="732" t="s">
        <v>356</v>
      </c>
      <c r="B10" s="216" t="s">
        <v>1477</v>
      </c>
      <c r="C10" s="217">
        <f ca="1">ROUND(D10*E10/10000,0)</f>
        <v>401</v>
      </c>
      <c r="D10" s="794">
        <f ca="1">IF(B1="",'数据-汇总表'!E6,IF(INDIRECT("'数据-取费表'!c"&amp;$G$1)="住宅",INDIRECT("'数据-取费表'!s"&amp;$G$1),INDIRECT("'数据-取费表'!k"&amp;$G$1)+INDIRECT("'数据-取费表'!s"&amp;$G$1)))</f>
        <v>20034.16</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t="str">
        <f>IF(G19="已包含在土地取得成本中","0",ROUND(D19*E19/10000,0))</f>
        <v>0</v>
      </c>
      <c r="D19" s="204">
        <f ca="1">D9+D10</f>
        <v>20034.16</v>
      </c>
      <c r="E19" s="203">
        <f>'数据-取费表'!B31</f>
        <v>200</v>
      </c>
      <c r="F19" s="223"/>
      <c r="G19" s="1712" t="s">
        <v>3795</v>
      </c>
    </row>
    <row r="20" spans="1:7" s="206" customFormat="1" ht="13.5" customHeight="1">
      <c r="A20" s="247" t="s">
        <v>1490</v>
      </c>
      <c r="B20" s="202" t="s">
        <v>1491</v>
      </c>
      <c r="C20" s="224">
        <f ca="1">ROUND((C5+C19)*F20,0)</f>
        <v>71</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40">
        <f ca="1">ROUND(SUM(C23:C25),0)</f>
        <v>187</v>
      </c>
      <c r="D22" s="227">
        <f ca="1">C26</f>
        <v>5.0000000000000001E-4</v>
      </c>
      <c r="E22" s="228" t="s">
        <v>1495</v>
      </c>
      <c r="F22" s="229">
        <f ca="1">'数据-取费表'!B40</f>
        <v>3.4500000000000003E-2</v>
      </c>
      <c r="G22" s="226" t="str">
        <f>IF('数据-取费表'!B22&lt;=1,"单利计息","复利计息")</f>
        <v>复利计息</v>
      </c>
    </row>
    <row r="23" spans="1:7" s="206" customFormat="1" ht="13.5" customHeight="1">
      <c r="A23" s="733" t="s">
        <v>1499</v>
      </c>
      <c r="B23" s="207" t="s">
        <v>1500</v>
      </c>
      <c r="C23" s="1041">
        <f ca="1">ROUND(IF('数据-取费表'!B22&lt;=1,C5*F22*'数据-取费表'!B23,C5*(POWER((1+F22),'数据-取费表'!B23)-1)),0)</f>
        <v>185</v>
      </c>
      <c r="D23" s="230"/>
      <c r="E23" s="230"/>
      <c r="F23" s="231"/>
      <c r="G23" s="232" t="s">
        <v>1501</v>
      </c>
    </row>
    <row r="24" spans="1:7" s="206" customFormat="1" ht="13.5" customHeight="1">
      <c r="A24" s="733" t="s">
        <v>1502</v>
      </c>
      <c r="B24" s="207" t="s">
        <v>1503</v>
      </c>
      <c r="C24" s="1041">
        <f ca="1">ROUND(IF('数据-取费表'!B22&lt;=1,C19*F22*('数据-取费表'!B19/2+'数据-取费表'!B21),C19*(POWER((1+F22),('数据-取费表'!B19/2+'数据-取费表'!B21))-1)),0)</f>
        <v>0</v>
      </c>
      <c r="D24" s="230"/>
      <c r="E24" s="230"/>
      <c r="F24" s="231"/>
      <c r="G24" s="232" t="s">
        <v>1504</v>
      </c>
    </row>
    <row r="25" spans="1:7" s="206" customFormat="1" ht="24">
      <c r="A25" s="733" t="s">
        <v>1505</v>
      </c>
      <c r="B25" s="207" t="s">
        <v>1506</v>
      </c>
      <c r="C25" s="1041">
        <f ca="1">ROUND(IF('数据-取费表'!B22&lt;=1,C20*F22*'数据-取费表'!B23/2,C20*(POWER((1+F22),'数据-取费表'!B23/2)-1)),0)</f>
        <v>2</v>
      </c>
      <c r="D25" s="230"/>
      <c r="E25" s="233"/>
      <c r="F25" s="231"/>
      <c r="G25" s="234" t="s">
        <v>1507</v>
      </c>
    </row>
    <row r="26" spans="1:7" s="206" customFormat="1">
      <c r="A26" s="733" t="s">
        <v>350</v>
      </c>
      <c r="B26" s="207" t="s">
        <v>1508</v>
      </c>
      <c r="C26" s="230">
        <f ca="1">ROUND(IF('数据-取费表'!B22&lt;=1,F21*F22*'数据-取费表'!B23/2,F21*(POWER((1+F22),'数据-取费表'!B23/2)-1)),4)</f>
        <v>5.0000000000000001E-4</v>
      </c>
      <c r="D26" s="230"/>
      <c r="E26" s="233"/>
      <c r="F26" s="231"/>
      <c r="G26" s="235"/>
    </row>
    <row r="27" spans="1:7" s="206" customFormat="1" ht="26.4">
      <c r="A27" s="247" t="s">
        <v>1509</v>
      </c>
      <c r="B27" s="236" t="s">
        <v>1510</v>
      </c>
      <c r="C27" s="237">
        <f ca="1">C28</f>
        <v>253</v>
      </c>
      <c r="D27" s="227">
        <f ca="1">C29</f>
        <v>1.4E-3</v>
      </c>
      <c r="E27" s="228" t="s">
        <v>1511</v>
      </c>
      <c r="F27" s="238">
        <f ca="1">IF(B1="",'数据-取费表'!Q16,INDIRECT("'数据-取费表'!q"&amp;$G$1))</f>
        <v>7.0000000000000007E-2</v>
      </c>
      <c r="G27" s="239" t="s">
        <v>1512</v>
      </c>
    </row>
    <row r="28" spans="1:7" s="206" customFormat="1" ht="13.5" customHeight="1">
      <c r="A28" s="733" t="s">
        <v>346</v>
      </c>
      <c r="B28" s="240" t="s">
        <v>1513</v>
      </c>
      <c r="C28" s="241">
        <f ca="1">ROUND((C5+C19+C20)*F27*'数据-取费表'!B21/'数据-取费表'!B20,0)</f>
        <v>253</v>
      </c>
      <c r="D28" s="227"/>
      <c r="E28" s="228"/>
      <c r="F28" s="238"/>
      <c r="G28" s="239"/>
    </row>
    <row r="29" spans="1:7" s="206" customFormat="1" ht="13.5" customHeight="1">
      <c r="A29" s="733" t="s">
        <v>347</v>
      </c>
      <c r="B29" s="240" t="s">
        <v>1514</v>
      </c>
      <c r="C29" s="230">
        <f ca="1">ROUND(C21*F27*'数据-取费表'!B21/'数据-取费表'!B20,4)</f>
        <v>1.4E-3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4378</v>
      </c>
      <c r="D31" s="222"/>
      <c r="E31" s="203"/>
      <c r="F31" s="242"/>
      <c r="G31" s="226" t="s">
        <v>1519</v>
      </c>
    </row>
    <row r="32" spans="1:7" s="200" customFormat="1" ht="16.2">
      <c r="A32" s="244" t="s">
        <v>1520</v>
      </c>
      <c r="B32" s="245"/>
      <c r="C32" s="245"/>
      <c r="D32" s="245"/>
      <c r="E32" s="245"/>
      <c r="F32" s="245"/>
      <c r="G32" s="246"/>
    </row>
    <row r="33" spans="1:7" s="206" customFormat="1" ht="13.5" customHeight="1">
      <c r="A33" s="247" t="s">
        <v>337</v>
      </c>
      <c r="B33" s="202" t="s">
        <v>1521</v>
      </c>
      <c r="C33" s="248">
        <f ca="1">SUM(C34:C38)</f>
        <v>6323</v>
      </c>
      <c r="D33" s="224"/>
      <c r="E33" s="204"/>
      <c r="F33" s="233"/>
      <c r="G33" s="226"/>
    </row>
    <row r="34" spans="1:7" s="250" customFormat="1" ht="13.5" customHeight="1">
      <c r="A34" s="733" t="s">
        <v>346</v>
      </c>
      <c r="B34" s="207" t="s">
        <v>1522</v>
      </c>
      <c r="C34" s="212">
        <f ca="1">IF(B1="",IF(F34=100%,'数据-取费表'!M16,'数据-取费表'!O16),IF(F34=100%,INDIRECT("'数据-取费表'!m"&amp;$G$1)+INDIRECT("'数据-取费表'!t"&amp;$G$1),INDIRECT("'数据-取费表'!o"&amp;$G$1)+INDIRECT("'数据-取费表'!aq"&amp;$G$1)))</f>
        <v>5587</v>
      </c>
      <c r="D34" s="209"/>
      <c r="E34" s="212"/>
      <c r="F34" s="249">
        <f ca="1">IF('数据-取费表'!B24=0,1,IF(B1="",'数据-取费表'!N16,INDIRECT("'数据-取费表'!n"&amp;$G$1)))</f>
        <v>1</v>
      </c>
      <c r="G34" s="211" t="s">
        <v>1523</v>
      </c>
    </row>
    <row r="35" spans="1:7" ht="13.5" customHeight="1">
      <c r="A35" s="733" t="s">
        <v>351</v>
      </c>
      <c r="B35" s="207" t="s">
        <v>1524</v>
      </c>
      <c r="C35" s="212">
        <f ca="1">ROUND(C34*F35,0)</f>
        <v>223</v>
      </c>
      <c r="D35" s="212"/>
      <c r="E35" s="212"/>
      <c r="F35" s="251">
        <f>'数据-取费表'!B33</f>
        <v>0.04</v>
      </c>
      <c r="G35" s="211" t="s">
        <v>1525</v>
      </c>
    </row>
    <row r="36" spans="1:7" ht="24">
      <c r="A36" s="733"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3" t="s">
        <v>353</v>
      </c>
      <c r="B37" s="207" t="s">
        <v>1528</v>
      </c>
      <c r="C37" s="241">
        <f ca="1">ROUND(E37*D37*F34/10000,0)</f>
        <v>401</v>
      </c>
      <c r="D37" s="209">
        <f ca="1">D19</f>
        <v>20034.16</v>
      </c>
      <c r="E37" s="241">
        <f>'数据-取费表'!B35</f>
        <v>200</v>
      </c>
      <c r="F37" s="251"/>
      <c r="G37" s="253" t="s">
        <v>1529</v>
      </c>
    </row>
    <row r="38" spans="1:7" ht="13.5" customHeight="1">
      <c r="A38" s="733" t="s">
        <v>354</v>
      </c>
      <c r="B38" s="207" t="s">
        <v>1530</v>
      </c>
      <c r="C38" s="212">
        <f ca="1">ROUND(C34*F38,0)</f>
        <v>112</v>
      </c>
      <c r="D38" s="212"/>
      <c r="E38" s="212"/>
      <c r="F38" s="251">
        <f>'数据-取费表'!B36</f>
        <v>0.02</v>
      </c>
      <c r="G38" s="211" t="s">
        <v>1525</v>
      </c>
    </row>
    <row r="39" spans="1:7" s="206" customFormat="1" ht="13.5" customHeight="1">
      <c r="A39" s="247" t="s">
        <v>1531</v>
      </c>
      <c r="B39" s="202" t="s">
        <v>1532</v>
      </c>
      <c r="C39" s="224">
        <f ca="1">ROUND(C33*F20,0)</f>
        <v>126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166</v>
      </c>
      <c r="D41" s="227">
        <f ca="1">C44</f>
        <v>5.0000000000000001E-4</v>
      </c>
      <c r="E41" s="228" t="s">
        <v>1536</v>
      </c>
      <c r="F41" s="229">
        <f ca="1">F22</f>
        <v>3.4500000000000003E-2</v>
      </c>
      <c r="G41" s="226" t="str">
        <f>IF('数据-取费表'!B22&lt;=1,"单利计息","复利计息")</f>
        <v>复利计息</v>
      </c>
    </row>
    <row r="42" spans="1:7" ht="13.5" customHeight="1">
      <c r="A42" s="733" t="s">
        <v>346</v>
      </c>
      <c r="B42" s="207" t="s">
        <v>1540</v>
      </c>
      <c r="C42" s="230">
        <f ca="1">ROUND(IF('数据-取费表'!B22&lt;=1,C33*F22*'数据-取费表'!B21/2,C33*(POWER((1+F22),'数据-取费表'!B21/2)-1)),0)</f>
        <v>163</v>
      </c>
      <c r="D42" s="230"/>
      <c r="E42" s="230"/>
      <c r="F42" s="231"/>
      <c r="G42" s="3413" t="s">
        <v>1541</v>
      </c>
    </row>
    <row r="43" spans="1:7" ht="13.5" customHeight="1">
      <c r="A43" s="733" t="s">
        <v>347</v>
      </c>
      <c r="B43" s="207" t="s">
        <v>1542</v>
      </c>
      <c r="C43" s="230">
        <f ca="1">ROUND(IF('数据-取费表'!B22&lt;=1,C39*F22*'数据-取费表'!B21/2,C39*(POWER((1+F22),'数据-取费表'!B21/2)-1)),0)</f>
        <v>3</v>
      </c>
      <c r="D43" s="230"/>
      <c r="E43" s="230"/>
      <c r="F43" s="231"/>
      <c r="G43" s="3414"/>
    </row>
    <row r="44" spans="1:7" ht="13.5" customHeight="1">
      <c r="A44" s="733" t="s">
        <v>348</v>
      </c>
      <c r="B44" s="207" t="s">
        <v>1543</v>
      </c>
      <c r="C44" s="230">
        <f ca="1">ROUND(IF('数据-取费表'!B22&lt;=1,C40*F22*'数据-取费表'!B21/2,C40*(POWER((1+F22),'数据-取费表'!B21/2)-1)),4)</f>
        <v>5.0000000000000001E-4</v>
      </c>
      <c r="D44" s="230"/>
      <c r="E44" s="230"/>
      <c r="F44" s="231"/>
      <c r="G44" s="3415"/>
    </row>
    <row r="45" spans="1:7" s="206" customFormat="1" ht="13.5" customHeight="1">
      <c r="A45" s="247" t="s">
        <v>1544</v>
      </c>
      <c r="B45" s="236" t="s">
        <v>1510</v>
      </c>
      <c r="C45" s="237">
        <f ca="1">C46</f>
        <v>451</v>
      </c>
      <c r="D45" s="227">
        <f ca="1">C47</f>
        <v>1.4E-3</v>
      </c>
      <c r="E45" s="228" t="s">
        <v>1536</v>
      </c>
      <c r="F45" s="238">
        <f ca="1">F27</f>
        <v>7.0000000000000007E-2</v>
      </c>
      <c r="G45" s="239" t="s">
        <v>1545</v>
      </c>
    </row>
    <row r="46" spans="1:7" s="206" customFormat="1" ht="13.5" customHeight="1">
      <c r="A46" s="733" t="s">
        <v>346</v>
      </c>
      <c r="B46" s="240" t="s">
        <v>1546</v>
      </c>
      <c r="C46" s="241">
        <f ca="1">ROUND((C33+C39)*F27,0)</f>
        <v>451</v>
      </c>
      <c r="D46" s="255"/>
      <c r="E46" s="228"/>
      <c r="F46" s="238"/>
      <c r="G46" s="239"/>
    </row>
    <row r="47" spans="1:7" s="206" customFormat="1" ht="13.5" customHeight="1">
      <c r="A47" s="733" t="s">
        <v>347</v>
      </c>
      <c r="B47" s="240" t="s">
        <v>1547</v>
      </c>
      <c r="C47" s="230">
        <f ca="1">ROUND(C40*F27,4)</f>
        <v>1.4E-3</v>
      </c>
      <c r="D47" s="255"/>
      <c r="E47" s="228"/>
      <c r="F47" s="238"/>
      <c r="G47" s="239"/>
    </row>
    <row r="48" spans="1:7" s="206" customFormat="1" ht="13.5" customHeight="1">
      <c r="A48" s="247" t="s">
        <v>1509</v>
      </c>
      <c r="B48" s="202" t="s">
        <v>1548</v>
      </c>
      <c r="C48" s="227">
        <f>ROUND(F30/(1+'数据-取费表'!C42),4)</f>
        <v>5.2400000000000002E-2</v>
      </c>
      <c r="D48" s="228" t="s">
        <v>1536</v>
      </c>
      <c r="E48" s="224"/>
      <c r="F48" s="229">
        <f>F30</f>
        <v>5.5000000000000007E-2</v>
      </c>
      <c r="G48" s="226" t="s">
        <v>1549</v>
      </c>
    </row>
    <row r="49" spans="1:7" ht="16.5" customHeight="1">
      <c r="A49" s="247" t="s">
        <v>1515</v>
      </c>
      <c r="B49" s="202" t="s">
        <v>1550</v>
      </c>
      <c r="C49" s="224">
        <f ca="1">ROUND((C33+C39+C41+C45)/(1-C40-D41-D45-C48),0)</f>
        <v>7633</v>
      </c>
      <c r="D49" s="224"/>
      <c r="E49" s="224"/>
      <c r="F49" s="256"/>
      <c r="G49" s="226" t="s">
        <v>1551</v>
      </c>
    </row>
    <row r="50" spans="1:7" s="250" customFormat="1" ht="24">
      <c r="A50" s="247" t="s">
        <v>1552</v>
      </c>
      <c r="B50" s="202" t="s">
        <v>1553</v>
      </c>
      <c r="C50" s="224"/>
      <c r="D50" s="224"/>
      <c r="E50" s="224"/>
      <c r="F50" s="256">
        <f>IF('数据-取费表'!B24=0,'数据-取费表'!N16,1)</f>
        <v>0.79100000000000004</v>
      </c>
      <c r="G50" s="239" t="s">
        <v>1554</v>
      </c>
    </row>
    <row r="51" spans="1:7" ht="16.5" customHeight="1">
      <c r="A51" s="247" t="s">
        <v>1555</v>
      </c>
      <c r="B51" s="202" t="s">
        <v>1556</v>
      </c>
      <c r="C51" s="224">
        <f ca="1">ROUND(C49*F50,0)</f>
        <v>6038</v>
      </c>
      <c r="D51" s="224"/>
      <c r="E51" s="224"/>
      <c r="F51" s="256"/>
      <c r="G51" s="226" t="s">
        <v>1557</v>
      </c>
    </row>
    <row r="52" spans="1:7" s="200" customFormat="1" ht="16.8" thickBot="1">
      <c r="A52" s="257" t="s">
        <v>1558</v>
      </c>
      <c r="B52" s="258"/>
      <c r="C52" s="259">
        <f ca="1">C31+C51</f>
        <v>10416</v>
      </c>
      <c r="D52" s="258"/>
      <c r="E52" s="258"/>
      <c r="F52" s="258"/>
      <c r="G52" s="260"/>
    </row>
    <row r="55" spans="1:7" ht="15">
      <c r="B55" s="262" t="s">
        <v>1559</v>
      </c>
      <c r="C55" s="263"/>
    </row>
    <row r="56" spans="1:7">
      <c r="B56" s="265" t="s">
        <v>802</v>
      </c>
      <c r="C56" s="267">
        <f ca="1">1-C57</f>
        <v>0.42000000000000004</v>
      </c>
    </row>
    <row r="57" spans="1:7">
      <c r="B57" s="265" t="s">
        <v>803</v>
      </c>
      <c r="C57" s="266">
        <f ca="1">ROUND(C51/C52,3)</f>
        <v>0.57999999999999996</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E123"/>
  <sheetViews>
    <sheetView view="pageBreakPreview" topLeftCell="A13" zoomScale="90" zoomScaleNormal="60" zoomScaleSheetLayoutView="90" workbookViewId="0">
      <selection activeCell="E51" sqref="E51"/>
    </sheetView>
  </sheetViews>
  <sheetFormatPr defaultColWidth="9" defaultRowHeight="13.8"/>
  <cols>
    <col min="1" max="1" width="14.33203125" style="347" customWidth="1"/>
    <col min="2" max="2" width="15.77734375" style="347" customWidth="1"/>
    <col min="3" max="3" width="18.109375" style="347" customWidth="1"/>
    <col min="4" max="4" width="12.21875" style="347" customWidth="1"/>
    <col min="5" max="5" width="17.77734375" style="347" customWidth="1"/>
    <col min="6" max="6" width="12.21875" style="347" customWidth="1"/>
    <col min="7" max="7" width="17.5546875" style="347" customWidth="1"/>
    <col min="8" max="8" width="12.21875" style="347" customWidth="1"/>
    <col min="9" max="9" width="17.66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f>F61</f>
        <v>3048</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f>ROUND(IF(D3="",B2*10000/'数据-汇总表'!E3,B2*10000/D3),0)</f>
        <v>1521</v>
      </c>
      <c r="C3" s="195" t="s">
        <v>1866</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4.4">
      <c r="A4" s="345" t="s">
        <v>1766</v>
      </c>
      <c r="B4" s="346"/>
      <c r="C4" s="3431" t="s">
        <v>1767</v>
      </c>
      <c r="D4" s="3432"/>
      <c r="E4" s="3433" t="s">
        <v>1768</v>
      </c>
      <c r="F4" s="3434"/>
      <c r="G4" s="3431" t="s">
        <v>1769</v>
      </c>
      <c r="H4" s="3432"/>
      <c r="I4" s="3431" t="s">
        <v>1770</v>
      </c>
      <c r="J4" s="3432"/>
      <c r="K4" s="537" t="s">
        <v>1771</v>
      </c>
      <c r="L4" s="2485"/>
      <c r="M4" s="2486"/>
      <c r="N4" s="2486"/>
      <c r="O4" s="2486"/>
      <c r="P4" s="3435" t="s">
        <v>1772</v>
      </c>
      <c r="Q4" s="3436"/>
      <c r="R4" s="3445" t="s">
        <v>1768</v>
      </c>
      <c r="S4" s="3446"/>
      <c r="T4" s="3445" t="s">
        <v>1769</v>
      </c>
      <c r="U4" s="3446"/>
      <c r="V4" s="3423" t="s">
        <v>1770</v>
      </c>
      <c r="W4" s="3423"/>
      <c r="X4" s="1263"/>
      <c r="Y4" s="3445" t="s">
        <v>1772</v>
      </c>
      <c r="Z4" s="3446"/>
      <c r="AA4" s="3428" t="s">
        <v>1768</v>
      </c>
      <c r="AB4" s="3429" t="s">
        <v>1769</v>
      </c>
      <c r="AC4" s="3428" t="s">
        <v>1770</v>
      </c>
    </row>
    <row r="5" spans="1:29" ht="79.5" customHeight="1">
      <c r="A5" s="348"/>
      <c r="B5" s="349"/>
      <c r="C5" s="3449" t="s">
        <v>1670</v>
      </c>
      <c r="D5" s="3450"/>
      <c r="E5" s="3441" t="str">
        <f>土地案例!A32</f>
        <v>大兴生物医药产业基地DX00-0501-0051-2地块M1工业用地国有建设用地使用权出让公告</v>
      </c>
      <c r="F5" s="3442"/>
      <c r="G5" s="3449" t="str">
        <f>土地案例!A49</f>
        <v>大兴生物医药产业基地DX00-0501-0051-1地块M1一类工业用地国有建设用地使用权出让挂牌文件</v>
      </c>
      <c r="H5" s="3450"/>
      <c r="I5" s="3449" t="str">
        <f>土地案例!A50</f>
        <v>大兴生物医药产业基地DX00-0501-0061地块M1一类工业用地国有建设用地使用权出让挂牌文件</v>
      </c>
      <c r="J5" s="3450"/>
      <c r="K5" s="537"/>
      <c r="L5" s="2485"/>
      <c r="M5" s="2486"/>
      <c r="N5" s="2486"/>
      <c r="O5" s="2486"/>
      <c r="P5" s="3437"/>
      <c r="Q5" s="3438"/>
      <c r="R5" s="3447"/>
      <c r="S5" s="3448"/>
      <c r="T5" s="3447"/>
      <c r="U5" s="3448"/>
      <c r="V5" s="3423"/>
      <c r="W5" s="3423"/>
      <c r="X5" s="1263"/>
      <c r="Y5" s="3447"/>
      <c r="Z5" s="3448"/>
      <c r="AA5" s="3429"/>
      <c r="AB5" s="3429"/>
      <c r="AC5" s="3429"/>
    </row>
    <row r="6" spans="1:29" ht="15" thickBot="1">
      <c r="A6" s="350"/>
      <c r="B6" s="351"/>
      <c r="C6" s="3451" t="s">
        <v>1916</v>
      </c>
      <c r="D6" s="3452"/>
      <c r="E6" s="3454" t="s">
        <v>1916</v>
      </c>
      <c r="F6" s="3455"/>
      <c r="G6" s="3451" t="s">
        <v>1916</v>
      </c>
      <c r="H6" s="3452"/>
      <c r="I6" s="3451" t="s">
        <v>1916</v>
      </c>
      <c r="J6" s="3452"/>
      <c r="K6" s="537" t="s">
        <v>1675</v>
      </c>
      <c r="L6" s="2485"/>
      <c r="M6" s="2486"/>
      <c r="N6" s="2486"/>
      <c r="O6" s="2486"/>
      <c r="P6" s="3439"/>
      <c r="Q6" s="3440"/>
      <c r="R6" s="3447"/>
      <c r="S6" s="3448"/>
      <c r="T6" s="3456"/>
      <c r="U6" s="3457"/>
      <c r="V6" s="3423"/>
      <c r="W6" s="3423"/>
      <c r="X6" s="1263"/>
      <c r="Y6" s="3456"/>
      <c r="Z6" s="3457"/>
      <c r="AA6" s="3430"/>
      <c r="AB6" s="3430"/>
      <c r="AC6" s="3430"/>
    </row>
    <row r="7" spans="1:29" s="102" customFormat="1" ht="15" thickBot="1">
      <c r="A7" s="352" t="s">
        <v>1676</v>
      </c>
      <c r="B7" s="353"/>
      <c r="C7" s="354">
        <f>'数据-取费表'!B2</f>
        <v>45470</v>
      </c>
      <c r="D7" s="355">
        <v>100</v>
      </c>
      <c r="E7" s="356">
        <f>土地案例!O32</f>
        <v>44742.000497685185</v>
      </c>
      <c r="F7" s="357">
        <f>SUMIF(65:65,YEAR(E7)&amp;"-"&amp;INT((MONTH(E7)+2)/3),66:66)</f>
        <v>98.399999999999977</v>
      </c>
      <c r="G7" s="1821">
        <f>土地案例!O49</f>
        <v>44480.000497685185</v>
      </c>
      <c r="H7" s="355">
        <f>SUMIF(65:65,YEAR(G7)&amp;"-"&amp;INT((MONTH(G7)+2)/3),66:66)</f>
        <v>97.999999999999972</v>
      </c>
      <c r="I7" s="1821">
        <f>土地案例!O50</f>
        <v>44480.000497685185</v>
      </c>
      <c r="J7" s="355">
        <f>SUMIF(65:65,YEAR(I7)&amp;"-"&amp;INT((MONTH(I7)+2)/3),66:66)</f>
        <v>97.999999999999972</v>
      </c>
      <c r="K7" s="38"/>
      <c r="L7" s="2487"/>
      <c r="M7" s="2438"/>
      <c r="N7" s="2438"/>
      <c r="O7" s="2438"/>
      <c r="P7" s="3421" t="s">
        <v>1677</v>
      </c>
      <c r="Q7" s="3453"/>
      <c r="R7" s="664" t="s">
        <v>14</v>
      </c>
      <c r="S7" s="665">
        <f t="shared" ref="S7:S15" si="0">F7</f>
        <v>98.399999999999977</v>
      </c>
      <c r="T7" s="664" t="s">
        <v>14</v>
      </c>
      <c r="U7" s="665">
        <f t="shared" ref="U7:U15" si="1">H7</f>
        <v>97.999999999999972</v>
      </c>
      <c r="V7" s="664" t="s">
        <v>14</v>
      </c>
      <c r="W7" s="665">
        <f t="shared" ref="W7:W15" si="2">J7</f>
        <v>97.999999999999972</v>
      </c>
      <c r="X7" s="666"/>
      <c r="Y7" s="3421" t="s">
        <v>1677</v>
      </c>
      <c r="Z7" s="3422"/>
      <c r="AA7" s="50">
        <f>D7/F7</f>
        <v>1.0162601626016263</v>
      </c>
      <c r="AB7" s="50">
        <f>D7/H7</f>
        <v>1.0204081632653064</v>
      </c>
      <c r="AC7" s="50">
        <f>D7/J7</f>
        <v>1.0204081632653064</v>
      </c>
    </row>
    <row r="8" spans="1:29" s="102" customFormat="1" ht="15" thickBot="1">
      <c r="A8" s="352" t="s">
        <v>1678</v>
      </c>
      <c r="B8" s="353"/>
      <c r="C8" s="358" t="s">
        <v>1679</v>
      </c>
      <c r="D8" s="355">
        <v>100</v>
      </c>
      <c r="E8" s="358" t="s">
        <v>3785</v>
      </c>
      <c r="F8" s="357">
        <f>SUMIF(68:68,E8,69:69)-SUMIF(68:68,C8,69:69)+100</f>
        <v>100</v>
      </c>
      <c r="G8" s="358" t="s">
        <v>3785</v>
      </c>
      <c r="H8" s="355">
        <f>SUMIF(68:68,G8,69:69)-SUMIF(68:68,C8,69:69)+100</f>
        <v>100</v>
      </c>
      <c r="I8" s="358" t="s">
        <v>3785</v>
      </c>
      <c r="J8" s="355">
        <f>SUMIF(68:68,I8,69:69)-SUMIF(68:68,C8,69:69)+100</f>
        <v>100</v>
      </c>
      <c r="K8" s="38"/>
      <c r="L8" s="2487"/>
      <c r="M8" s="2438"/>
      <c r="N8" s="2438"/>
      <c r="O8" s="2438"/>
      <c r="P8" s="3421" t="s">
        <v>1680</v>
      </c>
      <c r="Q8" s="3422"/>
      <c r="R8" s="664" t="s">
        <v>14</v>
      </c>
      <c r="S8" s="665">
        <f t="shared" si="0"/>
        <v>100</v>
      </c>
      <c r="T8" s="664" t="s">
        <v>14</v>
      </c>
      <c r="U8" s="665">
        <f t="shared" si="1"/>
        <v>100</v>
      </c>
      <c r="V8" s="664" t="s">
        <v>14</v>
      </c>
      <c r="W8" s="665">
        <f t="shared" si="2"/>
        <v>100</v>
      </c>
      <c r="X8" s="666"/>
      <c r="Y8" s="3421" t="s">
        <v>1680</v>
      </c>
      <c r="Z8" s="3422"/>
      <c r="AA8" s="50">
        <f t="shared" ref="AA8:AA40" si="3">D8/F8</f>
        <v>1</v>
      </c>
      <c r="AB8" s="50">
        <f t="shared" ref="AB8:AB40" si="4">D8/H8</f>
        <v>1</v>
      </c>
      <c r="AC8" s="50">
        <f t="shared" ref="AC8:AC40" si="5">D8/J8</f>
        <v>1</v>
      </c>
    </row>
    <row r="9" spans="1:29" s="102" customFormat="1" ht="14.4">
      <c r="A9" s="359" t="s">
        <v>1681</v>
      </c>
      <c r="B9" s="60" t="s">
        <v>1682</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7"/>
      <c r="M9" s="2438"/>
      <c r="N9" s="2438"/>
      <c r="O9" s="2539"/>
      <c r="P9" s="3419" t="s">
        <v>1683</v>
      </c>
      <c r="Q9" s="530" t="str">
        <f t="shared" ref="Q9:Q15" si="6">B9</f>
        <v>用途</v>
      </c>
      <c r="R9" s="664" t="s">
        <v>14</v>
      </c>
      <c r="S9" s="665">
        <f t="shared" si="0"/>
        <v>100</v>
      </c>
      <c r="T9" s="664" t="s">
        <v>14</v>
      </c>
      <c r="U9" s="665">
        <f t="shared" si="1"/>
        <v>100</v>
      </c>
      <c r="V9" s="664" t="s">
        <v>14</v>
      </c>
      <c r="W9" s="665">
        <f t="shared" si="2"/>
        <v>100</v>
      </c>
      <c r="X9" s="666"/>
      <c r="Y9" s="3389"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371"/>
      <c r="F10" s="119">
        <f>ROUND(100/'数据-取费表'!G16,0)</f>
        <v>116</v>
      </c>
      <c r="G10" s="371"/>
      <c r="H10" s="119">
        <f>ROUND(100/'数据-取费表'!G16,0)</f>
        <v>116</v>
      </c>
      <c r="I10" s="371"/>
      <c r="J10" s="119">
        <f>ROUND(100/'数据-取费表'!G16,0)</f>
        <v>116</v>
      </c>
      <c r="K10" s="592"/>
      <c r="L10" s="2488"/>
      <c r="M10" s="2489"/>
      <c r="N10" s="2489"/>
      <c r="O10" s="2540"/>
      <c r="P10" s="3419"/>
      <c r="Q10" s="530" t="str">
        <f t="shared" si="6"/>
        <v>土地使用年限（年）</v>
      </c>
      <c r="R10" s="664" t="s">
        <v>14</v>
      </c>
      <c r="S10" s="665">
        <f t="shared" si="0"/>
        <v>116</v>
      </c>
      <c r="T10" s="664" t="s">
        <v>14</v>
      </c>
      <c r="U10" s="665">
        <f t="shared" si="1"/>
        <v>116</v>
      </c>
      <c r="V10" s="664" t="s">
        <v>14</v>
      </c>
      <c r="W10" s="665">
        <f t="shared" si="2"/>
        <v>116</v>
      </c>
      <c r="X10" s="666"/>
      <c r="Y10" s="3389"/>
      <c r="Z10" s="50" t="str">
        <f t="shared" si="7"/>
        <v>土地使用年限（年）</v>
      </c>
      <c r="AA10" s="50">
        <f t="shared" si="3"/>
        <v>0.86206896551724133</v>
      </c>
      <c r="AB10" s="50">
        <f t="shared" si="4"/>
        <v>0.86206896551724133</v>
      </c>
      <c r="AC10" s="50">
        <f t="shared" si="5"/>
        <v>0.86206896551724133</v>
      </c>
    </row>
    <row r="11" spans="1:29" ht="15">
      <c r="A11" s="367"/>
      <c r="B11" s="364" t="s">
        <v>1686</v>
      </c>
      <c r="C11" s="368">
        <f>'数据-汇总表'!I4</f>
        <v>1.24</v>
      </c>
      <c r="D11" s="119">
        <v>100</v>
      </c>
      <c r="E11" s="368">
        <v>1</v>
      </c>
      <c r="F11" s="119">
        <f>LOOKUP(E11,75:75,76:76)-LOOKUP(C11,75:75,76:76)+100</f>
        <v>100</v>
      </c>
      <c r="G11" s="369">
        <v>1</v>
      </c>
      <c r="H11" s="119">
        <f>LOOKUP(G11,75:75,76:76)-LOOKUP(C11,75:75,76:76)+100</f>
        <v>100</v>
      </c>
      <c r="I11" s="368">
        <v>1</v>
      </c>
      <c r="J11" s="119">
        <f>LOOKUP(I11,75:75,76:76)-LOOKUP(C11,75:75,76:76)+100</f>
        <v>100</v>
      </c>
      <c r="K11" s="593">
        <v>3</v>
      </c>
      <c r="L11" s="2490"/>
      <c r="M11" s="2486"/>
      <c r="N11" s="2486"/>
      <c r="O11" s="2541"/>
      <c r="P11" s="3419"/>
      <c r="Q11" s="530" t="str">
        <f t="shared" si="6"/>
        <v>容积率</v>
      </c>
      <c r="R11" s="664" t="s">
        <v>14</v>
      </c>
      <c r="S11" s="665">
        <f t="shared" si="0"/>
        <v>100</v>
      </c>
      <c r="T11" s="664" t="s">
        <v>14</v>
      </c>
      <c r="U11" s="665">
        <f t="shared" si="1"/>
        <v>100</v>
      </c>
      <c r="V11" s="664" t="s">
        <v>14</v>
      </c>
      <c r="W11" s="665">
        <f t="shared" si="2"/>
        <v>100</v>
      </c>
      <c r="X11" s="666"/>
      <c r="Y11" s="3389"/>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19"/>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50">
        <f t="shared" si="5"/>
        <v>1</v>
      </c>
    </row>
    <row r="15" spans="1:29" ht="55.2">
      <c r="A15" s="379" t="s">
        <v>1687</v>
      </c>
      <c r="B15" s="554" t="s">
        <v>1917</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v>3</v>
      </c>
      <c r="L15" s="2491"/>
      <c r="M15" s="2486"/>
      <c r="N15" s="2486"/>
      <c r="O15" s="2541"/>
      <c r="P15" s="3424" t="s">
        <v>1688</v>
      </c>
      <c r="Q15" s="1261" t="str">
        <f t="shared" si="6"/>
        <v>产业集聚程度</v>
      </c>
      <c r="R15" s="667" t="s">
        <v>14</v>
      </c>
      <c r="S15" s="668">
        <f t="shared" si="0"/>
        <v>100</v>
      </c>
      <c r="T15" s="667" t="s">
        <v>14</v>
      </c>
      <c r="U15" s="668">
        <f t="shared" si="1"/>
        <v>100</v>
      </c>
      <c r="V15" s="667" t="s">
        <v>14</v>
      </c>
      <c r="W15" s="668">
        <f t="shared" si="2"/>
        <v>100</v>
      </c>
      <c r="X15" s="1263"/>
      <c r="Y15" s="3424" t="s">
        <v>1688</v>
      </c>
      <c r="Z15" s="1262" t="str">
        <f t="shared" si="7"/>
        <v>产业集聚程度</v>
      </c>
      <c r="AA15" s="1262">
        <f t="shared" si="3"/>
        <v>1</v>
      </c>
      <c r="AB15" s="1262">
        <f t="shared" si="4"/>
        <v>1</v>
      </c>
      <c r="AC15" s="1262">
        <f t="shared" si="5"/>
        <v>1</v>
      </c>
    </row>
    <row r="16" spans="1:29" ht="15">
      <c r="A16" s="367"/>
      <c r="B16" s="555"/>
      <c r="C16" s="386" t="s">
        <v>3782</v>
      </c>
      <c r="D16" s="387"/>
      <c r="E16" s="1756" t="s">
        <v>3782</v>
      </c>
      <c r="F16" s="387"/>
      <c r="G16" s="1756" t="s">
        <v>3782</v>
      </c>
      <c r="H16" s="389"/>
      <c r="I16" s="1756" t="s">
        <v>3782</v>
      </c>
      <c r="J16" s="387"/>
      <c r="K16" s="592"/>
      <c r="L16" s="2491"/>
      <c r="M16" s="2486"/>
      <c r="N16" s="2486"/>
      <c r="O16" s="2541"/>
      <c r="P16" s="3425"/>
      <c r="Q16" s="1261"/>
      <c r="R16" s="667"/>
      <c r="S16" s="668"/>
      <c r="T16" s="667"/>
      <c r="U16" s="668"/>
      <c r="V16" s="667"/>
      <c r="W16" s="668"/>
      <c r="X16" s="1263"/>
      <c r="Y16" s="3425"/>
      <c r="Z16" s="1262"/>
      <c r="AA16" s="1262">
        <v>1</v>
      </c>
      <c r="AB16" s="1262">
        <v>1</v>
      </c>
      <c r="AC16" s="1262">
        <v>1</v>
      </c>
    </row>
    <row r="17" spans="1:29" ht="69">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v>2</v>
      </c>
      <c r="L17" s="2491"/>
      <c r="M17" s="2486"/>
      <c r="N17" s="2486"/>
      <c r="O17" s="2541"/>
      <c r="P17" s="3425"/>
      <c r="Q17" s="1261" t="str">
        <f>B17</f>
        <v>交通便捷度</v>
      </c>
      <c r="R17" s="667" t="s">
        <v>14</v>
      </c>
      <c r="S17" s="668">
        <f>F17</f>
        <v>100</v>
      </c>
      <c r="T17" s="667" t="s">
        <v>14</v>
      </c>
      <c r="U17" s="668">
        <f>H17</f>
        <v>100</v>
      </c>
      <c r="V17" s="667" t="s">
        <v>14</v>
      </c>
      <c r="W17" s="668">
        <f>J17</f>
        <v>100</v>
      </c>
      <c r="X17" s="1263"/>
      <c r="Y17" s="3425"/>
      <c r="Z17" s="1262" t="str">
        <f>Q17</f>
        <v>交通便捷度</v>
      </c>
      <c r="AA17" s="1262">
        <f t="shared" si="3"/>
        <v>1</v>
      </c>
      <c r="AB17" s="1262">
        <f t="shared" si="4"/>
        <v>1</v>
      </c>
      <c r="AC17" s="1262">
        <f t="shared" si="5"/>
        <v>1</v>
      </c>
    </row>
    <row r="18" spans="1:29" ht="15">
      <c r="A18" s="367"/>
      <c r="B18" s="401"/>
      <c r="C18" s="3210" t="s">
        <v>3786</v>
      </c>
      <c r="D18" s="387"/>
      <c r="E18" s="1750" t="s">
        <v>3786</v>
      </c>
      <c r="F18" s="387"/>
      <c r="G18" s="1750" t="s">
        <v>3786</v>
      </c>
      <c r="H18" s="387"/>
      <c r="I18" s="1749" t="s">
        <v>3786</v>
      </c>
      <c r="J18" s="387"/>
      <c r="K18" s="592"/>
      <c r="L18" s="2491"/>
      <c r="M18" s="2486"/>
      <c r="N18" s="2486"/>
      <c r="O18" s="2541"/>
      <c r="P18" s="3425"/>
      <c r="Q18" s="1261"/>
      <c r="R18" s="667"/>
      <c r="S18" s="668"/>
      <c r="T18" s="667"/>
      <c r="U18" s="668"/>
      <c r="V18" s="667"/>
      <c r="W18" s="668"/>
      <c r="X18" s="1263"/>
      <c r="Y18" s="3425"/>
      <c r="Z18" s="1262"/>
      <c r="AA18" s="1262">
        <v>1</v>
      </c>
      <c r="AB18" s="1262">
        <v>1</v>
      </c>
      <c r="AC18" s="1262">
        <v>1</v>
      </c>
    </row>
    <row r="19" spans="1:29" ht="28.8">
      <c r="A19" s="367"/>
      <c r="B19" s="556" t="s">
        <v>1868</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91"/>
      <c r="M19" s="2486"/>
      <c r="N19" s="2486"/>
      <c r="O19" s="2541"/>
      <c r="P19" s="3425"/>
      <c r="Q19" s="1261" t="str">
        <f t="shared" ref="Q19:Q33" si="8">B19</f>
        <v>区域土地利用方向</v>
      </c>
      <c r="R19" s="667" t="s">
        <v>14</v>
      </c>
      <c r="S19" s="668">
        <f>F19</f>
        <v>100</v>
      </c>
      <c r="T19" s="667" t="s">
        <v>14</v>
      </c>
      <c r="U19" s="668">
        <f>H19</f>
        <v>100</v>
      </c>
      <c r="V19" s="667" t="s">
        <v>14</v>
      </c>
      <c r="W19" s="668">
        <f>J19</f>
        <v>100</v>
      </c>
      <c r="X19" s="1263"/>
      <c r="Y19" s="3425"/>
      <c r="Z19" s="1262" t="str">
        <f>Q19</f>
        <v>区域土地利用方向</v>
      </c>
      <c r="AA19" s="1262">
        <f t="shared" si="3"/>
        <v>1</v>
      </c>
      <c r="AB19" s="1262">
        <f t="shared" si="4"/>
        <v>1</v>
      </c>
      <c r="AC19" s="1262">
        <f t="shared" si="5"/>
        <v>1</v>
      </c>
    </row>
    <row r="20" spans="1:29" ht="15">
      <c r="A20" s="348"/>
      <c r="B20" s="401"/>
      <c r="C20" s="386" t="s">
        <v>3782</v>
      </c>
      <c r="D20" s="387"/>
      <c r="E20" s="386" t="s">
        <v>3782</v>
      </c>
      <c r="F20" s="387"/>
      <c r="G20" s="386" t="s">
        <v>3782</v>
      </c>
      <c r="H20" s="387"/>
      <c r="I20" s="386" t="s">
        <v>3782</v>
      </c>
      <c r="J20" s="387"/>
      <c r="K20" s="697"/>
      <c r="L20" s="2491"/>
      <c r="M20" s="2486"/>
      <c r="N20" s="2486"/>
      <c r="O20" s="2541"/>
      <c r="P20" s="3425"/>
      <c r="Q20" s="1261"/>
      <c r="R20" s="667"/>
      <c r="S20" s="668"/>
      <c r="T20" s="667"/>
      <c r="U20" s="668"/>
      <c r="V20" s="667"/>
      <c r="W20" s="668"/>
      <c r="X20" s="1263"/>
      <c r="Y20" s="3425"/>
      <c r="Z20" s="1262"/>
      <c r="AA20" s="1262"/>
      <c r="AB20" s="1262"/>
      <c r="AC20" s="1262"/>
    </row>
    <row r="21" spans="1:29" ht="55.2">
      <c r="A21" s="348"/>
      <c r="B21" s="556" t="s">
        <v>1918</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v>3</v>
      </c>
      <c r="L21" s="2491"/>
      <c r="M21" s="2486"/>
      <c r="N21" s="2486"/>
      <c r="O21" s="2541"/>
      <c r="P21" s="3425"/>
      <c r="Q21" s="1261" t="str">
        <f t="shared" si="8"/>
        <v>环境状况</v>
      </c>
      <c r="R21" s="667" t="s">
        <v>14</v>
      </c>
      <c r="S21" s="668">
        <f>F21</f>
        <v>100</v>
      </c>
      <c r="T21" s="667" t="s">
        <v>14</v>
      </c>
      <c r="U21" s="668">
        <f>H21</f>
        <v>100</v>
      </c>
      <c r="V21" s="667" t="s">
        <v>14</v>
      </c>
      <c r="W21" s="668">
        <f>J21</f>
        <v>100</v>
      </c>
      <c r="X21" s="1263"/>
      <c r="Y21" s="3425"/>
      <c r="Z21" s="1262" t="str">
        <f>Q21</f>
        <v>环境状况</v>
      </c>
      <c r="AA21" s="1262">
        <f t="shared" si="3"/>
        <v>1</v>
      </c>
      <c r="AB21" s="1262">
        <f t="shared" si="4"/>
        <v>1</v>
      </c>
      <c r="AC21" s="1262">
        <f t="shared" si="5"/>
        <v>1</v>
      </c>
    </row>
    <row r="22" spans="1:29" ht="15">
      <c r="A22" s="348"/>
      <c r="B22" s="401"/>
      <c r="C22" s="3212" t="s">
        <v>3782</v>
      </c>
      <c r="D22" s="387"/>
      <c r="E22" s="386" t="s">
        <v>3782</v>
      </c>
      <c r="F22" s="387"/>
      <c r="G22" s="386" t="s">
        <v>3782</v>
      </c>
      <c r="H22" s="387"/>
      <c r="I22" s="386" t="s">
        <v>3782</v>
      </c>
      <c r="J22" s="387"/>
      <c r="K22" s="592"/>
      <c r="L22" s="2491"/>
      <c r="M22" s="2486"/>
      <c r="N22" s="2486"/>
      <c r="O22" s="2541"/>
      <c r="P22" s="3425"/>
      <c r="Q22" s="1261"/>
      <c r="R22" s="667"/>
      <c r="S22" s="668"/>
      <c r="T22" s="667"/>
      <c r="U22" s="668"/>
      <c r="V22" s="667"/>
      <c r="W22" s="668"/>
      <c r="X22" s="1263"/>
      <c r="Y22" s="3425"/>
      <c r="Z22" s="1262"/>
      <c r="AA22" s="1262">
        <v>1</v>
      </c>
      <c r="AB22" s="1262">
        <v>1</v>
      </c>
      <c r="AC22" s="1262">
        <v>1</v>
      </c>
    </row>
    <row r="23" spans="1:29" s="102" customFormat="1" ht="41.4">
      <c r="A23" s="443"/>
      <c r="B23" s="557" t="s">
        <v>1775</v>
      </c>
      <c r="C23" s="1752" t="str">
        <f>估价对象房地状况!G19</f>
        <v>估价对象所在区域公共配套设施齐备情况</v>
      </c>
      <c r="D23" s="389">
        <v>100</v>
      </c>
      <c r="E23" s="391"/>
      <c r="F23" s="389">
        <f>SUMIF(91:91,E24,92:92)-SUMIF(91:91,C24,92:92)+100</f>
        <v>98</v>
      </c>
      <c r="G23" s="391"/>
      <c r="H23" s="389">
        <f>SUMIF(91:91,G24,92:92)-SUMIF(91:91,C24,92:92)+100</f>
        <v>98</v>
      </c>
      <c r="I23" s="393"/>
      <c r="J23" s="389">
        <f>SUMIF(91:91,I24,92:92)-SUMIF(91:91,C24,92:92)+100</f>
        <v>98</v>
      </c>
      <c r="K23" s="3211">
        <v>2</v>
      </c>
      <c r="L23" s="2487"/>
      <c r="M23" s="2438"/>
      <c r="N23" s="2438"/>
      <c r="O23" s="2539"/>
      <c r="P23" s="3425"/>
      <c r="Q23" s="530" t="str">
        <f t="shared" si="8"/>
        <v>公共配套设施</v>
      </c>
      <c r="R23" s="664" t="s">
        <v>14</v>
      </c>
      <c r="S23" s="665">
        <f>F23</f>
        <v>98</v>
      </c>
      <c r="T23" s="664" t="s">
        <v>14</v>
      </c>
      <c r="U23" s="665">
        <f>H23</f>
        <v>98</v>
      </c>
      <c r="V23" s="664" t="s">
        <v>14</v>
      </c>
      <c r="W23" s="665">
        <f>J23</f>
        <v>98</v>
      </c>
      <c r="X23" s="666"/>
      <c r="Y23" s="3425"/>
      <c r="Z23" s="50" t="str">
        <f>Q23</f>
        <v>公共配套设施</v>
      </c>
      <c r="AA23" s="1262">
        <f>D23/F23</f>
        <v>1.0204081632653061</v>
      </c>
      <c r="AB23" s="1262">
        <f>D23/H23</f>
        <v>1.0204081632653061</v>
      </c>
      <c r="AC23" s="1262">
        <f>D23/J23</f>
        <v>1.0204081632653061</v>
      </c>
    </row>
    <row r="24" spans="1:29" s="102" customFormat="1" ht="15">
      <c r="A24" s="443"/>
      <c r="B24" s="401"/>
      <c r="C24" s="1825" t="s">
        <v>3782</v>
      </c>
      <c r="D24" s="387"/>
      <c r="E24" s="1756" t="s">
        <v>3786</v>
      </c>
      <c r="F24" s="387"/>
      <c r="G24" s="1756" t="s">
        <v>3786</v>
      </c>
      <c r="H24" s="387"/>
      <c r="I24" s="386" t="s">
        <v>3786</v>
      </c>
      <c r="J24" s="387"/>
      <c r="K24" s="592"/>
      <c r="L24" s="2487"/>
      <c r="M24" s="2438"/>
      <c r="N24" s="2438"/>
      <c r="O24" s="2539"/>
      <c r="P24" s="3425"/>
      <c r="Q24" s="530"/>
      <c r="R24" s="664"/>
      <c r="S24" s="665"/>
      <c r="T24" s="664"/>
      <c r="U24" s="665"/>
      <c r="V24" s="664"/>
      <c r="W24" s="665"/>
      <c r="X24" s="666"/>
      <c r="Y24" s="3425"/>
      <c r="Z24" s="50"/>
      <c r="AA24" s="50">
        <v>1</v>
      </c>
      <c r="AB24" s="50">
        <v>1</v>
      </c>
      <c r="AC24" s="50">
        <v>1</v>
      </c>
    </row>
    <row r="25" spans="1:29" s="102" customFormat="1" ht="27.6">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v>1</v>
      </c>
      <c r="L25" s="2487"/>
      <c r="M25" s="2438"/>
      <c r="N25" s="2438"/>
      <c r="O25" s="2539"/>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2">
        <f>D25/F25</f>
        <v>1</v>
      </c>
      <c r="AB25" s="1262">
        <f>D25/H25</f>
        <v>1</v>
      </c>
      <c r="AC25" s="1262">
        <f>D25/J25</f>
        <v>1</v>
      </c>
    </row>
    <row r="26" spans="1:29" s="102" customFormat="1" ht="15">
      <c r="A26" s="443"/>
      <c r="B26" s="401"/>
      <c r="C26" s="1825" t="s">
        <v>3775</v>
      </c>
      <c r="D26" s="387"/>
      <c r="E26" s="1826" t="s">
        <v>3775</v>
      </c>
      <c r="F26" s="387"/>
      <c r="G26" s="1826" t="s">
        <v>3775</v>
      </c>
      <c r="H26" s="387"/>
      <c r="I26" s="1826" t="s">
        <v>3775</v>
      </c>
      <c r="J26" s="387"/>
      <c r="K26" s="592"/>
      <c r="L26" s="2487"/>
      <c r="M26" s="2438"/>
      <c r="N26" s="2438"/>
      <c r="O26" s="2539"/>
      <c r="P26" s="3425"/>
      <c r="Q26" s="530"/>
      <c r="R26" s="664"/>
      <c r="S26" s="665"/>
      <c r="T26" s="664"/>
      <c r="U26" s="665"/>
      <c r="V26" s="664"/>
      <c r="W26" s="665"/>
      <c r="X26" s="666"/>
      <c r="Y26" s="3425"/>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5"/>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25"/>
      <c r="Z27" s="1262" t="str">
        <f t="shared" ref="Z27:Z40" si="13">Q27</f>
        <v>临街状况</v>
      </c>
      <c r="AA27" s="1262">
        <f t="shared" si="3"/>
        <v>1</v>
      </c>
      <c r="AB27" s="1262">
        <f t="shared" si="4"/>
        <v>1</v>
      </c>
      <c r="AC27" s="1262">
        <f t="shared" si="5"/>
        <v>1</v>
      </c>
    </row>
    <row r="28" spans="1:29" ht="28.8">
      <c r="A28" s="367"/>
      <c r="B28" s="557" t="s">
        <v>1812</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5"/>
      <c r="Q28" s="1261" t="str">
        <f t="shared" si="8"/>
        <v>毗邻道路的类型与等级</v>
      </c>
      <c r="R28" s="667" t="s">
        <v>14</v>
      </c>
      <c r="S28" s="668">
        <f t="shared" si="10"/>
        <v>100</v>
      </c>
      <c r="T28" s="667" t="s">
        <v>14</v>
      </c>
      <c r="U28" s="668">
        <f t="shared" si="11"/>
        <v>100</v>
      </c>
      <c r="V28" s="667" t="s">
        <v>14</v>
      </c>
      <c r="W28" s="668">
        <f t="shared" si="12"/>
        <v>100</v>
      </c>
      <c r="X28" s="1263"/>
      <c r="Y28" s="3425"/>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425"/>
      <c r="Q29" s="1261"/>
      <c r="R29" s="667"/>
      <c r="S29" s="668"/>
      <c r="T29" s="667"/>
      <c r="U29" s="668"/>
      <c r="V29" s="667"/>
      <c r="W29" s="668"/>
      <c r="X29" s="1263"/>
      <c r="Y29" s="3425"/>
      <c r="Z29" s="1262"/>
      <c r="AA29" s="1262">
        <v>1</v>
      </c>
      <c r="AB29" s="1262">
        <v>1</v>
      </c>
      <c r="AC29" s="1262">
        <v>1</v>
      </c>
    </row>
    <row r="30" spans="1:29" ht="15">
      <c r="A30" s="367"/>
      <c r="B30" s="119" t="s">
        <v>1870</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5"/>
      <c r="Q30" s="1261" t="str">
        <f t="shared" si="8"/>
        <v>土地级别</v>
      </c>
      <c r="R30" s="667" t="s">
        <v>14</v>
      </c>
      <c r="S30" s="668">
        <f t="shared" si="10"/>
        <v>100</v>
      </c>
      <c r="T30" s="667" t="s">
        <v>14</v>
      </c>
      <c r="U30" s="668">
        <f t="shared" si="11"/>
        <v>100</v>
      </c>
      <c r="V30" s="667" t="s">
        <v>14</v>
      </c>
      <c r="W30" s="668">
        <f t="shared" si="12"/>
        <v>100</v>
      </c>
      <c r="X30" s="1263"/>
      <c r="Y30" s="3425"/>
      <c r="Z30" s="1262" t="str">
        <f t="shared" si="13"/>
        <v>土地级别</v>
      </c>
      <c r="AA30" s="1262">
        <f t="shared" si="3"/>
        <v>1</v>
      </c>
      <c r="AB30" s="1262">
        <f t="shared" si="4"/>
        <v>1</v>
      </c>
      <c r="AC30" s="1262">
        <f t="shared" si="5"/>
        <v>1</v>
      </c>
    </row>
    <row r="31" spans="1:29" ht="15">
      <c r="A31" s="348"/>
      <c r="B31" s="1814">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5"/>
      <c r="Q31" s="1261">
        <f t="shared" si="8"/>
        <v>111</v>
      </c>
      <c r="R31" s="667" t="s">
        <v>14</v>
      </c>
      <c r="S31" s="668">
        <f t="shared" si="10"/>
        <v>100</v>
      </c>
      <c r="T31" s="667" t="s">
        <v>14</v>
      </c>
      <c r="U31" s="668">
        <f t="shared" si="11"/>
        <v>100</v>
      </c>
      <c r="V31" s="667" t="s">
        <v>14</v>
      </c>
      <c r="W31" s="668">
        <f t="shared" si="12"/>
        <v>100</v>
      </c>
      <c r="X31" s="1263"/>
      <c r="Y31" s="3425"/>
      <c r="Z31" s="1262">
        <f t="shared" si="13"/>
        <v>111</v>
      </c>
      <c r="AA31" s="1262">
        <f t="shared" si="3"/>
        <v>1</v>
      </c>
      <c r="AB31" s="1262">
        <f t="shared" si="4"/>
        <v>1</v>
      </c>
      <c r="AC31" s="1262">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6" t="s">
        <v>1693</v>
      </c>
      <c r="Q32" s="1261">
        <f t="shared" si="8"/>
        <v>111</v>
      </c>
      <c r="R32" s="667" t="s">
        <v>14</v>
      </c>
      <c r="S32" s="668">
        <f t="shared" si="10"/>
        <v>100</v>
      </c>
      <c r="T32" s="667" t="s">
        <v>14</v>
      </c>
      <c r="U32" s="668">
        <f t="shared" si="11"/>
        <v>100</v>
      </c>
      <c r="V32" s="667" t="s">
        <v>14</v>
      </c>
      <c r="W32" s="668">
        <f t="shared" si="12"/>
        <v>100</v>
      </c>
      <c r="X32" s="1263"/>
      <c r="Y32" s="3427" t="s">
        <v>1693</v>
      </c>
      <c r="Z32" s="1262">
        <f t="shared" si="13"/>
        <v>111</v>
      </c>
      <c r="AA32" s="1262">
        <f t="shared" si="3"/>
        <v>1</v>
      </c>
      <c r="AB32" s="1262">
        <f t="shared" si="4"/>
        <v>1</v>
      </c>
      <c r="AC32" s="1262">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7"/>
      <c r="Q33" s="1261">
        <f t="shared" si="8"/>
        <v>111</v>
      </c>
      <c r="R33" s="669" t="s">
        <v>14</v>
      </c>
      <c r="S33" s="670">
        <f t="shared" si="10"/>
        <v>100</v>
      </c>
      <c r="T33" s="669" t="s">
        <v>14</v>
      </c>
      <c r="U33" s="670">
        <f t="shared" si="11"/>
        <v>100</v>
      </c>
      <c r="V33" s="669" t="s">
        <v>14</v>
      </c>
      <c r="W33" s="670">
        <f t="shared" si="12"/>
        <v>100</v>
      </c>
      <c r="X33" s="671"/>
      <c r="Y33" s="3427"/>
      <c r="Z33" s="672">
        <f t="shared" si="13"/>
        <v>111</v>
      </c>
      <c r="AA33" s="1262">
        <f t="shared" si="3"/>
        <v>1</v>
      </c>
      <c r="AB33" s="1262">
        <f t="shared" si="4"/>
        <v>1</v>
      </c>
      <c r="AC33" s="1262">
        <f t="shared" si="5"/>
        <v>1</v>
      </c>
    </row>
    <row r="34" spans="1:31" ht="15">
      <c r="A34" s="379" t="s">
        <v>1691</v>
      </c>
      <c r="B34" s="395" t="s">
        <v>1871</v>
      </c>
      <c r="C34" s="599">
        <f>'数据-基础表'!A3</f>
        <v>15530.82</v>
      </c>
      <c r="D34" s="405">
        <v>100</v>
      </c>
      <c r="E34" s="599">
        <f>土地案例!G32</f>
        <v>20000</v>
      </c>
      <c r="F34" s="405">
        <f>LOOKUP(E34,108:108,109:109)-LOOKUP(C34,108:108,109:109)+100</f>
        <v>100</v>
      </c>
      <c r="G34" s="599">
        <f>土地案例!G49</f>
        <v>23652.31</v>
      </c>
      <c r="H34" s="405">
        <f>LOOKUP(G34,108:108,109:109)-LOOKUP(C34,108:108,109:109)+100</f>
        <v>100</v>
      </c>
      <c r="I34" s="462">
        <f>土地案例!G50</f>
        <v>23170.400000000001</v>
      </c>
      <c r="J34" s="405">
        <f>LOOKUP(I34,108:108,109:109)-LOOKUP(C34,108:108,109:109)+100</f>
        <v>100</v>
      </c>
      <c r="K34" s="539"/>
      <c r="L34" s="2491"/>
      <c r="M34" s="2486"/>
      <c r="N34" s="2486"/>
      <c r="O34" s="2541"/>
      <c r="P34" s="3427"/>
      <c r="Q34" s="1261" t="str">
        <f>B34</f>
        <v>宗地面积</v>
      </c>
      <c r="R34" s="667" t="s">
        <v>14</v>
      </c>
      <c r="S34" s="668">
        <f t="shared" si="10"/>
        <v>100</v>
      </c>
      <c r="T34" s="667" t="s">
        <v>14</v>
      </c>
      <c r="U34" s="668">
        <f t="shared" si="11"/>
        <v>100</v>
      </c>
      <c r="V34" s="667" t="s">
        <v>14</v>
      </c>
      <c r="W34" s="668">
        <f t="shared" si="12"/>
        <v>100</v>
      </c>
      <c r="X34" s="1263"/>
      <c r="Y34" s="3427"/>
      <c r="Z34" s="1262" t="str">
        <f t="shared" si="13"/>
        <v>宗地面积</v>
      </c>
      <c r="AA34" s="1262">
        <f t="shared" si="3"/>
        <v>1</v>
      </c>
      <c r="AB34" s="1262">
        <f t="shared" si="4"/>
        <v>1</v>
      </c>
      <c r="AC34" s="1262">
        <f t="shared" si="5"/>
        <v>1</v>
      </c>
    </row>
    <row r="35" spans="1:31" ht="15">
      <c r="A35" s="409"/>
      <c r="B35" s="364" t="s">
        <v>1872</v>
      </c>
      <c r="C35" s="1758" t="s">
        <v>3780</v>
      </c>
      <c r="D35" s="374">
        <v>100</v>
      </c>
      <c r="E35" s="1758" t="s">
        <v>3780</v>
      </c>
      <c r="F35" s="374">
        <f>SUMIF(110:110,E35,111:111)-SUMIF(110:110,C35,111:111)+100</f>
        <v>100</v>
      </c>
      <c r="G35" s="1758" t="s">
        <v>3780</v>
      </c>
      <c r="H35" s="374">
        <f>SUMIF(110:110,G35,111:111)-SUMIF(110:110,C35,111:111)+100</f>
        <v>100</v>
      </c>
      <c r="I35" s="1758" t="s">
        <v>3780</v>
      </c>
      <c r="J35" s="374">
        <f>SUMIF(110:110,I35,111:111)-SUMIF(110:110,C35,111:111)+100</f>
        <v>100</v>
      </c>
      <c r="K35" s="538">
        <v>1</v>
      </c>
      <c r="L35" s="2491"/>
      <c r="M35" s="2486"/>
      <c r="N35" s="2486"/>
      <c r="O35" s="2541"/>
      <c r="P35" s="3427"/>
      <c r="Q35" s="1261" t="str">
        <f t="shared" ref="Q35:Q40" si="14">B35</f>
        <v>宗地形状</v>
      </c>
      <c r="R35" s="667" t="s">
        <v>14</v>
      </c>
      <c r="S35" s="668">
        <f t="shared" si="10"/>
        <v>100</v>
      </c>
      <c r="T35" s="667" t="s">
        <v>14</v>
      </c>
      <c r="U35" s="668">
        <f t="shared" si="11"/>
        <v>100</v>
      </c>
      <c r="V35" s="667" t="s">
        <v>14</v>
      </c>
      <c r="W35" s="668">
        <f t="shared" si="12"/>
        <v>100</v>
      </c>
      <c r="X35" s="1263"/>
      <c r="Y35" s="3427"/>
      <c r="Z35" s="1262" t="str">
        <f t="shared" si="13"/>
        <v>宗地形状</v>
      </c>
      <c r="AA35" s="1262">
        <f t="shared" si="3"/>
        <v>1</v>
      </c>
      <c r="AB35" s="1262">
        <f t="shared" si="4"/>
        <v>1</v>
      </c>
      <c r="AC35" s="1262">
        <f t="shared" si="5"/>
        <v>1</v>
      </c>
    </row>
    <row r="36" spans="1:31" s="102" customFormat="1" ht="15">
      <c r="A36" s="410"/>
      <c r="B36" s="364" t="s">
        <v>1874</v>
      </c>
      <c r="C36" s="1827" t="s">
        <v>3776</v>
      </c>
      <c r="D36" s="119">
        <v>100</v>
      </c>
      <c r="E36" s="1827" t="s">
        <v>3778</v>
      </c>
      <c r="F36" s="374">
        <f>SUMIF(112:112,E36,113:113)-SUMIF(112:112,C36,113:113)+100</f>
        <v>98</v>
      </c>
      <c r="G36" s="1827" t="s">
        <v>3778</v>
      </c>
      <c r="H36" s="374">
        <f>SUMIF(112:112,G36,113:113)-SUMIF(112:112,C36,113:113)+100</f>
        <v>98</v>
      </c>
      <c r="I36" s="1827" t="s">
        <v>3778</v>
      </c>
      <c r="J36" s="374">
        <f>SUMIF(112:112,I36,113:113)-SUMIF(112:112,C36,113:113)+100</f>
        <v>98</v>
      </c>
      <c r="K36" s="538">
        <v>1</v>
      </c>
      <c r="L36" s="2487"/>
      <c r="M36" s="2438"/>
      <c r="N36" s="2438"/>
      <c r="O36" s="2539"/>
      <c r="P36" s="3427"/>
      <c r="Q36" s="1261" t="str">
        <f t="shared" si="14"/>
        <v>宗地开发程度</v>
      </c>
      <c r="R36" s="664" t="s">
        <v>14</v>
      </c>
      <c r="S36" s="665">
        <f t="shared" si="10"/>
        <v>98</v>
      </c>
      <c r="T36" s="664" t="s">
        <v>14</v>
      </c>
      <c r="U36" s="665">
        <f t="shared" si="11"/>
        <v>98</v>
      </c>
      <c r="V36" s="664" t="s">
        <v>14</v>
      </c>
      <c r="W36" s="665">
        <f t="shared" si="12"/>
        <v>98</v>
      </c>
      <c r="X36" s="666"/>
      <c r="Y36" s="3427"/>
      <c r="Z36" s="50" t="str">
        <f t="shared" si="13"/>
        <v>宗地开发程度</v>
      </c>
      <c r="AA36" s="50">
        <f t="shared" si="3"/>
        <v>1.0204081632653061</v>
      </c>
      <c r="AB36" s="50">
        <f t="shared" si="4"/>
        <v>1.0204081632653061</v>
      </c>
      <c r="AC36" s="50">
        <f t="shared" si="5"/>
        <v>1.0204081632653061</v>
      </c>
    </row>
    <row r="37" spans="1:31" ht="15">
      <c r="A37" s="409"/>
      <c r="B37" s="364" t="s">
        <v>1875</v>
      </c>
      <c r="C37" s="1758" t="s">
        <v>3782</v>
      </c>
      <c r="D37" s="374">
        <v>100</v>
      </c>
      <c r="E37" s="1758" t="s">
        <v>3782</v>
      </c>
      <c r="F37" s="374">
        <f>SUMIF(114:114,E37,115:115)-SUMIF(114:114,C37,115:115)+100</f>
        <v>100</v>
      </c>
      <c r="G37" s="1758" t="s">
        <v>3782</v>
      </c>
      <c r="H37" s="374">
        <f>SUMIF(114:114,G37,115:115)-SUMIF(114:114,C37,115:115)+100</f>
        <v>100</v>
      </c>
      <c r="I37" s="1758" t="s">
        <v>3782</v>
      </c>
      <c r="J37" s="374">
        <f>SUMIF(114:114,I37,115:115)-SUMIF(114:114,C37,115:115)+100</f>
        <v>100</v>
      </c>
      <c r="K37" s="538">
        <v>1</v>
      </c>
      <c r="L37" s="2491"/>
      <c r="M37" s="2486"/>
      <c r="N37" s="2486"/>
      <c r="O37" s="2541"/>
      <c r="P37" s="3427" t="s">
        <v>1693</v>
      </c>
      <c r="Q37" s="1261" t="str">
        <f t="shared" si="14"/>
        <v>工程地质条件</v>
      </c>
      <c r="R37" s="667" t="s">
        <v>14</v>
      </c>
      <c r="S37" s="668">
        <f t="shared" si="10"/>
        <v>100</v>
      </c>
      <c r="T37" s="667" t="s">
        <v>14</v>
      </c>
      <c r="U37" s="668">
        <f t="shared" si="11"/>
        <v>100</v>
      </c>
      <c r="V37" s="667" t="s">
        <v>14</v>
      </c>
      <c r="W37" s="668">
        <f t="shared" si="12"/>
        <v>100</v>
      </c>
      <c r="X37" s="1263"/>
      <c r="Y37" s="3427" t="s">
        <v>1693</v>
      </c>
      <c r="Z37" s="1262" t="str">
        <f t="shared" si="13"/>
        <v>工程地质条件</v>
      </c>
      <c r="AA37" s="1262">
        <f t="shared" si="3"/>
        <v>1</v>
      </c>
      <c r="AB37" s="1262">
        <f t="shared" si="4"/>
        <v>1</v>
      </c>
      <c r="AC37" s="1262">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7"/>
      <c r="Q38" s="1261">
        <f t="shared" si="14"/>
        <v>111</v>
      </c>
      <c r="R38" s="667" t="s">
        <v>14</v>
      </c>
      <c r="S38" s="668">
        <f t="shared" si="10"/>
        <v>100</v>
      </c>
      <c r="T38" s="667" t="s">
        <v>14</v>
      </c>
      <c r="U38" s="668">
        <f t="shared" si="11"/>
        <v>100</v>
      </c>
      <c r="V38" s="667" t="s">
        <v>14</v>
      </c>
      <c r="W38" s="668">
        <f t="shared" si="12"/>
        <v>100</v>
      </c>
      <c r="X38" s="1263"/>
      <c r="Y38" s="3427"/>
      <c r="Z38" s="1262">
        <f t="shared" si="13"/>
        <v>111</v>
      </c>
      <c r="AA38" s="1262">
        <f t="shared" si="3"/>
        <v>1</v>
      </c>
      <c r="AB38" s="1262">
        <f t="shared" si="4"/>
        <v>1</v>
      </c>
      <c r="AC38" s="1262">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7"/>
      <c r="Q39" s="1261">
        <f t="shared" si="14"/>
        <v>111</v>
      </c>
      <c r="R39" s="667" t="s">
        <v>14</v>
      </c>
      <c r="S39" s="668">
        <f t="shared" si="10"/>
        <v>100</v>
      </c>
      <c r="T39" s="667" t="s">
        <v>14</v>
      </c>
      <c r="U39" s="668">
        <f t="shared" si="11"/>
        <v>100</v>
      </c>
      <c r="V39" s="667" t="s">
        <v>14</v>
      </c>
      <c r="W39" s="668">
        <f t="shared" si="12"/>
        <v>100</v>
      </c>
      <c r="X39" s="1263"/>
      <c r="Y39" s="3427"/>
      <c r="Z39" s="1262">
        <f t="shared" si="13"/>
        <v>111</v>
      </c>
      <c r="AA39" s="1262">
        <f t="shared" si="3"/>
        <v>1</v>
      </c>
      <c r="AB39" s="1262">
        <f t="shared" si="4"/>
        <v>1</v>
      </c>
      <c r="AC39" s="1262">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7"/>
      <c r="Q40" s="1261">
        <f t="shared" si="14"/>
        <v>111</v>
      </c>
      <c r="R40" s="669" t="s">
        <v>14</v>
      </c>
      <c r="S40" s="670">
        <f t="shared" si="10"/>
        <v>100</v>
      </c>
      <c r="T40" s="669" t="s">
        <v>14</v>
      </c>
      <c r="U40" s="670">
        <f t="shared" si="11"/>
        <v>100</v>
      </c>
      <c r="V40" s="669" t="s">
        <v>14</v>
      </c>
      <c r="W40" s="670">
        <f t="shared" si="12"/>
        <v>100</v>
      </c>
      <c r="X40" s="671"/>
      <c r="Y40" s="3427"/>
      <c r="Z40" s="672">
        <f t="shared" si="13"/>
        <v>111</v>
      </c>
      <c r="AA40" s="1262">
        <f t="shared" si="3"/>
        <v>1</v>
      </c>
      <c r="AB40" s="1262">
        <f t="shared" si="4"/>
        <v>1</v>
      </c>
      <c r="AC40" s="1262">
        <f t="shared" si="5"/>
        <v>1</v>
      </c>
    </row>
    <row r="41" spans="1:31" ht="14.4">
      <c r="A41" s="416" t="s">
        <v>1841</v>
      </c>
      <c r="B41" s="1829" t="s">
        <v>3784</v>
      </c>
      <c r="C41" s="602" t="s">
        <v>0</v>
      </c>
      <c r="D41" s="418"/>
      <c r="E41" s="419">
        <f>土地案例!Y32</f>
        <v>1735</v>
      </c>
      <c r="F41" s="420"/>
      <c r="G41" s="421">
        <f>土地案例!Y49</f>
        <v>1727</v>
      </c>
      <c r="H41" s="422"/>
      <c r="I41" s="419">
        <f>土地案例!Y50</f>
        <v>1726</v>
      </c>
      <c r="J41" s="422"/>
      <c r="K41" s="674"/>
      <c r="L41" s="2493"/>
      <c r="M41" s="2486"/>
      <c r="N41" s="2486"/>
      <c r="O41" s="2486"/>
      <c r="P41" s="3419" t="str">
        <f>A41</f>
        <v>成交单价</v>
      </c>
      <c r="Q41" s="3419"/>
      <c r="R41" s="3423">
        <f>E41</f>
        <v>1735</v>
      </c>
      <c r="S41" s="3423"/>
      <c r="T41" s="3423">
        <f>G41</f>
        <v>1727</v>
      </c>
      <c r="U41" s="3423"/>
      <c r="V41" s="3423">
        <f>I41</f>
        <v>1726</v>
      </c>
      <c r="W41" s="3423"/>
      <c r="X41" s="385"/>
      <c r="Y41" s="673"/>
      <c r="Z41" s="385"/>
      <c r="AA41" s="385"/>
      <c r="AB41" s="385"/>
      <c r="AC41" s="385"/>
    </row>
    <row r="42" spans="1:31" ht="15" thickBot="1">
      <c r="A42" s="423" t="s">
        <v>1790</v>
      </c>
      <c r="B42" s="603"/>
      <c r="C42" s="426">
        <f>R43</f>
        <v>1582</v>
      </c>
      <c r="D42" s="2140" t="s">
        <v>2134</v>
      </c>
      <c r="E42" s="426">
        <f>R42</f>
        <v>1583</v>
      </c>
      <c r="F42" s="2141"/>
      <c r="G42" s="425">
        <f>T42</f>
        <v>1582</v>
      </c>
      <c r="H42" s="2141"/>
      <c r="I42" s="426">
        <f>V42</f>
        <v>1581</v>
      </c>
      <c r="J42" s="2141"/>
      <c r="K42" s="2143">
        <f>F42+H42+J42</f>
        <v>0</v>
      </c>
      <c r="L42" s="2493"/>
      <c r="M42" s="2486"/>
      <c r="N42" s="2486"/>
      <c r="O42" s="2486"/>
      <c r="P42" s="3419" t="str">
        <f>A42</f>
        <v>比较价值（元/平方米）</v>
      </c>
      <c r="Q42" s="3419"/>
      <c r="R42" s="3420">
        <f>ROUND(PRODUCT(R41,AA7:AA40),0)</f>
        <v>1583</v>
      </c>
      <c r="S42" s="3420"/>
      <c r="T42" s="3420">
        <f>ROUND(PRODUCT(T41,AB7:AB40),0)</f>
        <v>1582</v>
      </c>
      <c r="U42" s="3420"/>
      <c r="V42" s="3420">
        <f>ROUND(PRODUCT(V41,AC7:AC40),0)</f>
        <v>1581</v>
      </c>
      <c r="W42" s="3420"/>
      <c r="X42" s="385"/>
      <c r="Y42" s="385"/>
      <c r="Z42" s="385"/>
      <c r="AA42" s="385"/>
      <c r="AB42" s="385"/>
      <c r="AC42" s="385"/>
    </row>
    <row r="43" spans="1:31" ht="15" thickBot="1">
      <c r="A43" s="427" t="s">
        <v>1791</v>
      </c>
      <c r="B43" s="428"/>
      <c r="C43" s="429">
        <f>R43</f>
        <v>1582</v>
      </c>
      <c r="D43" s="429"/>
      <c r="E43" s="429"/>
      <c r="F43" s="429"/>
      <c r="G43" s="429"/>
      <c r="H43" s="429"/>
      <c r="I43" s="429"/>
      <c r="J43" s="429"/>
      <c r="K43" s="675"/>
      <c r="L43" s="2493"/>
      <c r="M43" s="2486"/>
      <c r="N43" s="2486"/>
      <c r="O43" s="2486"/>
      <c r="P43" s="3416" t="str">
        <f>A43</f>
        <v>估价对象XX用房的比较价值（楼面单价，元/平方米）</v>
      </c>
      <c r="Q43" s="3417"/>
      <c r="R43" s="3418">
        <f>ROUND(IF(D42="简单平均",AVERAGE(R42:W42),R42*F42+T42*H42+V42*J42),0)</f>
        <v>1582</v>
      </c>
      <c r="S43" s="3418"/>
      <c r="T43" s="3418"/>
      <c r="U43" s="3418"/>
      <c r="V43" s="3418"/>
      <c r="W43" s="341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1792</v>
      </c>
      <c r="D46" s="433"/>
      <c r="E46" s="434">
        <f>IF(E41&lt;E42,E42/E41-1,E41/E42-1)</f>
        <v>9.6020214782059465E-2</v>
      </c>
      <c r="F46" s="435" t="str">
        <f>IF(OR(E46&gt;=0.3,E46&lt;=-0.3),"超过30%","")</f>
        <v/>
      </c>
      <c r="G46" s="434">
        <f>IF(G41&lt;G42,G42/G41-1,G41/G42-1)</f>
        <v>9.1656131479140424E-2</v>
      </c>
      <c r="H46" s="435" t="str">
        <f>IF(OR(G46&gt;=0.3,G46&lt;=-0.3),"超过30%","")</f>
        <v/>
      </c>
      <c r="I46" s="434">
        <f>IF(I41&lt;I42,I42/I41-1,I41/I42-1)</f>
        <v>9.171410499683752E-2</v>
      </c>
      <c r="J46" s="435"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1793</v>
      </c>
      <c r="D47" s="436"/>
      <c r="E47" s="434">
        <f>IF(E42&lt;G42,G42/E42-1,E42/G42-1)</f>
        <v>6.3211125158035841E-4</v>
      </c>
      <c r="F47" s="435" t="str">
        <f>IF(OR(E47&gt;=0.2,E47&lt;=-0.2),"超过20%","")</f>
        <v/>
      </c>
      <c r="G47" s="434">
        <f>IF(G42&lt;I42,I42/G42-1,G42/I42-1)</f>
        <v>6.3251106894379738E-4</v>
      </c>
      <c r="H47" s="435" t="str">
        <f>IF(OR(G47&gt;=0.2,G47&lt;=-0.2),"超过20%","")</f>
        <v/>
      </c>
      <c r="I47" s="434">
        <f>IF(I42&lt;E42,E42/I42-1,I42/E42-1)</f>
        <v>1.2650221378873727E-3</v>
      </c>
      <c r="J47" s="435"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1794</v>
      </c>
      <c r="D48" s="436"/>
      <c r="E48" s="434">
        <f>IF(E41&lt;G41,G41/E41-1,E41/G41-1)</f>
        <v>4.6323103647945008E-3</v>
      </c>
      <c r="F48" s="435" t="str">
        <f>IF(OR(E48&gt;=0.3,E48&lt;=-0.3),"超过30%","")</f>
        <v/>
      </c>
      <c r="G48" s="434">
        <f>IF(G41&lt;I41,I41/G41-1,G41/I41-1)</f>
        <v>5.7937427578225176E-4</v>
      </c>
      <c r="H48" s="435" t="str">
        <f>IF(OR(G48&gt;=0.3,G48&lt;=-0.3),"超过30%","")</f>
        <v/>
      </c>
      <c r="I48" s="434">
        <f>IF(I41&lt;E41,E41/I41-1,I41/E41-1)</f>
        <v>5.2143684820393776E-3</v>
      </c>
      <c r="J48" s="435" t="str">
        <f>IF(OR(I48&gt;=0.3,I48&lt;=-0.3),"超过30%","")</f>
        <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1878</v>
      </c>
      <c r="B50" s="605" t="s">
        <v>1879</v>
      </c>
      <c r="C50" s="1830" t="s">
        <v>1880</v>
      </c>
      <c r="D50" s="1831" t="s">
        <v>1881</v>
      </c>
      <c r="E50" s="606" t="s">
        <v>1882</v>
      </c>
      <c r="F50" s="607" t="s">
        <v>1883</v>
      </c>
      <c r="G50" s="3431" t="s">
        <v>1884</v>
      </c>
      <c r="H50" s="3443"/>
      <c r="I50" s="1262" t="s">
        <v>1919</v>
      </c>
      <c r="J50" s="1262">
        <f>项目基本情况!F35</f>
        <v>0</v>
      </c>
      <c r="K50" s="1833" t="s">
        <v>1886</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1887</v>
      </c>
      <c r="B51" s="609">
        <f>C43</f>
        <v>1582</v>
      </c>
      <c r="C51" s="610">
        <v>1</v>
      </c>
      <c r="D51" s="889">
        <v>1</v>
      </c>
      <c r="E51" s="610">
        <f>'数据-汇总表'!E8+'数据-汇总表'!E9</f>
        <v>19268.359999999997</v>
      </c>
      <c r="F51" s="611">
        <f t="shared" ref="F51:F60" si="15">ROUND(B51*E51/10000,0)</f>
        <v>3048</v>
      </c>
      <c r="G51" s="3444"/>
      <c r="H51" s="3419"/>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1888</v>
      </c>
      <c r="B52" s="210">
        <f>ROUND($C$43*C52*D52,0)</f>
        <v>0</v>
      </c>
      <c r="C52" s="163">
        <f t="shared" ref="C52:C60" si="16">IF($C$50="北京市系数",I52,J52)</f>
        <v>0</v>
      </c>
      <c r="D52" s="890">
        <v>0.25</v>
      </c>
      <c r="E52" s="614"/>
      <c r="F52" s="611">
        <f t="shared" si="15"/>
        <v>0</v>
      </c>
      <c r="G52" s="2749" t="s">
        <v>1889</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1890</v>
      </c>
      <c r="B53" s="210">
        <f t="shared" ref="B53:B60" si="17">ROUND($C$43*C53*D53,0)</f>
        <v>0</v>
      </c>
      <c r="C53" s="163">
        <f t="shared" si="16"/>
        <v>0</v>
      </c>
      <c r="D53" s="890">
        <v>0.25</v>
      </c>
      <c r="E53" s="614"/>
      <c r="F53" s="611">
        <f t="shared" si="15"/>
        <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1891</v>
      </c>
      <c r="B54" s="210">
        <f t="shared" si="17"/>
        <v>0</v>
      </c>
      <c r="C54" s="163">
        <f t="shared" si="16"/>
        <v>0</v>
      </c>
      <c r="D54" s="890">
        <v>0.25</v>
      </c>
      <c r="E54" s="614"/>
      <c r="F54" s="611">
        <f t="shared" si="15"/>
        <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1892</v>
      </c>
      <c r="B56" s="210">
        <f t="shared" si="17"/>
        <v>0</v>
      </c>
      <c r="C56" s="163">
        <f t="shared" si="16"/>
        <v>0</v>
      </c>
      <c r="D56" s="890">
        <v>0.25</v>
      </c>
      <c r="E56" s="209">
        <f>'数据-汇总表'!E11</f>
        <v>0</v>
      </c>
      <c r="F56" s="611">
        <f t="shared" si="15"/>
        <v>0</v>
      </c>
      <c r="G56" s="1834" t="s">
        <v>1893</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1894</v>
      </c>
      <c r="B57" s="210">
        <f t="shared" si="17"/>
        <v>79</v>
      </c>
      <c r="C57" s="163">
        <f t="shared" si="16"/>
        <v>0.2</v>
      </c>
      <c r="D57" s="890">
        <v>0.25</v>
      </c>
      <c r="E57" s="209">
        <f>'数据-汇总表'!E12</f>
        <v>0</v>
      </c>
      <c r="F57" s="611">
        <f t="shared" si="15"/>
        <v>0</v>
      </c>
      <c r="G57" s="838" t="s">
        <v>3</v>
      </c>
      <c r="H57" s="833" t="str">
        <f>IF(G57="商业",项目基本情况!B37,IF(G57="办公",项目基本情况!C37,IF(G57="住宅",项目基本情况!D37,项目基本情况!E37)))</f>
        <v>八级</v>
      </c>
      <c r="I57" s="726">
        <f>SUMIF(修正!A57:A68,H57,修正!F57:F68)</f>
        <v>0.2</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1896</v>
      </c>
      <c r="B58" s="210">
        <f t="shared" si="17"/>
        <v>40</v>
      </c>
      <c r="C58" s="163">
        <f t="shared" si="16"/>
        <v>0.1</v>
      </c>
      <c r="D58" s="890">
        <v>0.25</v>
      </c>
      <c r="E58" s="209">
        <f>'数据-汇总表'!E13</f>
        <v>0</v>
      </c>
      <c r="F58" s="611">
        <f t="shared" si="15"/>
        <v>0</v>
      </c>
      <c r="G58" s="838" t="s">
        <v>3</v>
      </c>
      <c r="H58" s="833" t="str">
        <f>IF(G58="商业",项目基本情况!B37,IF(G58="办公",项目基本情况!C37,IF(G58="住宅",项目基本情况!D37,项目基本情况!E37)))</f>
        <v>八级</v>
      </c>
      <c r="I58" s="726">
        <f>SUMIF(修正!A57:A68,H58,修正!G57:G68)</f>
        <v>0.1</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1898</v>
      </c>
      <c r="B59" s="210">
        <f t="shared" si="17"/>
        <v>0</v>
      </c>
      <c r="C59" s="163">
        <f t="shared" si="16"/>
        <v>0</v>
      </c>
      <c r="D59" s="890">
        <v>0.25</v>
      </c>
      <c r="E59" s="209">
        <f>'数据-汇总表'!E14</f>
        <v>0</v>
      </c>
      <c r="F59" s="611">
        <f t="shared" si="15"/>
        <v>0</v>
      </c>
      <c r="G59" s="1834" t="s">
        <v>1889</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1899</v>
      </c>
      <c r="B60" s="210">
        <f t="shared" si="17"/>
        <v>0</v>
      </c>
      <c r="C60" s="163">
        <f t="shared" si="16"/>
        <v>0</v>
      </c>
      <c r="D60" s="890">
        <v>0.25</v>
      </c>
      <c r="E60" s="209">
        <f>'数据-汇总表'!E15</f>
        <v>0</v>
      </c>
      <c r="F60" s="611">
        <f t="shared" si="15"/>
        <v>0</v>
      </c>
      <c r="G60" s="1835" t="s">
        <v>1893</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1900</v>
      </c>
      <c r="B61" s="616" t="s">
        <v>22</v>
      </c>
      <c r="C61" s="616" t="s">
        <v>23</v>
      </c>
      <c r="D61" s="616" t="s">
        <v>392</v>
      </c>
      <c r="E61" s="616">
        <f>IF(B41="楼面地价",SUM(E51:E60),'数据-汇总表'!D3)</f>
        <v>19268.359999999997</v>
      </c>
      <c r="F61" s="617">
        <f>IF(B41="楼面地价",SUM(F51:F60),ROUND(C43*E61/10000,0))</f>
        <v>3048</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6" t="str">
        <f>YEAR(C7)&amp;"-"&amp;MONTH(C7)&amp;"-1"</f>
        <v>2024-6-1</v>
      </c>
      <c r="D63" s="656">
        <f>EDATE(C63,-3)</f>
        <v>45352</v>
      </c>
      <c r="E63" s="656">
        <f>EDATE(D63,-3)</f>
        <v>45261</v>
      </c>
      <c r="F63" s="656">
        <f t="shared" ref="F63:O63" si="18">EDATE(E63,-3)</f>
        <v>45170</v>
      </c>
      <c r="G63" s="656">
        <f t="shared" si="18"/>
        <v>45078</v>
      </c>
      <c r="H63" s="656">
        <f t="shared" si="18"/>
        <v>44986</v>
      </c>
      <c r="I63" s="656">
        <f t="shared" si="18"/>
        <v>44896</v>
      </c>
      <c r="J63" s="656">
        <f t="shared" si="18"/>
        <v>44805</v>
      </c>
      <c r="K63" s="656">
        <f t="shared" si="18"/>
        <v>44713</v>
      </c>
      <c r="L63" s="656">
        <f t="shared" si="18"/>
        <v>44621</v>
      </c>
      <c r="M63" s="656">
        <f t="shared" si="18"/>
        <v>44531</v>
      </c>
      <c r="N63" s="656">
        <f t="shared" si="18"/>
        <v>44440</v>
      </c>
      <c r="O63" s="656">
        <f t="shared" si="18"/>
        <v>44348</v>
      </c>
      <c r="P63" s="2486"/>
      <c r="Q63" s="2486"/>
      <c r="R63" s="2486"/>
      <c r="S63" s="2486"/>
      <c r="T63" s="2486"/>
      <c r="U63" s="2486"/>
      <c r="V63" s="2486"/>
      <c r="W63" s="2486"/>
      <c r="X63" s="2486"/>
      <c r="Y63" s="2486"/>
      <c r="Z63" s="2486"/>
      <c r="AA63" s="2486"/>
      <c r="AB63" s="2486"/>
      <c r="AC63" s="2486"/>
      <c r="AD63" s="2486"/>
      <c r="AE63" s="2486"/>
    </row>
    <row r="64" spans="1:31" ht="22.2" thickBot="1">
      <c r="A64" s="658" t="s">
        <v>1795</v>
      </c>
      <c r="B64" s="385"/>
      <c r="C64" s="659"/>
      <c r="D64" s="659"/>
      <c r="E64" s="659"/>
      <c r="F64" s="660"/>
      <c r="G64" s="660"/>
      <c r="H64" s="659"/>
      <c r="I64" s="659"/>
      <c r="J64" s="659"/>
      <c r="K64" s="661"/>
      <c r="L64" s="662"/>
      <c r="M64" s="659"/>
      <c r="N64" s="659"/>
      <c r="O64" s="885"/>
      <c r="P64" s="2536"/>
      <c r="Q64" s="2507"/>
      <c r="R64" s="2486"/>
      <c r="S64" s="2486"/>
      <c r="T64" s="2486"/>
      <c r="U64" s="2486"/>
      <c r="V64" s="2486"/>
      <c r="W64" s="2486"/>
      <c r="X64" s="2486"/>
      <c r="Y64" s="2486"/>
      <c r="Z64" s="2486"/>
      <c r="AA64" s="2486"/>
      <c r="AB64" s="2486"/>
      <c r="AC64" s="2486"/>
      <c r="AD64" s="2486"/>
      <c r="AE64" s="2486"/>
    </row>
    <row r="65" spans="1:31" s="442" customFormat="1" ht="14.4">
      <c r="A65" s="1628" t="s">
        <v>1901</v>
      </c>
      <c r="B65" s="1045"/>
      <c r="C65" s="1099" t="str">
        <f>YEAR(C63)&amp;"-"&amp;ROUNDUP(MONTH(C63)/3,0)</f>
        <v>2024-2</v>
      </c>
      <c r="D65" s="1099" t="str">
        <f t="shared" ref="D65:O65" si="19">YEAR(D63)&amp;"-"&amp;ROUNDUP(MONTH(D63)/3,0)</f>
        <v>2024-1</v>
      </c>
      <c r="E65" s="1099" t="str">
        <f t="shared" si="19"/>
        <v>2023-4</v>
      </c>
      <c r="F65" s="1099" t="str">
        <f t="shared" si="19"/>
        <v>2023-3</v>
      </c>
      <c r="G65" s="1099" t="str">
        <f t="shared" si="19"/>
        <v>2023-2</v>
      </c>
      <c r="H65" s="1099" t="str">
        <f t="shared" si="19"/>
        <v>2023-1</v>
      </c>
      <c r="I65" s="1099" t="str">
        <f t="shared" si="19"/>
        <v>2022-4</v>
      </c>
      <c r="J65" s="1099" t="str">
        <f t="shared" si="19"/>
        <v>2022-3</v>
      </c>
      <c r="K65" s="1099" t="str">
        <f t="shared" si="19"/>
        <v>2022-2</v>
      </c>
      <c r="L65" s="1099" t="str">
        <f t="shared" si="19"/>
        <v>2022-1</v>
      </c>
      <c r="M65" s="1099" t="str">
        <f t="shared" si="19"/>
        <v>2021-4</v>
      </c>
      <c r="N65" s="1099" t="str">
        <f t="shared" si="19"/>
        <v>2021-3</v>
      </c>
      <c r="O65" s="1099" t="str">
        <f t="shared" si="19"/>
        <v>2021-2</v>
      </c>
      <c r="P65" s="2509" t="s">
        <v>3773</v>
      </c>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1920</v>
      </c>
      <c r="B66" s="280" t="str">
        <f>"北京市平均增长率"&amp;TEXT(基准地价修正!P28,"0.00%")</f>
        <v>北京市平均增长率0.00%</v>
      </c>
      <c r="C66" s="530">
        <v>100</v>
      </c>
      <c r="D66" s="6">
        <f>C66-$C$67</f>
        <v>99.8</v>
      </c>
      <c r="E66" s="6">
        <f t="shared" ref="E66:P66" si="20">D66-$C$67</f>
        <v>99.6</v>
      </c>
      <c r="F66" s="6">
        <f t="shared" si="20"/>
        <v>99.399999999999991</v>
      </c>
      <c r="G66" s="6">
        <f t="shared" si="20"/>
        <v>99.199999999999989</v>
      </c>
      <c r="H66" s="6">
        <f t="shared" si="20"/>
        <v>98.999999999999986</v>
      </c>
      <c r="I66" s="6">
        <f t="shared" si="20"/>
        <v>98.799999999999983</v>
      </c>
      <c r="J66" s="6">
        <f t="shared" si="20"/>
        <v>98.59999999999998</v>
      </c>
      <c r="K66" s="6">
        <f t="shared" si="20"/>
        <v>98.399999999999977</v>
      </c>
      <c r="L66" s="6">
        <f t="shared" si="20"/>
        <v>98.199999999999974</v>
      </c>
      <c r="M66" s="6">
        <f t="shared" si="20"/>
        <v>97.999999999999972</v>
      </c>
      <c r="N66" s="6">
        <f t="shared" si="20"/>
        <v>97.799999999999969</v>
      </c>
      <c r="O66" s="6">
        <f t="shared" si="20"/>
        <v>97.599999999999966</v>
      </c>
      <c r="P66" s="6">
        <f t="shared" si="20"/>
        <v>97.399999999999963</v>
      </c>
      <c r="Q66" s="2438"/>
      <c r="R66" s="2438"/>
      <c r="S66" s="2438"/>
      <c r="T66" s="2438"/>
      <c r="U66" s="2438"/>
      <c r="V66" s="2438"/>
      <c r="W66" s="2438"/>
      <c r="X66" s="2438"/>
      <c r="Y66" s="2438"/>
      <c r="Z66" s="2438"/>
      <c r="AA66" s="2438"/>
      <c r="AB66" s="2438"/>
      <c r="AC66" s="2438"/>
      <c r="AD66" s="2438"/>
      <c r="AE66" s="2438"/>
    </row>
    <row r="67" spans="1:31" s="102" customFormat="1" ht="15" thickBot="1">
      <c r="A67" s="449" t="s">
        <v>1713</v>
      </c>
      <c r="B67" s="450"/>
      <c r="C67" s="451">
        <v>0.2</v>
      </c>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1678</v>
      </c>
      <c r="B68" s="444"/>
      <c r="C68" s="456" t="s">
        <v>1773</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1716</v>
      </c>
      <c r="B70" s="460" t="s">
        <v>1682</v>
      </c>
      <c r="C70" s="3171" t="s">
        <v>3774</v>
      </c>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v>100</v>
      </c>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1685</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1686</v>
      </c>
      <c r="C74" s="478" t="str">
        <f>C75&amp;"（含）"&amp;"-"&amp;D75</f>
        <v>0（含）-0.5</v>
      </c>
      <c r="D74" s="478" t="str">
        <f t="shared" ref="D74:L74" si="21">D75&amp;"（含）"&amp;"-"&amp;E75</f>
        <v>0.5（含）-1</v>
      </c>
      <c r="E74" s="478" t="str">
        <f t="shared" si="21"/>
        <v>1（含）-1.5</v>
      </c>
      <c r="F74" s="478" t="str">
        <f t="shared" si="21"/>
        <v>1.5（含）-2</v>
      </c>
      <c r="G74" s="478" t="str">
        <f t="shared" si="21"/>
        <v>2（含）-</v>
      </c>
      <c r="H74" s="478" t="str">
        <f t="shared" si="21"/>
        <v>（含）-</v>
      </c>
      <c r="I74" s="478" t="str">
        <f t="shared" si="21"/>
        <v>（含）-</v>
      </c>
      <c r="J74" s="478" t="str">
        <f t="shared" si="21"/>
        <v>（含）-</v>
      </c>
      <c r="K74" s="478" t="str">
        <f t="shared" si="21"/>
        <v>（含）-</v>
      </c>
      <c r="L74" s="478" t="str">
        <f t="shared" si="21"/>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v>0</v>
      </c>
      <c r="D75" s="480">
        <v>0.5</v>
      </c>
      <c r="E75" s="480">
        <v>1</v>
      </c>
      <c r="F75" s="480">
        <v>1.5</v>
      </c>
      <c r="G75" s="480">
        <v>2</v>
      </c>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97</v>
      </c>
      <c r="E76" s="475">
        <f t="shared" ref="E76:M76" si="22">IF($B$41="单位面积地价",D76+$K11,D76-$K11)</f>
        <v>94</v>
      </c>
      <c r="F76" s="475">
        <f t="shared" si="22"/>
        <v>91</v>
      </c>
      <c r="G76" s="475">
        <f t="shared" si="22"/>
        <v>88</v>
      </c>
      <c r="H76" s="475">
        <f t="shared" si="22"/>
        <v>85</v>
      </c>
      <c r="I76" s="475">
        <f t="shared" si="22"/>
        <v>82</v>
      </c>
      <c r="J76" s="475">
        <f t="shared" si="22"/>
        <v>79</v>
      </c>
      <c r="K76" s="475">
        <f t="shared" si="22"/>
        <v>76</v>
      </c>
      <c r="L76" s="475">
        <f t="shared" si="22"/>
        <v>73</v>
      </c>
      <c r="M76" s="475">
        <f t="shared" si="22"/>
        <v>70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1687</v>
      </c>
      <c r="B83" s="460" t="s">
        <v>1826</v>
      </c>
      <c r="C83" s="504" t="s">
        <v>1718</v>
      </c>
      <c r="D83" s="504" t="s">
        <v>1719</v>
      </c>
      <c r="E83" s="504" t="s">
        <v>1720</v>
      </c>
      <c r="F83" s="504" t="s">
        <v>1721</v>
      </c>
      <c r="G83" s="504" t="s">
        <v>1722</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97</v>
      </c>
      <c r="E84" s="475">
        <f>D84-$K15</f>
        <v>94</v>
      </c>
      <c r="F84" s="475">
        <f>E84-$K15</f>
        <v>91</v>
      </c>
      <c r="G84" s="475">
        <f>F84-$K15</f>
        <v>88</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1723</v>
      </c>
      <c r="C85" s="509" t="s">
        <v>1718</v>
      </c>
      <c r="D85" s="509" t="s">
        <v>1719</v>
      </c>
      <c r="E85" s="509" t="s">
        <v>1720</v>
      </c>
      <c r="F85" s="509" t="s">
        <v>1721</v>
      </c>
      <c r="G85" s="509" t="s">
        <v>1722</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98</v>
      </c>
      <c r="E86" s="475">
        <f>D86-$K17</f>
        <v>96</v>
      </c>
      <c r="F86" s="475">
        <f>E86-$K17</f>
        <v>94</v>
      </c>
      <c r="G86" s="475">
        <f>F86-$K17</f>
        <v>92</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1904</v>
      </c>
      <c r="C87" s="504" t="s">
        <v>1718</v>
      </c>
      <c r="D87" s="504" t="s">
        <v>1719</v>
      </c>
      <c r="E87" s="504" t="s">
        <v>1720</v>
      </c>
      <c r="F87" s="504" t="s">
        <v>1721</v>
      </c>
      <c r="G87" s="504" t="s">
        <v>1722</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98</v>
      </c>
      <c r="E88" s="475">
        <f>D88-$K19</f>
        <v>96</v>
      </c>
      <c r="F88" s="475">
        <f>E88-$K19</f>
        <v>94</v>
      </c>
      <c r="G88" s="475">
        <f>F88-$K19</f>
        <v>92</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1905</v>
      </c>
      <c r="C89" s="504" t="s">
        <v>1718</v>
      </c>
      <c r="D89" s="504" t="s">
        <v>1719</v>
      </c>
      <c r="E89" s="504" t="s">
        <v>1720</v>
      </c>
      <c r="F89" s="504" t="s">
        <v>1721</v>
      </c>
      <c r="G89" s="504" t="s">
        <v>1722</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97</v>
      </c>
      <c r="E90" s="475">
        <f>D90-$K21</f>
        <v>94</v>
      </c>
      <c r="F90" s="475">
        <f>E90-$K21</f>
        <v>91</v>
      </c>
      <c r="G90" s="475">
        <f>F90-$K21</f>
        <v>88</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1775</v>
      </c>
      <c r="C91" s="504" t="s">
        <v>1718</v>
      </c>
      <c r="D91" s="504" t="s">
        <v>1719</v>
      </c>
      <c r="E91" s="504" t="s">
        <v>1720</v>
      </c>
      <c r="F91" s="504" t="s">
        <v>1721</v>
      </c>
      <c r="G91" s="504" t="s">
        <v>1722</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98</v>
      </c>
      <c r="E92" s="475">
        <f>D92-$K23</f>
        <v>96</v>
      </c>
      <c r="F92" s="475">
        <f>E92-$K23</f>
        <v>94</v>
      </c>
      <c r="G92" s="475">
        <f>F92-$K23</f>
        <v>92</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1921</v>
      </c>
      <c r="C93" s="581" t="s">
        <v>1796</v>
      </c>
      <c r="D93" s="581" t="s">
        <v>1797</v>
      </c>
      <c r="E93" s="581" t="s">
        <v>1798</v>
      </c>
      <c r="F93" s="581" t="s">
        <v>1799</v>
      </c>
      <c r="G93" s="581" t="s">
        <v>1800</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99</v>
      </c>
      <c r="E94" s="475">
        <f>D94-$K25</f>
        <v>98</v>
      </c>
      <c r="F94" s="475">
        <f>E94-$K25</f>
        <v>97</v>
      </c>
      <c r="G94" s="475">
        <f>F94-$K25</f>
        <v>96</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1906</v>
      </c>
      <c r="D95" s="470" t="s">
        <v>1907</v>
      </c>
      <c r="E95" s="470" t="s">
        <v>1908</v>
      </c>
      <c r="F95" s="470" t="s">
        <v>1909</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3">C96-$K27</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5">
        <f t="shared" si="23"/>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1812</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4">C98-$K28</f>
        <v>100</v>
      </c>
      <c r="E98" s="475">
        <f t="shared" si="24"/>
        <v>100</v>
      </c>
      <c r="F98" s="475">
        <f t="shared" si="24"/>
        <v>100</v>
      </c>
      <c r="G98" s="475">
        <f t="shared" si="24"/>
        <v>100</v>
      </c>
      <c r="H98" s="475">
        <f t="shared" si="24"/>
        <v>100</v>
      </c>
      <c r="I98" s="475">
        <f t="shared" si="24"/>
        <v>100</v>
      </c>
      <c r="J98" s="475">
        <f t="shared" si="24"/>
        <v>100</v>
      </c>
      <c r="K98" s="475">
        <f t="shared" si="24"/>
        <v>100</v>
      </c>
      <c r="L98" s="475">
        <f t="shared" si="24"/>
        <v>100</v>
      </c>
      <c r="M98" s="475">
        <f t="shared" si="24"/>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1870</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5">C100-$K30</f>
        <v>100</v>
      </c>
      <c r="E100" s="475">
        <f t="shared" si="25"/>
        <v>100</v>
      </c>
      <c r="F100" s="475">
        <f t="shared" si="25"/>
        <v>100</v>
      </c>
      <c r="G100" s="475">
        <f t="shared" si="25"/>
        <v>100</v>
      </c>
      <c r="H100" s="475">
        <f t="shared" si="25"/>
        <v>100</v>
      </c>
      <c r="I100" s="475">
        <f t="shared" si="25"/>
        <v>100</v>
      </c>
      <c r="J100" s="475">
        <f t="shared" si="25"/>
        <v>100</v>
      </c>
      <c r="K100" s="475">
        <f t="shared" si="25"/>
        <v>100</v>
      </c>
      <c r="L100" s="475">
        <f t="shared" si="25"/>
        <v>100</v>
      </c>
      <c r="M100" s="475">
        <f t="shared" si="25"/>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27.6">
      <c r="A107" s="379" t="s">
        <v>1691</v>
      </c>
      <c r="B107" s="460" t="s">
        <v>1910</v>
      </c>
      <c r="C107" s="461" t="str">
        <f t="shared" ref="C107:L107" si="26">C108&amp;"(含)"&amp;"-"&amp;D108</f>
        <v>0(含)-30000</v>
      </c>
      <c r="D107" s="461" t="str">
        <f t="shared" si="26"/>
        <v>30000(含)-60000</v>
      </c>
      <c r="E107" s="461" t="str">
        <f t="shared" si="26"/>
        <v>60000(含)-90000</v>
      </c>
      <c r="F107" s="461" t="str">
        <f t="shared" si="26"/>
        <v>90000(含)-</v>
      </c>
      <c r="G107" s="461" t="str">
        <f t="shared" si="26"/>
        <v>(含)-</v>
      </c>
      <c r="H107" s="461" t="str">
        <f t="shared" si="26"/>
        <v>(含)-</v>
      </c>
      <c r="I107" s="461" t="str">
        <f t="shared" si="26"/>
        <v>(含)-</v>
      </c>
      <c r="J107" s="461" t="str">
        <f t="shared" si="26"/>
        <v>(含)-</v>
      </c>
      <c r="K107" s="1244" t="str">
        <f t="shared" si="26"/>
        <v>(含)-</v>
      </c>
      <c r="L107" s="1244" t="str">
        <f t="shared" si="26"/>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v>0</v>
      </c>
      <c r="D108" s="6">
        <v>30000</v>
      </c>
      <c r="E108" s="6">
        <v>60000</v>
      </c>
      <c r="F108" s="6">
        <v>90000</v>
      </c>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v>100</v>
      </c>
      <c r="D109" s="521">
        <v>101</v>
      </c>
      <c r="E109" s="521">
        <v>102</v>
      </c>
      <c r="F109" s="521">
        <v>103</v>
      </c>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1911</v>
      </c>
      <c r="C110" s="3172" t="s">
        <v>3781</v>
      </c>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7">C111-$K35</f>
        <v>99</v>
      </c>
      <c r="E111" s="475">
        <f t="shared" si="27"/>
        <v>98</v>
      </c>
      <c r="F111" s="475">
        <f t="shared" si="27"/>
        <v>97</v>
      </c>
      <c r="G111" s="475">
        <f t="shared" si="27"/>
        <v>96</v>
      </c>
      <c r="H111" s="475">
        <f t="shared" si="27"/>
        <v>95</v>
      </c>
      <c r="I111" s="475">
        <f t="shared" si="27"/>
        <v>94</v>
      </c>
      <c r="J111" s="475">
        <f t="shared" si="27"/>
        <v>93</v>
      </c>
      <c r="K111" s="475">
        <f t="shared" si="27"/>
        <v>92</v>
      </c>
      <c r="L111" s="475">
        <f t="shared" si="27"/>
        <v>91</v>
      </c>
      <c r="M111" s="476">
        <f t="shared" si="27"/>
        <v>90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1913</v>
      </c>
      <c r="C112" s="485" t="s">
        <v>3775</v>
      </c>
      <c r="D112" s="485" t="s">
        <v>3776</v>
      </c>
      <c r="E112" s="485" t="s">
        <v>3777</v>
      </c>
      <c r="F112" s="485" t="s">
        <v>3778</v>
      </c>
      <c r="G112" s="485" t="s">
        <v>3779</v>
      </c>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1914</v>
      </c>
      <c r="C114" s="3173" t="s">
        <v>3783</v>
      </c>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9">C115-$K37</f>
        <v>99</v>
      </c>
      <c r="E115" s="475">
        <f t="shared" si="29"/>
        <v>98</v>
      </c>
      <c r="F115" s="475">
        <f t="shared" si="29"/>
        <v>97</v>
      </c>
      <c r="G115" s="475">
        <f t="shared" si="29"/>
        <v>96</v>
      </c>
      <c r="H115" s="475">
        <f t="shared" si="29"/>
        <v>95</v>
      </c>
      <c r="I115" s="475">
        <f t="shared" si="29"/>
        <v>94</v>
      </c>
      <c r="J115" s="475">
        <f t="shared" si="29"/>
        <v>93</v>
      </c>
      <c r="K115" s="475">
        <f t="shared" si="29"/>
        <v>92</v>
      </c>
      <c r="L115" s="475">
        <f t="shared" si="29"/>
        <v>91</v>
      </c>
      <c r="M115" s="476">
        <f t="shared" si="29"/>
        <v>90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156" priority="13" stopIfTrue="1">
      <formula>$F$46="超过30%"</formula>
    </cfRule>
  </conditionalFormatting>
  <conditionalFormatting sqref="E47">
    <cfRule type="expression" dxfId="155" priority="53" stopIfTrue="1">
      <formula>#REF!+$F$47="超过20%"</formula>
    </cfRule>
  </conditionalFormatting>
  <conditionalFormatting sqref="E48">
    <cfRule type="expression" dxfId="154" priority="10" stopIfTrue="1">
      <formula>$F$48="超过30%"</formula>
    </cfRule>
  </conditionalFormatting>
  <conditionalFormatting sqref="F7:F40 H7:H40 J7:J40">
    <cfRule type="cellIs" dxfId="153" priority="1" operator="notEqual">
      <formula>100</formula>
    </cfRule>
  </conditionalFormatting>
  <conditionalFormatting sqref="F42">
    <cfRule type="expression" dxfId="152" priority="4">
      <formula>$D$42="简单平均"</formula>
    </cfRule>
  </conditionalFormatting>
  <conditionalFormatting sqref="F46:F48 H46:H48 J46:J48">
    <cfRule type="containsText" dxfId="151" priority="14" stopIfTrue="1" operator="containsText" text="超过">
      <formula>NOT(ISERROR(SEARCH("超过",F46)))</formula>
    </cfRule>
  </conditionalFormatting>
  <conditionalFormatting sqref="G46">
    <cfRule type="expression" dxfId="150" priority="9" stopIfTrue="1">
      <formula>$H$46="超过30%"</formula>
    </cfRule>
  </conditionalFormatting>
  <conditionalFormatting sqref="G47">
    <cfRule type="expression" dxfId="149" priority="8" stopIfTrue="1">
      <formula>$H$47="超过20%"</formula>
    </cfRule>
  </conditionalFormatting>
  <conditionalFormatting sqref="G48">
    <cfRule type="expression" dxfId="148" priority="12" stopIfTrue="1">
      <formula>$H$48="超过30%"</formula>
    </cfRule>
  </conditionalFormatting>
  <conditionalFormatting sqref="H42">
    <cfRule type="expression" dxfId="147" priority="3">
      <formula>$D$42="简单平均"</formula>
    </cfRule>
  </conditionalFormatting>
  <conditionalFormatting sqref="I46">
    <cfRule type="expression" dxfId="146" priority="7" stopIfTrue="1">
      <formula>$J$46="超过30%"</formula>
    </cfRule>
  </conditionalFormatting>
  <conditionalFormatting sqref="I47">
    <cfRule type="expression" dxfId="145" priority="6" stopIfTrue="1">
      <formula>$J$47="超过20%"</formula>
    </cfRule>
  </conditionalFormatting>
  <conditionalFormatting sqref="I48">
    <cfRule type="expression" dxfId="144" priority="5" stopIfTrue="1">
      <formula>$J$48="超过30%"</formula>
    </cfRule>
  </conditionalFormatting>
  <conditionalFormatting sqref="J42">
    <cfRule type="expression" dxfId="143" priority="2">
      <formula>$D$42="简单平均"</formula>
    </cfRule>
  </conditionalFormatting>
  <dataValidations count="20">
    <dataValidation type="list" allowBlank="1" showInputMessage="1" showErrorMessage="1" sqref="B41" xr:uid="{00000000-0002-0000-1700-000000000000}">
      <formula1>单价内涵</formula1>
    </dataValidation>
    <dataValidation type="list" allowBlank="1" showInputMessage="1" showErrorMessage="1" sqref="C22 E22 G22 I22" xr:uid="{00000000-0002-0000-1700-000001000000}">
      <formula1>环境</formula1>
    </dataValidation>
    <dataValidation type="list" allowBlank="1" showInputMessage="1" showErrorMessage="1" sqref="E18 C18 G18 I18" xr:uid="{00000000-0002-0000-1700-000002000000}">
      <formula1>交通便捷度</formula1>
    </dataValidation>
    <dataValidation type="list" allowBlank="1" showInputMessage="1" showErrorMessage="1" sqref="E24 C24 G24 I24" xr:uid="{00000000-0002-0000-1700-000003000000}">
      <formula1>公共配套设施</formula1>
    </dataValidation>
    <dataValidation type="list" allowBlank="1" showInputMessage="1" showErrorMessage="1" sqref="C8 E8 G8 I8" xr:uid="{00000000-0002-0000-1700-000004000000}">
      <formula1>套工交易情况</formula1>
    </dataValidation>
    <dataValidation type="list" allowBlank="1" showInputMessage="1" showErrorMessage="1" sqref="C9 E9 G9 I9" xr:uid="{00000000-0002-0000-1700-000005000000}">
      <formula1>套工用途</formula1>
    </dataValidation>
    <dataValidation type="list" allowBlank="1" showInputMessage="1" showErrorMessage="1" sqref="I30 E30 G30" xr:uid="{00000000-0002-0000-1700-000006000000}">
      <formula1>套工土地级别</formula1>
    </dataValidation>
    <dataValidation type="list" allowBlank="1" showInputMessage="1" showErrorMessage="1" sqref="C27 E27 G27 I27" xr:uid="{00000000-0002-0000-1700-000007000000}">
      <formula1>临街状况</formula1>
    </dataValidation>
    <dataValidation type="list" allowBlank="1" showInputMessage="1" showErrorMessage="1" sqref="E20 G20 I20 C20" xr:uid="{00000000-0002-0000-1700-000008000000}">
      <formula1>区域土地利用方向</formula1>
    </dataValidation>
    <dataValidation type="list" allowBlank="1" showInputMessage="1" showErrorMessage="1" sqref="C50" xr:uid="{00000000-0002-0000-1700-000009000000}">
      <formula1>"北京市系数,其他省市系数"</formula1>
    </dataValidation>
    <dataValidation type="list" allowBlank="1" showInputMessage="1" showErrorMessage="1" sqref="C16 E16 G16 I16" xr:uid="{00000000-0002-0000-1700-00000A000000}">
      <formula1>产业集聚程度</formula1>
    </dataValidation>
    <dataValidation type="list" allowBlank="1" showInputMessage="1" showErrorMessage="1" sqref="C29 E29 G29 I29" xr:uid="{00000000-0002-0000-1700-00000B000000}">
      <formula1>套工道路等级</formula1>
    </dataValidation>
    <dataValidation type="list" allowBlank="1" showInputMessage="1" showErrorMessage="1" sqref="C35 E35 G35 I35" xr:uid="{00000000-0002-0000-1700-00000C000000}">
      <formula1>套工宗地形状</formula1>
    </dataValidation>
    <dataValidation type="list" allowBlank="1" showInputMessage="1" showErrorMessage="1" sqref="C36 E36 G36 I36" xr:uid="{00000000-0002-0000-1700-00000D000000}">
      <formula1>套工宗地开发程度</formula1>
    </dataValidation>
    <dataValidation type="list" allowBlank="1" showInputMessage="1" showErrorMessage="1" sqref="C37 E37 G37 I37" xr:uid="{00000000-0002-0000-1700-00000E000000}">
      <formula1>套工地质条件</formula1>
    </dataValidation>
    <dataValidation type="list" allowBlank="1" showInputMessage="1" showErrorMessage="1" sqref="G58" xr:uid="{00000000-0002-0000-1700-00000F000000}">
      <formula1>"住宅,工业"</formula1>
    </dataValidation>
    <dataValidation type="list" allowBlank="1" showInputMessage="1" showErrorMessage="1" sqref="G57" xr:uid="{00000000-0002-0000-1700-000010000000}">
      <formula1>"商业,办公,住宅,工业"</formula1>
    </dataValidation>
    <dataValidation type="list" allowBlank="1" showInputMessage="1" showErrorMessage="1" sqref="D52:D60" xr:uid="{00000000-0002-0000-1700-000011000000}">
      <formula1>"25%,1"</formula1>
    </dataValidation>
    <dataValidation type="list" allowBlank="1" showInputMessage="1" showErrorMessage="1" sqref="C26 E26 G26 I26" xr:uid="{00000000-0002-0000-1700-000012000000}">
      <formula1>基础设施水平</formula1>
    </dataValidation>
    <dataValidation type="list" allowBlank="1" showInputMessage="1" showErrorMessage="1" sqref="D42"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79"/>
  <sheetViews>
    <sheetView workbookViewId="0">
      <pane ySplit="1" topLeftCell="A2" activePane="bottomLeft" state="frozen"/>
      <selection pane="bottomLeft" activeCell="C79" sqref="C79"/>
    </sheetView>
  </sheetViews>
  <sheetFormatPr defaultColWidth="9" defaultRowHeight="12"/>
  <cols>
    <col min="1" max="1" width="20" style="3146" customWidth="1"/>
    <col min="2" max="2" width="20" style="3146" hidden="1" customWidth="1"/>
    <col min="3" max="3" width="11.77734375" style="3146" customWidth="1"/>
    <col min="4" max="4" width="6.33203125" style="3146" customWidth="1"/>
    <col min="5" max="5" width="20" style="3146" hidden="1" customWidth="1"/>
    <col min="6" max="6" width="6" style="3146" customWidth="1"/>
    <col min="7" max="7" width="8.33203125" style="3146" customWidth="1"/>
    <col min="8" max="8" width="9.44140625" style="3146" customWidth="1"/>
    <col min="9" max="9" width="8.21875" style="3146" customWidth="1"/>
    <col min="10" max="10" width="20" style="3146" hidden="1" customWidth="1"/>
    <col min="11" max="11" width="8.88671875" style="3146" hidden="1" customWidth="1"/>
    <col min="12" max="12" width="10" style="3146" customWidth="1"/>
    <col min="13" max="14" width="20" style="3146" hidden="1" customWidth="1"/>
    <col min="15" max="15" width="9.33203125" style="3146" customWidth="1"/>
    <col min="16" max="16" width="9.77734375" style="3146" customWidth="1"/>
    <col min="17" max="17" width="20" style="3146" hidden="1" customWidth="1"/>
    <col min="18" max="18" width="6.21875" style="3146" customWidth="1"/>
    <col min="19" max="19" width="9.109375" style="3146" customWidth="1"/>
    <col min="20" max="20" width="9.88671875" style="3146" customWidth="1"/>
    <col min="21" max="21" width="8.21875" style="3146" customWidth="1"/>
    <col min="22" max="22" width="6" style="3146" customWidth="1"/>
    <col min="23" max="23" width="6.77734375" style="3146" customWidth="1"/>
    <col min="24" max="24" width="9.77734375" style="3146" hidden="1" customWidth="1"/>
    <col min="25" max="25" width="8.88671875" style="3148" customWidth="1"/>
    <col min="26" max="27" width="9" style="3146"/>
    <col min="28" max="28" width="10.44140625" style="3146" customWidth="1"/>
    <col min="29" max="16384" width="9" style="3146"/>
  </cols>
  <sheetData>
    <row r="1" spans="1:29" s="3144" customFormat="1" ht="36">
      <c r="A1" s="3144" t="s">
        <v>3398</v>
      </c>
      <c r="B1" s="3144" t="s">
        <v>3399</v>
      </c>
      <c r="C1" s="3144" t="s">
        <v>3400</v>
      </c>
      <c r="D1" s="3144" t="s">
        <v>3401</v>
      </c>
      <c r="E1" s="3144" t="s">
        <v>3402</v>
      </c>
      <c r="F1" s="3144" t="s">
        <v>3403</v>
      </c>
      <c r="G1" s="3144" t="s">
        <v>3404</v>
      </c>
      <c r="H1" s="3144" t="s">
        <v>3405</v>
      </c>
      <c r="I1" s="3144" t="s">
        <v>3406</v>
      </c>
      <c r="J1" s="3144" t="s">
        <v>3407</v>
      </c>
      <c r="K1" s="3144" t="s">
        <v>3408</v>
      </c>
      <c r="L1" s="3144" t="s">
        <v>3409</v>
      </c>
      <c r="M1" s="3144" t="s">
        <v>3410</v>
      </c>
      <c r="N1" s="3144" t="s">
        <v>3411</v>
      </c>
      <c r="O1" s="3144" t="s">
        <v>3412</v>
      </c>
      <c r="P1" s="3144" t="s">
        <v>3413</v>
      </c>
      <c r="Q1" s="3144" t="s">
        <v>3414</v>
      </c>
      <c r="R1" s="3144" t="s">
        <v>3415</v>
      </c>
      <c r="S1" s="3144" t="s">
        <v>3416</v>
      </c>
      <c r="T1" s="3144" t="s">
        <v>3417</v>
      </c>
      <c r="U1" s="3144" t="s">
        <v>3418</v>
      </c>
      <c r="V1" s="3144" t="s">
        <v>3419</v>
      </c>
      <c r="W1" s="3144" t="s">
        <v>3420</v>
      </c>
      <c r="X1" s="3144" t="s">
        <v>3421</v>
      </c>
      <c r="Y1" s="3145" t="s">
        <v>3422</v>
      </c>
    </row>
    <row r="2" spans="1:29" hidden="1">
      <c r="A2" s="3146" t="s">
        <v>3423</v>
      </c>
      <c r="B2" s="3146" t="s">
        <v>3385</v>
      </c>
      <c r="C2" s="3146" t="s">
        <v>3424</v>
      </c>
      <c r="D2" s="3146" t="s">
        <v>3425</v>
      </c>
      <c r="E2" s="3146" t="s">
        <v>3426</v>
      </c>
      <c r="F2" s="3146" t="s">
        <v>3427</v>
      </c>
      <c r="G2" s="3146">
        <v>203586.66</v>
      </c>
      <c r="H2" s="3146">
        <v>305379.99</v>
      </c>
      <c r="I2" s="3146" t="s">
        <v>3428</v>
      </c>
      <c r="J2" s="3146" t="s">
        <v>3429</v>
      </c>
      <c r="K2" s="3146" t="s">
        <v>3430</v>
      </c>
      <c r="L2" s="3146" t="s">
        <v>3431</v>
      </c>
      <c r="M2" s="3146" t="s">
        <v>3432</v>
      </c>
      <c r="N2" s="3146" t="s">
        <v>3433</v>
      </c>
      <c r="O2" s="3147">
        <v>45446.000497685185</v>
      </c>
      <c r="P2" s="3146" t="s">
        <v>3434</v>
      </c>
      <c r="Q2" s="3146">
        <v>36462.370000000003</v>
      </c>
      <c r="R2" s="3146">
        <v>36462.370000000003</v>
      </c>
      <c r="S2" s="3146">
        <v>1791</v>
      </c>
      <c r="T2" s="3146">
        <v>119.4</v>
      </c>
      <c r="U2" s="3146">
        <v>1194</v>
      </c>
      <c r="V2" s="3146">
        <v>0</v>
      </c>
      <c r="W2" s="3146">
        <v>50</v>
      </c>
      <c r="X2" s="3146" t="s">
        <v>3435</v>
      </c>
    </row>
    <row r="3" spans="1:29" hidden="1">
      <c r="A3" s="3146" t="s">
        <v>3436</v>
      </c>
      <c r="B3" s="3146" t="s">
        <v>3385</v>
      </c>
      <c r="C3" s="3146" t="s">
        <v>3437</v>
      </c>
      <c r="D3" s="3146" t="s">
        <v>3425</v>
      </c>
      <c r="E3" s="3146" t="s">
        <v>3438</v>
      </c>
      <c r="F3" s="3146" t="s">
        <v>3427</v>
      </c>
      <c r="G3" s="3146">
        <v>5467.2</v>
      </c>
      <c r="H3" s="3146">
        <v>5467.2</v>
      </c>
      <c r="I3" s="3146">
        <v>1</v>
      </c>
      <c r="J3" s="3146" t="s">
        <v>3429</v>
      </c>
      <c r="K3" s="3146" t="s">
        <v>3430</v>
      </c>
      <c r="L3" s="3146" t="s">
        <v>3439</v>
      </c>
      <c r="M3" s="3146" t="s">
        <v>3432</v>
      </c>
      <c r="N3" s="3146" t="s">
        <v>3433</v>
      </c>
      <c r="O3" s="3147">
        <v>45442.000497685185</v>
      </c>
      <c r="P3" s="3146" t="s">
        <v>3440</v>
      </c>
      <c r="Q3" s="3146">
        <v>844.63</v>
      </c>
      <c r="R3" s="3146">
        <v>844.63</v>
      </c>
      <c r="S3" s="3146">
        <v>1544.9</v>
      </c>
      <c r="T3" s="3146">
        <v>102.99</v>
      </c>
      <c r="U3" s="3146">
        <v>1545</v>
      </c>
      <c r="V3" s="3146">
        <v>0</v>
      </c>
      <c r="W3" s="3146">
        <v>20</v>
      </c>
      <c r="X3" s="3146" t="s">
        <v>3435</v>
      </c>
      <c r="Y3" s="3148">
        <f>ROUND(U3*$AC$8,0)</f>
        <v>2347</v>
      </c>
      <c r="Z3" s="3146" t="s">
        <v>3441</v>
      </c>
    </row>
    <row r="4" spans="1:29" hidden="1">
      <c r="A4" s="3146" t="s">
        <v>3442</v>
      </c>
      <c r="B4" s="3146" t="s">
        <v>3385</v>
      </c>
      <c r="C4" s="3146" t="s">
        <v>3443</v>
      </c>
      <c r="D4" s="3146" t="s">
        <v>3425</v>
      </c>
      <c r="E4" s="3146" t="s">
        <v>3426</v>
      </c>
      <c r="F4" s="3146" t="s">
        <v>3427</v>
      </c>
      <c r="G4" s="3146">
        <v>260416.91</v>
      </c>
      <c r="H4" s="3146">
        <v>260416.91</v>
      </c>
      <c r="I4" s="3146" t="s">
        <v>3444</v>
      </c>
      <c r="J4" s="3146" t="s">
        <v>3429</v>
      </c>
      <c r="K4" s="3146" t="s">
        <v>3445</v>
      </c>
      <c r="L4" s="3146" t="s">
        <v>3446</v>
      </c>
      <c r="M4" s="3146" t="s">
        <v>3432</v>
      </c>
      <c r="N4" s="3146" t="s">
        <v>3433</v>
      </c>
      <c r="O4" s="3147">
        <v>45446.000497685185</v>
      </c>
      <c r="P4" s="3146" t="s">
        <v>3447</v>
      </c>
      <c r="Q4" s="3146">
        <v>22500.02</v>
      </c>
      <c r="R4" s="3146">
        <v>22500.02</v>
      </c>
      <c r="S4" s="3146">
        <v>863.99</v>
      </c>
      <c r="T4" s="3146">
        <v>57.6</v>
      </c>
      <c r="U4" s="3146">
        <v>864</v>
      </c>
      <c r="V4" s="3146">
        <v>0</v>
      </c>
      <c r="W4" s="3146">
        <v>20</v>
      </c>
      <c r="X4" s="3146" t="s">
        <v>3435</v>
      </c>
      <c r="Y4" s="3148">
        <f t="shared" ref="Y4:Y22" si="0">ROUND(U4*$AC$8,0)</f>
        <v>1313</v>
      </c>
      <c r="AB4" s="3146" t="s">
        <v>3448</v>
      </c>
      <c r="AC4" s="3146">
        <f>'数据-取费表'!H6</f>
        <v>4.4999999999999998E-2</v>
      </c>
    </row>
    <row r="5" spans="1:29" hidden="1">
      <c r="A5" s="3146" t="s">
        <v>3449</v>
      </c>
      <c r="B5" s="3146" t="s">
        <v>3385</v>
      </c>
      <c r="C5" s="3146" t="s">
        <v>3450</v>
      </c>
      <c r="D5" s="3146" t="s">
        <v>3425</v>
      </c>
      <c r="E5" s="3146" t="s">
        <v>3451</v>
      </c>
      <c r="F5" s="3146" t="s">
        <v>3427</v>
      </c>
      <c r="G5" s="3146">
        <v>17549.900000000001</v>
      </c>
      <c r="H5" s="3146">
        <v>17549.900000000001</v>
      </c>
      <c r="I5" s="3146" t="s">
        <v>3452</v>
      </c>
      <c r="J5" s="3146" t="s">
        <v>3429</v>
      </c>
      <c r="K5" s="3146" t="s">
        <v>3445</v>
      </c>
      <c r="L5" s="3146" t="s">
        <v>3453</v>
      </c>
      <c r="M5" s="3146" t="s">
        <v>3432</v>
      </c>
      <c r="N5" s="3146" t="s">
        <v>3433</v>
      </c>
      <c r="O5" s="3147">
        <v>45322.000497685185</v>
      </c>
      <c r="P5" s="3146" t="s">
        <v>3454</v>
      </c>
      <c r="Q5" s="3146">
        <v>2100.7199999999998</v>
      </c>
      <c r="R5" s="3146">
        <v>2100.7199999999998</v>
      </c>
      <c r="S5" s="3146">
        <v>1196.99</v>
      </c>
      <c r="T5" s="3146">
        <v>79.8</v>
      </c>
      <c r="U5" s="3146">
        <v>1197</v>
      </c>
      <c r="V5" s="3146">
        <v>0</v>
      </c>
      <c r="W5" s="3146">
        <v>20</v>
      </c>
      <c r="X5" s="3146" t="s">
        <v>3455</v>
      </c>
      <c r="Y5" s="3148">
        <f t="shared" si="0"/>
        <v>1818</v>
      </c>
      <c r="AB5" s="3146" t="s">
        <v>3456</v>
      </c>
      <c r="AC5" s="3146" t="s">
        <v>3457</v>
      </c>
    </row>
    <row r="6" spans="1:29" hidden="1">
      <c r="A6" s="3146" t="s">
        <v>3458</v>
      </c>
      <c r="B6" s="3146" t="s">
        <v>3385</v>
      </c>
      <c r="C6" s="3146" t="s">
        <v>3459</v>
      </c>
      <c r="D6" s="3146" t="s">
        <v>3425</v>
      </c>
      <c r="E6" s="3146" t="s">
        <v>3460</v>
      </c>
      <c r="F6" s="3146" t="s">
        <v>3427</v>
      </c>
      <c r="G6" s="3146">
        <v>72656</v>
      </c>
      <c r="H6" s="3146">
        <v>145312</v>
      </c>
      <c r="I6" s="3146" t="s">
        <v>3461</v>
      </c>
      <c r="J6" s="3146" t="s">
        <v>3429</v>
      </c>
      <c r="K6" s="3146" t="s">
        <v>3445</v>
      </c>
      <c r="L6" s="3146" t="s">
        <v>3462</v>
      </c>
      <c r="M6" s="3146" t="s">
        <v>3432</v>
      </c>
      <c r="N6" s="3146" t="s">
        <v>3433</v>
      </c>
      <c r="O6" s="3147">
        <v>45279.000497685185</v>
      </c>
      <c r="P6" s="3146" t="s">
        <v>3463</v>
      </c>
      <c r="Q6" s="3146">
        <v>19181.18</v>
      </c>
      <c r="R6" s="3146">
        <v>19181.18</v>
      </c>
      <c r="S6" s="3146">
        <v>2639.99</v>
      </c>
      <c r="T6" s="3146">
        <v>176</v>
      </c>
      <c r="U6" s="3146">
        <v>1320</v>
      </c>
      <c r="V6" s="3146">
        <v>0</v>
      </c>
      <c r="W6" s="3146" t="s">
        <v>3464</v>
      </c>
      <c r="X6" s="3146" t="s">
        <v>3455</v>
      </c>
      <c r="Y6" s="3148">
        <f t="shared" si="0"/>
        <v>2005</v>
      </c>
      <c r="AB6" s="3146">
        <v>50</v>
      </c>
      <c r="AC6" s="3146">
        <f>ROUND(1-1/(1+$AC$4)^AB6,4)</f>
        <v>0.88929999999999998</v>
      </c>
    </row>
    <row r="7" spans="1:29" hidden="1">
      <c r="A7" s="3146" t="s">
        <v>3465</v>
      </c>
      <c r="B7" s="3146" t="s">
        <v>3385</v>
      </c>
      <c r="C7" s="3146" t="s">
        <v>3466</v>
      </c>
      <c r="D7" s="3146" t="s">
        <v>3425</v>
      </c>
      <c r="E7" s="3146" t="s">
        <v>3467</v>
      </c>
      <c r="F7" s="3146" t="s">
        <v>3427</v>
      </c>
      <c r="G7" s="3146">
        <v>16968</v>
      </c>
      <c r="H7" s="3146">
        <v>40904</v>
      </c>
      <c r="I7" s="3146" t="s">
        <v>3468</v>
      </c>
      <c r="J7" s="3146" t="s">
        <v>3429</v>
      </c>
      <c r="K7" s="3146" t="s">
        <v>3430</v>
      </c>
      <c r="L7" s="3146" t="s">
        <v>3469</v>
      </c>
      <c r="M7" s="3146" t="s">
        <v>3432</v>
      </c>
      <c r="N7" s="3146" t="s">
        <v>3433</v>
      </c>
      <c r="O7" s="3147">
        <v>45210.000497685185</v>
      </c>
      <c r="P7" s="3146" t="s">
        <v>3470</v>
      </c>
      <c r="Q7" s="3146">
        <v>7041.48</v>
      </c>
      <c r="R7" s="3146">
        <v>7041.48</v>
      </c>
      <c r="S7" s="3146">
        <v>4149.8500000000004</v>
      </c>
      <c r="T7" s="3146">
        <v>276.66000000000003</v>
      </c>
      <c r="U7" s="3146">
        <v>1721</v>
      </c>
      <c r="V7" s="3146">
        <v>0</v>
      </c>
      <c r="W7" s="3146" t="s">
        <v>3464</v>
      </c>
      <c r="X7" s="3146" t="s">
        <v>3455</v>
      </c>
      <c r="Y7" s="3148">
        <f t="shared" si="0"/>
        <v>2614</v>
      </c>
      <c r="AB7" s="3146">
        <v>20</v>
      </c>
      <c r="AC7" s="3146">
        <f>ROUND(1-1/(1+$AC$4)^AB7,4)</f>
        <v>0.58540000000000003</v>
      </c>
    </row>
    <row r="8" spans="1:29" hidden="1">
      <c r="A8" s="3146" t="s">
        <v>3471</v>
      </c>
      <c r="B8" s="3146" t="s">
        <v>3385</v>
      </c>
      <c r="C8" s="3146" t="s">
        <v>3472</v>
      </c>
      <c r="D8" s="3146" t="s">
        <v>3425</v>
      </c>
      <c r="E8" s="3146" t="s">
        <v>3473</v>
      </c>
      <c r="F8" s="3146" t="s">
        <v>3427</v>
      </c>
      <c r="G8" s="3146">
        <v>14975.1</v>
      </c>
      <c r="H8" s="3146">
        <v>22462.65</v>
      </c>
      <c r="I8" s="3146">
        <v>1.5</v>
      </c>
      <c r="J8" s="3146" t="s">
        <v>3429</v>
      </c>
      <c r="K8" s="3146" t="s">
        <v>3430</v>
      </c>
      <c r="L8" s="3146" t="s">
        <v>3431</v>
      </c>
      <c r="M8" s="3146" t="s">
        <v>3432</v>
      </c>
      <c r="N8" s="3146" t="s">
        <v>3433</v>
      </c>
      <c r="O8" s="3147">
        <v>45195.000497685185</v>
      </c>
      <c r="P8" s="3146" t="s">
        <v>3474</v>
      </c>
      <c r="Q8" s="3146">
        <v>1682.45</v>
      </c>
      <c r="R8" s="3146">
        <v>1682.45</v>
      </c>
      <c r="S8" s="3146">
        <v>1123.49</v>
      </c>
      <c r="T8" s="3146">
        <v>74.900000000000006</v>
      </c>
      <c r="U8" s="3146">
        <v>749</v>
      </c>
      <c r="V8" s="3146">
        <v>0</v>
      </c>
      <c r="W8" s="3146" t="s">
        <v>3464</v>
      </c>
      <c r="X8" s="3146" t="s">
        <v>3455</v>
      </c>
      <c r="Y8" s="3148">
        <f t="shared" si="0"/>
        <v>1138</v>
      </c>
      <c r="AC8" s="3146">
        <f>ROUND(AC6/AC7,4)</f>
        <v>1.5190999999999999</v>
      </c>
    </row>
    <row r="9" spans="1:29" hidden="1">
      <c r="A9" s="3146" t="s">
        <v>3475</v>
      </c>
      <c r="B9" s="3146" t="s">
        <v>3385</v>
      </c>
      <c r="C9" s="3146" t="s">
        <v>3476</v>
      </c>
      <c r="D9" s="3146" t="s">
        <v>3425</v>
      </c>
      <c r="E9" s="3146" t="s">
        <v>3477</v>
      </c>
      <c r="F9" s="3146" t="s">
        <v>3427</v>
      </c>
      <c r="G9" s="3146">
        <v>74702.7</v>
      </c>
      <c r="H9" s="3146">
        <v>110253.98</v>
      </c>
      <c r="I9" s="3146">
        <v>1.48</v>
      </c>
      <c r="J9" s="3146" t="s">
        <v>3429</v>
      </c>
      <c r="K9" s="3146" t="s">
        <v>3478</v>
      </c>
      <c r="L9" s="3146" t="s">
        <v>3479</v>
      </c>
      <c r="M9" s="3146" t="s">
        <v>3432</v>
      </c>
      <c r="N9" s="3146" t="s">
        <v>3433</v>
      </c>
      <c r="O9" s="3147">
        <v>45187.000497685185</v>
      </c>
      <c r="P9" s="3146" t="s">
        <v>3480</v>
      </c>
      <c r="Q9" s="3146">
        <v>16910.09</v>
      </c>
      <c r="R9" s="3146">
        <v>16910.09</v>
      </c>
      <c r="S9" s="3146">
        <v>2263.65</v>
      </c>
      <c r="T9" s="3146">
        <v>150.91</v>
      </c>
      <c r="U9" s="3146">
        <v>1534</v>
      </c>
      <c r="V9" s="3146">
        <v>0</v>
      </c>
      <c r="W9" s="3146" t="s">
        <v>3464</v>
      </c>
      <c r="X9" s="3146" t="s">
        <v>3455</v>
      </c>
      <c r="Y9" s="3148">
        <f t="shared" si="0"/>
        <v>2330</v>
      </c>
    </row>
    <row r="10" spans="1:29" hidden="1">
      <c r="A10" s="3146" t="s">
        <v>3481</v>
      </c>
      <c r="B10" s="3146" t="s">
        <v>3385</v>
      </c>
      <c r="C10" s="3146" t="s">
        <v>3482</v>
      </c>
      <c r="D10" s="3146" t="s">
        <v>3425</v>
      </c>
      <c r="E10" s="3146" t="s">
        <v>3451</v>
      </c>
      <c r="F10" s="3146" t="s">
        <v>3427</v>
      </c>
      <c r="G10" s="3146">
        <v>26178.400000000001</v>
      </c>
      <c r="H10" s="3146">
        <v>52356.800000000003</v>
      </c>
      <c r="I10" s="3146">
        <v>2</v>
      </c>
      <c r="J10" s="3146" t="s">
        <v>3429</v>
      </c>
      <c r="K10" s="3146" t="s">
        <v>3430</v>
      </c>
      <c r="L10" s="3146" t="s">
        <v>3431</v>
      </c>
      <c r="M10" s="3146" t="s">
        <v>3432</v>
      </c>
      <c r="N10" s="3146" t="s">
        <v>3433</v>
      </c>
      <c r="O10" s="3147">
        <v>45140.000497685185</v>
      </c>
      <c r="P10" s="3146" t="s">
        <v>3483</v>
      </c>
      <c r="Q10" s="3146">
        <v>3413.66</v>
      </c>
      <c r="R10" s="3146">
        <v>3413.66</v>
      </c>
      <c r="S10" s="3146">
        <v>1303.99</v>
      </c>
      <c r="T10" s="3146">
        <v>86.93</v>
      </c>
      <c r="U10" s="3146">
        <v>652</v>
      </c>
      <c r="V10" s="3146">
        <v>0</v>
      </c>
      <c r="W10" s="3146" t="s">
        <v>3464</v>
      </c>
      <c r="X10" s="3146" t="s">
        <v>3455</v>
      </c>
      <c r="Y10" s="3148">
        <f t="shared" si="0"/>
        <v>990</v>
      </c>
    </row>
    <row r="11" spans="1:29" hidden="1">
      <c r="A11" s="3146" t="s">
        <v>3484</v>
      </c>
      <c r="B11" s="3146" t="s">
        <v>3385</v>
      </c>
      <c r="C11" s="3146" t="s">
        <v>3485</v>
      </c>
      <c r="D11" s="3146" t="s">
        <v>3425</v>
      </c>
      <c r="E11" s="3146" t="s">
        <v>3486</v>
      </c>
      <c r="F11" s="3146" t="s">
        <v>3427</v>
      </c>
      <c r="G11" s="3146">
        <v>14078.7</v>
      </c>
      <c r="H11" s="3146">
        <v>28157.4</v>
      </c>
      <c r="I11" s="3146">
        <v>2</v>
      </c>
      <c r="J11" s="3146" t="s">
        <v>3429</v>
      </c>
      <c r="K11" s="3146" t="s">
        <v>3430</v>
      </c>
      <c r="L11" s="3146" t="s">
        <v>3431</v>
      </c>
      <c r="M11" s="3146" t="s">
        <v>3432</v>
      </c>
      <c r="N11" s="3146" t="s">
        <v>3433</v>
      </c>
      <c r="O11" s="3147">
        <v>45112.000497685185</v>
      </c>
      <c r="P11" s="3146" t="s">
        <v>3487</v>
      </c>
      <c r="Q11" s="3146">
        <v>2044.23</v>
      </c>
      <c r="R11" s="3146">
        <v>2044.23</v>
      </c>
      <c r="S11" s="3146">
        <v>1452</v>
      </c>
      <c r="T11" s="3146">
        <v>96.8</v>
      </c>
      <c r="U11" s="3146">
        <v>726</v>
      </c>
      <c r="V11" s="3146">
        <v>0</v>
      </c>
      <c r="W11" s="3146" t="s">
        <v>3464</v>
      </c>
      <c r="X11" s="3146" t="s">
        <v>3455</v>
      </c>
      <c r="Y11" s="3148">
        <f t="shared" si="0"/>
        <v>1103</v>
      </c>
    </row>
    <row r="12" spans="1:29" hidden="1">
      <c r="A12" s="3146" t="s">
        <v>3488</v>
      </c>
      <c r="B12" s="3146" t="s">
        <v>3385</v>
      </c>
      <c r="C12" s="3146" t="s">
        <v>3489</v>
      </c>
      <c r="D12" s="3146" t="s">
        <v>3425</v>
      </c>
      <c r="E12" s="3146" t="s">
        <v>3426</v>
      </c>
      <c r="F12" s="3146" t="s">
        <v>3427</v>
      </c>
      <c r="G12" s="3146">
        <v>20278.599999999999</v>
      </c>
      <c r="H12" s="3146">
        <v>50696.5</v>
      </c>
      <c r="I12" s="3146" t="s">
        <v>3468</v>
      </c>
      <c r="J12" s="3146" t="s">
        <v>3429</v>
      </c>
      <c r="K12" s="3146" t="s">
        <v>3445</v>
      </c>
      <c r="L12" s="3146" t="s">
        <v>3490</v>
      </c>
      <c r="M12" s="3146" t="s">
        <v>3432</v>
      </c>
      <c r="N12" s="3146" t="s">
        <v>3433</v>
      </c>
      <c r="O12" s="3147">
        <v>45052.000497685185</v>
      </c>
      <c r="P12" s="3146" t="s">
        <v>3491</v>
      </c>
      <c r="Q12" s="3146">
        <v>2975.88</v>
      </c>
      <c r="R12" s="3146">
        <v>2975.88</v>
      </c>
      <c r="S12" s="3146">
        <v>1467.49</v>
      </c>
      <c r="T12" s="3146">
        <v>97.83</v>
      </c>
      <c r="U12" s="3146">
        <v>587</v>
      </c>
      <c r="V12" s="3146">
        <v>0</v>
      </c>
      <c r="W12" s="3146" t="s">
        <v>3464</v>
      </c>
      <c r="X12" s="3146" t="s">
        <v>3455</v>
      </c>
      <c r="Y12" s="3148">
        <f t="shared" si="0"/>
        <v>892</v>
      </c>
    </row>
    <row r="13" spans="1:29" hidden="1">
      <c r="A13" s="3146" t="s">
        <v>3492</v>
      </c>
      <c r="B13" s="3146" t="s">
        <v>3385</v>
      </c>
      <c r="C13" s="3146" t="s">
        <v>3493</v>
      </c>
      <c r="D13" s="3146" t="s">
        <v>3425</v>
      </c>
      <c r="E13" s="3146" t="s">
        <v>3477</v>
      </c>
      <c r="F13" s="3146" t="s">
        <v>3427</v>
      </c>
      <c r="G13" s="3146">
        <v>52522.559999999998</v>
      </c>
      <c r="H13" s="3146">
        <v>78783.839999999997</v>
      </c>
      <c r="I13" s="3146">
        <v>1.5</v>
      </c>
      <c r="J13" s="3146" t="s">
        <v>3429</v>
      </c>
      <c r="K13" s="3146" t="s">
        <v>3445</v>
      </c>
      <c r="L13" s="3146" t="s">
        <v>3445</v>
      </c>
      <c r="M13" s="3146" t="s">
        <v>3432</v>
      </c>
      <c r="N13" s="3146" t="s">
        <v>3433</v>
      </c>
      <c r="O13" s="3147">
        <v>45033.000497685185</v>
      </c>
      <c r="P13" s="3146" t="s">
        <v>3494</v>
      </c>
      <c r="Q13" s="3146">
        <v>9585.85</v>
      </c>
      <c r="R13" s="3146">
        <v>9585.85</v>
      </c>
      <c r="S13" s="3146">
        <v>1825.09</v>
      </c>
      <c r="T13" s="3146">
        <v>121.67</v>
      </c>
      <c r="U13" s="3146">
        <v>1217</v>
      </c>
      <c r="V13" s="3146">
        <v>0</v>
      </c>
      <c r="W13" s="3146" t="s">
        <v>3464</v>
      </c>
      <c r="X13" s="3146" t="s">
        <v>3455</v>
      </c>
      <c r="Y13" s="3148">
        <f t="shared" si="0"/>
        <v>1849</v>
      </c>
    </row>
    <row r="14" spans="1:29" hidden="1">
      <c r="A14" s="3146" t="s">
        <v>3495</v>
      </c>
      <c r="B14" s="3146" t="s">
        <v>3385</v>
      </c>
      <c r="C14" s="3146" t="s">
        <v>3496</v>
      </c>
      <c r="D14" s="3146" t="s">
        <v>3425</v>
      </c>
      <c r="E14" s="3146" t="s">
        <v>3473</v>
      </c>
      <c r="F14" s="3146" t="s">
        <v>3427</v>
      </c>
      <c r="G14" s="3146">
        <v>20292</v>
      </c>
      <c r="H14" s="3146">
        <v>40584</v>
      </c>
      <c r="I14" s="3146" t="s">
        <v>3497</v>
      </c>
      <c r="J14" s="3146" t="s">
        <v>3429</v>
      </c>
      <c r="K14" s="3146" t="s">
        <v>3445</v>
      </c>
      <c r="L14" s="3146" t="s">
        <v>3490</v>
      </c>
      <c r="M14" s="3146" t="s">
        <v>3432</v>
      </c>
      <c r="N14" s="3146" t="s">
        <v>3433</v>
      </c>
      <c r="O14" s="3147">
        <v>45021.000497685185</v>
      </c>
      <c r="P14" s="3146" t="s">
        <v>3498</v>
      </c>
      <c r="Q14" s="3146">
        <v>2317.35</v>
      </c>
      <c r="R14" s="3146">
        <v>2317.35</v>
      </c>
      <c r="S14" s="3146">
        <v>1142</v>
      </c>
      <c r="T14" s="3146">
        <v>76.13</v>
      </c>
      <c r="U14" s="3146">
        <v>571</v>
      </c>
      <c r="V14" s="3146">
        <v>0</v>
      </c>
      <c r="W14" s="3146" t="s">
        <v>3464</v>
      </c>
      <c r="X14" s="3146" t="s">
        <v>3455</v>
      </c>
      <c r="Y14" s="3148">
        <f t="shared" si="0"/>
        <v>867</v>
      </c>
    </row>
    <row r="15" spans="1:29" hidden="1">
      <c r="A15" s="3146" t="s">
        <v>3499</v>
      </c>
      <c r="B15" s="3146" t="s">
        <v>3385</v>
      </c>
      <c r="C15" s="3146" t="s">
        <v>3500</v>
      </c>
      <c r="D15" s="3146" t="s">
        <v>3425</v>
      </c>
      <c r="E15" s="3146" t="s">
        <v>3473</v>
      </c>
      <c r="F15" s="3146" t="s">
        <v>3427</v>
      </c>
      <c r="G15" s="3146">
        <v>24855</v>
      </c>
      <c r="H15" s="3146">
        <v>37282.5</v>
      </c>
      <c r="I15" s="3146" t="s">
        <v>3501</v>
      </c>
      <c r="J15" s="3146" t="s">
        <v>3429</v>
      </c>
      <c r="K15" s="3146" t="s">
        <v>3430</v>
      </c>
      <c r="L15" s="3146" t="s">
        <v>3431</v>
      </c>
      <c r="M15" s="3146" t="s">
        <v>3432</v>
      </c>
      <c r="N15" s="3146" t="s">
        <v>3433</v>
      </c>
      <c r="O15" s="3147">
        <v>45015.000497685185</v>
      </c>
      <c r="P15" s="3146" t="s">
        <v>3502</v>
      </c>
      <c r="Q15" s="3146">
        <v>2128.83</v>
      </c>
      <c r="R15" s="3146">
        <v>2128.83</v>
      </c>
      <c r="S15" s="3146">
        <v>856.49</v>
      </c>
      <c r="T15" s="3146">
        <v>57.1</v>
      </c>
      <c r="U15" s="3146">
        <v>571</v>
      </c>
      <c r="V15" s="3146">
        <v>0</v>
      </c>
      <c r="W15" s="3146" t="s">
        <v>3464</v>
      </c>
      <c r="X15" s="3146" t="s">
        <v>3455</v>
      </c>
      <c r="Y15" s="3148">
        <f t="shared" si="0"/>
        <v>867</v>
      </c>
    </row>
    <row r="16" spans="1:29" hidden="1">
      <c r="A16" s="3146" t="s">
        <v>3503</v>
      </c>
      <c r="B16" s="3146" t="s">
        <v>3385</v>
      </c>
      <c r="C16" s="3146" t="s">
        <v>3504</v>
      </c>
      <c r="D16" s="3146" t="s">
        <v>3425</v>
      </c>
      <c r="E16" s="3146" t="s">
        <v>3473</v>
      </c>
      <c r="F16" s="3146" t="s">
        <v>3427</v>
      </c>
      <c r="G16" s="3146">
        <v>25945.1</v>
      </c>
      <c r="H16" s="3146">
        <v>38917.65</v>
      </c>
      <c r="I16" s="3146">
        <v>1.5</v>
      </c>
      <c r="J16" s="3146" t="s">
        <v>3429</v>
      </c>
      <c r="K16" s="3146" t="s">
        <v>3430</v>
      </c>
      <c r="L16" s="3146" t="s">
        <v>3431</v>
      </c>
      <c r="M16" s="3146" t="s">
        <v>3432</v>
      </c>
      <c r="N16" s="3146" t="s">
        <v>3433</v>
      </c>
      <c r="O16" s="3147">
        <v>45015.000497685185</v>
      </c>
      <c r="P16" s="3146" t="s">
        <v>3505</v>
      </c>
      <c r="Q16" s="3146">
        <v>2222.1999999999998</v>
      </c>
      <c r="R16" s="3146">
        <v>2222.1999999999998</v>
      </c>
      <c r="S16" s="3146">
        <v>856.5</v>
      </c>
      <c r="T16" s="3146">
        <v>57.1</v>
      </c>
      <c r="U16" s="3146">
        <v>571</v>
      </c>
      <c r="V16" s="3146">
        <v>0</v>
      </c>
      <c r="W16" s="3146" t="s">
        <v>3464</v>
      </c>
      <c r="X16" s="3146" t="s">
        <v>3455</v>
      </c>
      <c r="Y16" s="3148">
        <f t="shared" si="0"/>
        <v>867</v>
      </c>
    </row>
    <row r="17" spans="1:26" hidden="1">
      <c r="A17" s="3146" t="s">
        <v>3506</v>
      </c>
      <c r="B17" s="3146" t="s">
        <v>3385</v>
      </c>
      <c r="C17" s="3146" t="s">
        <v>3507</v>
      </c>
      <c r="D17" s="3146" t="s">
        <v>3425</v>
      </c>
      <c r="E17" s="3146" t="s">
        <v>3473</v>
      </c>
      <c r="F17" s="3146" t="s">
        <v>3427</v>
      </c>
      <c r="G17" s="3146">
        <v>22492.5</v>
      </c>
      <c r="H17" s="3146">
        <v>33738.75</v>
      </c>
      <c r="I17" s="3146" t="s">
        <v>3501</v>
      </c>
      <c r="J17" s="3146" t="s">
        <v>3429</v>
      </c>
      <c r="K17" s="3146" t="s">
        <v>3430</v>
      </c>
      <c r="L17" s="3146" t="s">
        <v>3431</v>
      </c>
      <c r="M17" s="3146" t="s">
        <v>3432</v>
      </c>
      <c r="N17" s="3146" t="s">
        <v>3433</v>
      </c>
      <c r="O17" s="3147">
        <v>45008.000497685185</v>
      </c>
      <c r="P17" s="3146" t="s">
        <v>3508</v>
      </c>
      <c r="Q17" s="3146" t="s">
        <v>3433</v>
      </c>
      <c r="R17" s="3146">
        <v>1926.48</v>
      </c>
      <c r="S17" s="3146">
        <v>856.49</v>
      </c>
      <c r="T17" s="3146">
        <v>57.1</v>
      </c>
      <c r="U17" s="3146">
        <v>571</v>
      </c>
      <c r="V17" s="3146">
        <v>0</v>
      </c>
      <c r="W17" s="3146" t="s">
        <v>3464</v>
      </c>
      <c r="X17" s="3146" t="s">
        <v>3455</v>
      </c>
      <c r="Y17" s="3148">
        <f t="shared" si="0"/>
        <v>867</v>
      </c>
    </row>
    <row r="18" spans="1:26" hidden="1">
      <c r="A18" s="3146" t="s">
        <v>3509</v>
      </c>
      <c r="B18" s="3146" t="s">
        <v>3385</v>
      </c>
      <c r="C18" s="3146" t="s">
        <v>3510</v>
      </c>
      <c r="D18" s="3146" t="s">
        <v>3425</v>
      </c>
      <c r="E18" s="3146" t="s">
        <v>3426</v>
      </c>
      <c r="F18" s="3146" t="s">
        <v>3427</v>
      </c>
      <c r="G18" s="3146">
        <v>37965.22</v>
      </c>
      <c r="H18" s="3146">
        <v>75930.44</v>
      </c>
      <c r="I18" s="3146">
        <v>2</v>
      </c>
      <c r="J18" s="3146" t="s">
        <v>3429</v>
      </c>
      <c r="K18" s="3146" t="s">
        <v>3430</v>
      </c>
      <c r="L18" s="3146" t="s">
        <v>3431</v>
      </c>
      <c r="M18" s="3146" t="s">
        <v>3432</v>
      </c>
      <c r="N18" s="3146" t="s">
        <v>3433</v>
      </c>
      <c r="O18" s="3147">
        <v>45001.000497685185</v>
      </c>
      <c r="P18" s="3146" t="s">
        <v>3511</v>
      </c>
      <c r="Q18" s="3146">
        <v>4457.12</v>
      </c>
      <c r="R18" s="3146">
        <v>4457.12</v>
      </c>
      <c r="S18" s="3146">
        <v>1174</v>
      </c>
      <c r="T18" s="3146">
        <v>78.27</v>
      </c>
      <c r="U18" s="3146">
        <v>587</v>
      </c>
      <c r="V18" s="3146">
        <v>0</v>
      </c>
      <c r="W18" s="3146" t="s">
        <v>3464</v>
      </c>
      <c r="X18" s="3146" t="s">
        <v>3455</v>
      </c>
      <c r="Y18" s="3148">
        <f t="shared" si="0"/>
        <v>892</v>
      </c>
    </row>
    <row r="19" spans="1:26" hidden="1">
      <c r="A19" s="3146" t="s">
        <v>3512</v>
      </c>
      <c r="B19" s="3146" t="s">
        <v>3385</v>
      </c>
      <c r="C19" s="3146" t="s">
        <v>3513</v>
      </c>
      <c r="D19" s="3146" t="s">
        <v>3425</v>
      </c>
      <c r="E19" s="3146" t="s">
        <v>3514</v>
      </c>
      <c r="F19" s="3146" t="s">
        <v>3427</v>
      </c>
      <c r="G19" s="3146">
        <v>6837.8</v>
      </c>
      <c r="H19" s="3146">
        <v>5470.24</v>
      </c>
      <c r="I19" s="3146" t="s">
        <v>3515</v>
      </c>
      <c r="J19" s="3146" t="s">
        <v>3429</v>
      </c>
      <c r="K19" s="3146" t="s">
        <v>3430</v>
      </c>
      <c r="L19" s="3146" t="s">
        <v>3516</v>
      </c>
      <c r="M19" s="3146" t="s">
        <v>3432</v>
      </c>
      <c r="N19" s="3146" t="s">
        <v>3433</v>
      </c>
      <c r="O19" s="3147">
        <v>44980.000497685185</v>
      </c>
      <c r="P19" s="3146" t="s">
        <v>3517</v>
      </c>
      <c r="Q19" s="3146">
        <v>496.42</v>
      </c>
      <c r="R19" s="3146">
        <v>496.42</v>
      </c>
      <c r="S19" s="3146">
        <v>725.99</v>
      </c>
      <c r="T19" s="3146">
        <v>48.4</v>
      </c>
      <c r="U19" s="3146">
        <v>907</v>
      </c>
      <c r="V19" s="3146">
        <v>0</v>
      </c>
      <c r="W19" s="3146" t="s">
        <v>3464</v>
      </c>
      <c r="X19" s="3146" t="s">
        <v>3455</v>
      </c>
      <c r="Y19" s="3148">
        <f t="shared" si="0"/>
        <v>1378</v>
      </c>
    </row>
    <row r="20" spans="1:26" hidden="1">
      <c r="A20" s="3146" t="s">
        <v>3518</v>
      </c>
      <c r="B20" s="3146" t="s">
        <v>3385</v>
      </c>
      <c r="C20" s="3146" t="s">
        <v>3519</v>
      </c>
      <c r="D20" s="3146" t="s">
        <v>3425</v>
      </c>
      <c r="E20" s="3146" t="s">
        <v>3473</v>
      </c>
      <c r="F20" s="3146" t="s">
        <v>3427</v>
      </c>
      <c r="G20" s="3146">
        <v>420642.53</v>
      </c>
      <c r="H20" s="3146">
        <v>841285.06</v>
      </c>
      <c r="I20" s="3146">
        <v>2</v>
      </c>
      <c r="J20" s="3146" t="s">
        <v>3429</v>
      </c>
      <c r="K20" s="3146" t="s">
        <v>3430</v>
      </c>
      <c r="L20" s="3146" t="s">
        <v>3427</v>
      </c>
      <c r="M20" s="3146" t="s">
        <v>3432</v>
      </c>
      <c r="N20" s="3146" t="s">
        <v>3433</v>
      </c>
      <c r="O20" s="3147">
        <v>44964.000497685185</v>
      </c>
      <c r="P20" s="3146" t="s">
        <v>3520</v>
      </c>
      <c r="Q20" s="3146">
        <v>49383.43</v>
      </c>
      <c r="R20" s="3146">
        <v>49383.43</v>
      </c>
      <c r="S20" s="3146">
        <v>1173.99</v>
      </c>
      <c r="T20" s="3146">
        <v>78.27</v>
      </c>
      <c r="U20" s="3146">
        <v>587</v>
      </c>
      <c r="V20" s="3146">
        <v>0</v>
      </c>
      <c r="W20" s="3146" t="s">
        <v>3464</v>
      </c>
      <c r="X20" s="3146" t="s">
        <v>3455</v>
      </c>
      <c r="Y20" s="3148">
        <f t="shared" si="0"/>
        <v>892</v>
      </c>
    </row>
    <row r="21" spans="1:26" hidden="1">
      <c r="A21" s="3146" t="s">
        <v>3521</v>
      </c>
      <c r="B21" s="3146" t="s">
        <v>3385</v>
      </c>
      <c r="C21" s="3146" t="s">
        <v>3522</v>
      </c>
      <c r="D21" s="3146" t="s">
        <v>3425</v>
      </c>
      <c r="E21" s="3146" t="s">
        <v>3460</v>
      </c>
      <c r="F21" s="3146" t="s">
        <v>3427</v>
      </c>
      <c r="G21" s="3146">
        <v>15343</v>
      </c>
      <c r="H21" s="3146">
        <v>36000</v>
      </c>
      <c r="I21" s="3146" t="s">
        <v>3523</v>
      </c>
      <c r="J21" s="3146" t="s">
        <v>3429</v>
      </c>
      <c r="K21" s="3146" t="s">
        <v>3430</v>
      </c>
      <c r="L21" s="3146" t="s">
        <v>3524</v>
      </c>
      <c r="M21" s="3146" t="s">
        <v>3432</v>
      </c>
      <c r="N21" s="3146" t="s">
        <v>3433</v>
      </c>
      <c r="O21" s="3147">
        <v>44955.000497685185</v>
      </c>
      <c r="P21" s="3146" t="s">
        <v>3525</v>
      </c>
      <c r="Q21" s="3146">
        <v>11401.2</v>
      </c>
      <c r="R21" s="3146">
        <v>11401.2</v>
      </c>
      <c r="S21" s="3146">
        <v>7430.88</v>
      </c>
      <c r="T21" s="3146">
        <v>495.39</v>
      </c>
      <c r="U21" s="3146">
        <v>3167</v>
      </c>
      <c r="V21" s="3146">
        <v>0</v>
      </c>
      <c r="W21" s="3146" t="s">
        <v>3464</v>
      </c>
      <c r="X21" s="3146" t="s">
        <v>3455</v>
      </c>
      <c r="Y21" s="3148">
        <f t="shared" si="0"/>
        <v>4811</v>
      </c>
    </row>
    <row r="22" spans="1:26" hidden="1">
      <c r="A22" s="3146" t="s">
        <v>3526</v>
      </c>
      <c r="B22" s="3146" t="s">
        <v>3385</v>
      </c>
      <c r="C22" s="3146" t="s">
        <v>3527</v>
      </c>
      <c r="D22" s="3146" t="s">
        <v>3425</v>
      </c>
      <c r="E22" s="3146" t="s">
        <v>3460</v>
      </c>
      <c r="F22" s="3146" t="s">
        <v>3427</v>
      </c>
      <c r="G22" s="3146">
        <v>21884.6</v>
      </c>
      <c r="H22" s="3146">
        <v>32826.9</v>
      </c>
      <c r="I22" s="3146" t="s">
        <v>3428</v>
      </c>
      <c r="J22" s="3146" t="s">
        <v>3429</v>
      </c>
      <c r="K22" s="3146" t="s">
        <v>3445</v>
      </c>
      <c r="L22" s="3146" t="s">
        <v>3453</v>
      </c>
      <c r="M22" s="3146" t="s">
        <v>3432</v>
      </c>
      <c r="N22" s="3146" t="s">
        <v>3433</v>
      </c>
      <c r="O22" s="3147">
        <v>44955.000497685185</v>
      </c>
      <c r="P22" s="3146" t="s">
        <v>3528</v>
      </c>
      <c r="Q22" s="3146">
        <v>3308.95</v>
      </c>
      <c r="R22" s="3146">
        <v>3308.95</v>
      </c>
      <c r="S22" s="3146">
        <v>1511.99</v>
      </c>
      <c r="T22" s="3146">
        <v>100.8</v>
      </c>
      <c r="U22" s="3146">
        <v>1008</v>
      </c>
      <c r="V22" s="3146">
        <v>0</v>
      </c>
      <c r="W22" s="3146" t="s">
        <v>3464</v>
      </c>
      <c r="X22" s="3146" t="s">
        <v>3455</v>
      </c>
      <c r="Y22" s="3148">
        <f t="shared" si="0"/>
        <v>1531</v>
      </c>
    </row>
    <row r="23" spans="1:26" hidden="1">
      <c r="A23" s="3146" t="s">
        <v>3529</v>
      </c>
      <c r="B23" s="3146" t="s">
        <v>3385</v>
      </c>
      <c r="C23" s="3146" t="s">
        <v>3530</v>
      </c>
      <c r="D23" s="3146" t="s">
        <v>3425</v>
      </c>
      <c r="E23" s="3146" t="s">
        <v>3460</v>
      </c>
      <c r="F23" s="3146" t="s">
        <v>3427</v>
      </c>
      <c r="G23" s="3146">
        <v>3658.3</v>
      </c>
      <c r="H23" s="3146">
        <v>3900</v>
      </c>
      <c r="I23" s="3146" t="s">
        <v>3531</v>
      </c>
      <c r="J23" s="3146" t="s">
        <v>3429</v>
      </c>
      <c r="K23" s="3146" t="s">
        <v>3445</v>
      </c>
      <c r="L23" s="3146" t="s">
        <v>3453</v>
      </c>
      <c r="M23" s="3146" t="s">
        <v>3432</v>
      </c>
      <c r="N23" s="3146" t="s">
        <v>3433</v>
      </c>
      <c r="O23" s="3147">
        <v>44955.000497685185</v>
      </c>
      <c r="P23" s="3146" t="s">
        <v>3528</v>
      </c>
      <c r="Q23" s="3146">
        <v>368.94</v>
      </c>
      <c r="R23" s="3146">
        <v>368.94</v>
      </c>
      <c r="S23" s="3146">
        <v>1008.5</v>
      </c>
      <c r="T23" s="3146">
        <v>67.23</v>
      </c>
      <c r="U23" s="3146">
        <v>946</v>
      </c>
      <c r="V23" s="3146">
        <v>0</v>
      </c>
      <c r="W23" s="3146" t="s">
        <v>3532</v>
      </c>
      <c r="X23" s="3146" t="s">
        <v>3455</v>
      </c>
    </row>
    <row r="24" spans="1:26" hidden="1">
      <c r="A24" s="3146" t="s">
        <v>3533</v>
      </c>
      <c r="B24" s="3146" t="s">
        <v>3385</v>
      </c>
      <c r="C24" s="3146" t="s">
        <v>3534</v>
      </c>
      <c r="D24" s="3146" t="s">
        <v>3425</v>
      </c>
      <c r="E24" s="3146" t="s">
        <v>3473</v>
      </c>
      <c r="F24" s="3146" t="s">
        <v>3427</v>
      </c>
      <c r="G24" s="3146">
        <v>25334.799999999999</v>
      </c>
      <c r="H24" s="3146">
        <v>38002.199999999997</v>
      </c>
      <c r="I24" s="3146">
        <v>1.5</v>
      </c>
      <c r="J24" s="3146" t="s">
        <v>3429</v>
      </c>
      <c r="K24" s="3146" t="s">
        <v>3445</v>
      </c>
      <c r="L24" s="3146" t="s">
        <v>3453</v>
      </c>
      <c r="M24" s="3146" t="s">
        <v>3432</v>
      </c>
      <c r="N24" s="3146" t="s">
        <v>3433</v>
      </c>
      <c r="O24" s="3147">
        <v>44931.000497685185</v>
      </c>
      <c r="P24" s="3146" t="s">
        <v>3535</v>
      </c>
      <c r="Q24" s="3146">
        <v>2169.9299999999998</v>
      </c>
      <c r="R24" s="3146">
        <v>2169.9299999999998</v>
      </c>
      <c r="S24" s="3146">
        <v>856.5</v>
      </c>
      <c r="T24" s="3146">
        <v>57.1</v>
      </c>
      <c r="U24" s="3146">
        <v>571</v>
      </c>
      <c r="V24" s="3146">
        <v>0</v>
      </c>
      <c r="W24" s="3146" t="s">
        <v>3464</v>
      </c>
      <c r="X24" s="3146" t="s">
        <v>3455</v>
      </c>
      <c r="Y24" s="3148">
        <f>ROUND(U24*$AC$8,0)</f>
        <v>867</v>
      </c>
    </row>
    <row r="25" spans="1:26" hidden="1">
      <c r="A25" s="3146" t="s">
        <v>3536</v>
      </c>
      <c r="B25" s="3146" t="s">
        <v>3385</v>
      </c>
      <c r="C25" s="3146" t="s">
        <v>3537</v>
      </c>
      <c r="D25" s="3146" t="s">
        <v>3425</v>
      </c>
      <c r="E25" s="3146" t="s">
        <v>3438</v>
      </c>
      <c r="F25" s="3146" t="s">
        <v>3427</v>
      </c>
      <c r="G25" s="3146">
        <v>52790.03</v>
      </c>
      <c r="H25" s="3146">
        <v>79185.05</v>
      </c>
      <c r="I25" s="3146" t="s">
        <v>3501</v>
      </c>
      <c r="J25" s="3146" t="s">
        <v>3429</v>
      </c>
      <c r="K25" s="3146" t="s">
        <v>3430</v>
      </c>
      <c r="L25" s="3146" t="s">
        <v>3427</v>
      </c>
      <c r="M25" s="3146" t="s">
        <v>3432</v>
      </c>
      <c r="N25" s="3146" t="s">
        <v>3433</v>
      </c>
      <c r="O25" s="3147">
        <v>44868.000497685185</v>
      </c>
      <c r="P25" s="3146" t="s">
        <v>3538</v>
      </c>
      <c r="Q25" s="3146">
        <v>9429.41</v>
      </c>
      <c r="R25" s="3146">
        <v>9429.41</v>
      </c>
      <c r="S25" s="3146">
        <v>1786.21</v>
      </c>
      <c r="T25" s="3146">
        <v>119.08</v>
      </c>
      <c r="U25" s="3146">
        <v>1191</v>
      </c>
      <c r="V25" s="3146">
        <v>0</v>
      </c>
      <c r="W25" s="3146" t="s">
        <v>3464</v>
      </c>
      <c r="X25" s="3146" t="s">
        <v>3455</v>
      </c>
      <c r="Y25" s="3148">
        <f t="shared" ref="Y25:Y76" si="1">ROUND(U25*$AC$8,0)</f>
        <v>1809</v>
      </c>
    </row>
    <row r="26" spans="1:26" hidden="1">
      <c r="A26" s="3146" t="s">
        <v>3539</v>
      </c>
      <c r="B26" s="3146" t="s">
        <v>3385</v>
      </c>
      <c r="C26" s="3146" t="s">
        <v>3540</v>
      </c>
      <c r="D26" s="3146" t="s">
        <v>3425</v>
      </c>
      <c r="E26" s="3146" t="s">
        <v>3541</v>
      </c>
      <c r="F26" s="3146" t="s">
        <v>3427</v>
      </c>
      <c r="G26" s="3146">
        <v>19670.8</v>
      </c>
      <c r="H26" s="3146">
        <v>29506.2</v>
      </c>
      <c r="I26" s="3146">
        <v>1.5</v>
      </c>
      <c r="J26" s="3146" t="s">
        <v>3429</v>
      </c>
      <c r="K26" s="3146" t="s">
        <v>3430</v>
      </c>
      <c r="L26" s="3146" t="s">
        <v>3542</v>
      </c>
      <c r="M26" s="3146" t="s">
        <v>3432</v>
      </c>
      <c r="N26" s="3146" t="s">
        <v>3433</v>
      </c>
      <c r="O26" s="3147">
        <v>44860.000497685185</v>
      </c>
      <c r="P26" s="3146" t="s">
        <v>3543</v>
      </c>
      <c r="Q26" s="3146">
        <v>1684.8</v>
      </c>
      <c r="R26" s="3146">
        <v>1684.8</v>
      </c>
      <c r="S26" s="3146">
        <v>856.49</v>
      </c>
      <c r="T26" s="3146">
        <v>57.1</v>
      </c>
      <c r="U26" s="3146">
        <v>571</v>
      </c>
      <c r="V26" s="3146">
        <v>0</v>
      </c>
      <c r="W26" s="3146" t="s">
        <v>3464</v>
      </c>
      <c r="X26" s="3146" t="s">
        <v>3455</v>
      </c>
      <c r="Y26" s="3148">
        <f t="shared" si="1"/>
        <v>867</v>
      </c>
    </row>
    <row r="27" spans="1:26" hidden="1">
      <c r="A27" s="3146" t="s">
        <v>3544</v>
      </c>
      <c r="B27" s="3146" t="s">
        <v>3385</v>
      </c>
      <c r="C27" s="3146" t="s">
        <v>3545</v>
      </c>
      <c r="D27" s="3146" t="s">
        <v>3425</v>
      </c>
      <c r="E27" s="3146" t="s">
        <v>3426</v>
      </c>
      <c r="F27" s="3146" t="s">
        <v>3427</v>
      </c>
      <c r="G27" s="3146">
        <v>24526.2</v>
      </c>
      <c r="H27" s="3146">
        <v>49052.4</v>
      </c>
      <c r="I27" s="3146">
        <v>2</v>
      </c>
      <c r="J27" s="3146" t="s">
        <v>3429</v>
      </c>
      <c r="K27" s="3146" t="s">
        <v>3430</v>
      </c>
      <c r="L27" s="3146" t="s">
        <v>3542</v>
      </c>
      <c r="M27" s="3146" t="s">
        <v>3432</v>
      </c>
      <c r="N27" s="3146" t="s">
        <v>3433</v>
      </c>
      <c r="O27" s="3147">
        <v>44860.000497685185</v>
      </c>
      <c r="P27" s="3146" t="s">
        <v>3546</v>
      </c>
      <c r="Q27" s="3146">
        <v>2800.89</v>
      </c>
      <c r="R27" s="3146">
        <v>2800.89</v>
      </c>
      <c r="S27" s="3146">
        <v>1141.99</v>
      </c>
      <c r="T27" s="3146">
        <v>76.13</v>
      </c>
      <c r="U27" s="3146">
        <v>571</v>
      </c>
      <c r="V27" s="3146">
        <v>0</v>
      </c>
      <c r="W27" s="3146" t="s">
        <v>3464</v>
      </c>
      <c r="X27" s="3146" t="s">
        <v>3455</v>
      </c>
      <c r="Y27" s="3148">
        <f t="shared" si="1"/>
        <v>867</v>
      </c>
    </row>
    <row r="28" spans="1:26" hidden="1">
      <c r="A28" s="3146" t="s">
        <v>3547</v>
      </c>
      <c r="B28" s="3146" t="s">
        <v>3385</v>
      </c>
      <c r="C28" s="3146" t="s">
        <v>3548</v>
      </c>
      <c r="D28" s="3146" t="s">
        <v>3425</v>
      </c>
      <c r="E28" s="3146" t="s">
        <v>3451</v>
      </c>
      <c r="F28" s="3146" t="s">
        <v>3427</v>
      </c>
      <c r="G28" s="3146">
        <v>26316.6</v>
      </c>
      <c r="H28" s="3146">
        <v>30264.09</v>
      </c>
      <c r="I28" s="3146" t="s">
        <v>3549</v>
      </c>
      <c r="J28" s="3146" t="s">
        <v>3429</v>
      </c>
      <c r="K28" s="3146" t="s">
        <v>3430</v>
      </c>
      <c r="L28" s="3146" t="s">
        <v>3542</v>
      </c>
      <c r="M28" s="3146" t="s">
        <v>3432</v>
      </c>
      <c r="N28" s="3146" t="s">
        <v>3433</v>
      </c>
      <c r="O28" s="3147">
        <v>44809.000497685185</v>
      </c>
      <c r="P28" s="3146" t="s">
        <v>3550</v>
      </c>
      <c r="Q28" s="3146">
        <v>1973.22</v>
      </c>
      <c r="R28" s="3146">
        <v>1973.22</v>
      </c>
      <c r="S28" s="3146">
        <v>749.8</v>
      </c>
      <c r="T28" s="3146">
        <v>49.99</v>
      </c>
      <c r="U28" s="3146">
        <v>652</v>
      </c>
      <c r="V28" s="3146">
        <v>0</v>
      </c>
      <c r="W28" s="3146" t="s">
        <v>3464</v>
      </c>
      <c r="X28" s="3146" t="s">
        <v>3455</v>
      </c>
      <c r="Y28" s="3148">
        <f t="shared" si="1"/>
        <v>990</v>
      </c>
    </row>
    <row r="29" spans="1:26" hidden="1">
      <c r="A29" s="3146" t="s">
        <v>3551</v>
      </c>
      <c r="B29" s="3146" t="s">
        <v>3385</v>
      </c>
      <c r="C29" s="3146" t="s">
        <v>3552</v>
      </c>
      <c r="D29" s="3146" t="s">
        <v>3425</v>
      </c>
      <c r="E29" s="3146" t="s">
        <v>3451</v>
      </c>
      <c r="F29" s="3146" t="s">
        <v>3427</v>
      </c>
      <c r="G29" s="3146">
        <v>10526.1</v>
      </c>
      <c r="H29" s="3146">
        <v>12631.32</v>
      </c>
      <c r="I29" s="3146">
        <v>1.2</v>
      </c>
      <c r="J29" s="3146" t="s">
        <v>3429</v>
      </c>
      <c r="K29" s="3146" t="s">
        <v>3430</v>
      </c>
      <c r="L29" s="3146" t="s">
        <v>3542</v>
      </c>
      <c r="M29" s="3146" t="s">
        <v>3432</v>
      </c>
      <c r="N29" s="3146" t="s">
        <v>3433</v>
      </c>
      <c r="O29" s="3147">
        <v>44809.000497685185</v>
      </c>
      <c r="P29" s="3146" t="s">
        <v>3553</v>
      </c>
      <c r="Q29" s="3146">
        <v>823.56</v>
      </c>
      <c r="R29" s="3146">
        <v>823.56</v>
      </c>
      <c r="S29" s="3146">
        <v>782.39</v>
      </c>
      <c r="T29" s="3146">
        <v>52.16</v>
      </c>
      <c r="U29" s="3146">
        <v>652</v>
      </c>
      <c r="V29" s="3146">
        <v>0</v>
      </c>
      <c r="W29" s="3146" t="s">
        <v>3464</v>
      </c>
      <c r="X29" s="3146" t="s">
        <v>3455</v>
      </c>
      <c r="Y29" s="3148">
        <f t="shared" si="1"/>
        <v>990</v>
      </c>
    </row>
    <row r="30" spans="1:26" hidden="1">
      <c r="A30" s="3146" t="s">
        <v>3554</v>
      </c>
      <c r="B30" s="3146" t="s">
        <v>3385</v>
      </c>
      <c r="C30" s="3146" t="s">
        <v>3555</v>
      </c>
      <c r="D30" s="3146" t="s">
        <v>3425</v>
      </c>
      <c r="E30" s="3146" t="s">
        <v>3426</v>
      </c>
      <c r="F30" s="3146" t="s">
        <v>3427</v>
      </c>
      <c r="G30" s="3146">
        <v>15975.8</v>
      </c>
      <c r="H30" s="3146">
        <v>23963.7</v>
      </c>
      <c r="I30" s="3146" t="s">
        <v>3501</v>
      </c>
      <c r="J30" s="3146" t="s">
        <v>3429</v>
      </c>
      <c r="K30" s="3146" t="s">
        <v>3430</v>
      </c>
      <c r="L30" s="3146" t="s">
        <v>3542</v>
      </c>
      <c r="M30" s="3146" t="s">
        <v>3432</v>
      </c>
      <c r="N30" s="3146" t="s">
        <v>3433</v>
      </c>
      <c r="O30" s="3147">
        <v>44788.000497685185</v>
      </c>
      <c r="P30" s="3146" t="s">
        <v>3556</v>
      </c>
      <c r="Q30" s="3146">
        <v>1368.33</v>
      </c>
      <c r="R30" s="3146">
        <v>1368.33</v>
      </c>
      <c r="S30" s="3146">
        <v>856.5</v>
      </c>
      <c r="T30" s="3146">
        <v>57.1</v>
      </c>
      <c r="U30" s="3146">
        <v>571</v>
      </c>
      <c r="V30" s="3146">
        <v>0</v>
      </c>
      <c r="W30" s="3146" t="s">
        <v>3464</v>
      </c>
      <c r="X30" s="3146" t="s">
        <v>3455</v>
      </c>
      <c r="Y30" s="3148">
        <f t="shared" si="1"/>
        <v>867</v>
      </c>
    </row>
    <row r="31" spans="1:26" hidden="1">
      <c r="A31" s="3146" t="s">
        <v>3557</v>
      </c>
      <c r="B31" s="3146" t="s">
        <v>3385</v>
      </c>
      <c r="C31" s="3146" t="s">
        <v>3558</v>
      </c>
      <c r="D31" s="3146" t="s">
        <v>3425</v>
      </c>
      <c r="E31" s="3146" t="s">
        <v>3559</v>
      </c>
      <c r="F31" s="3146" t="s">
        <v>3427</v>
      </c>
      <c r="G31" s="3146">
        <v>7506.5</v>
      </c>
      <c r="H31" s="3146">
        <v>11259.75</v>
      </c>
      <c r="I31" s="3146" t="s">
        <v>3501</v>
      </c>
      <c r="J31" s="3146" t="s">
        <v>3429</v>
      </c>
      <c r="K31" s="3146" t="s">
        <v>3430</v>
      </c>
      <c r="L31" s="3146" t="s">
        <v>3542</v>
      </c>
      <c r="M31" s="3146" t="s">
        <v>3432</v>
      </c>
      <c r="N31" s="3146" t="s">
        <v>3433</v>
      </c>
      <c r="O31" s="3147">
        <v>44788.000497685185</v>
      </c>
      <c r="P31" s="3146" t="s">
        <v>3560</v>
      </c>
      <c r="Q31" s="3146">
        <v>1134.98</v>
      </c>
      <c r="R31" s="3146">
        <v>1134.98</v>
      </c>
      <c r="S31" s="3146">
        <v>1511.99</v>
      </c>
      <c r="T31" s="3146">
        <v>100.8</v>
      </c>
      <c r="U31" s="3146">
        <v>1008</v>
      </c>
      <c r="V31" s="3146">
        <v>0</v>
      </c>
      <c r="W31" s="3146" t="s">
        <v>3464</v>
      </c>
      <c r="X31" s="3146" t="s">
        <v>3455</v>
      </c>
      <c r="Y31" s="3148">
        <f t="shared" si="1"/>
        <v>1531</v>
      </c>
    </row>
    <row r="32" spans="1:26" s="3149" customFormat="1">
      <c r="A32" s="3149" t="s">
        <v>3561</v>
      </c>
      <c r="B32" s="3146" t="s">
        <v>3385</v>
      </c>
      <c r="C32" s="3149" t="s">
        <v>3562</v>
      </c>
      <c r="D32" s="3149" t="s">
        <v>3425</v>
      </c>
      <c r="E32" s="3146" t="s">
        <v>3438</v>
      </c>
      <c r="F32" s="3149" t="s">
        <v>3427</v>
      </c>
      <c r="G32" s="3149">
        <v>20000</v>
      </c>
      <c r="H32" s="3149">
        <v>20000</v>
      </c>
      <c r="I32" s="3149" t="s">
        <v>3563</v>
      </c>
      <c r="J32" s="3146" t="s">
        <v>3429</v>
      </c>
      <c r="K32" s="3146" t="s">
        <v>3430</v>
      </c>
      <c r="L32" s="3149" t="s">
        <v>3427</v>
      </c>
      <c r="M32" s="3146" t="s">
        <v>3432</v>
      </c>
      <c r="N32" s="3146" t="s">
        <v>3433</v>
      </c>
      <c r="O32" s="3150">
        <v>44742.000497685185</v>
      </c>
      <c r="P32" s="3149" t="s">
        <v>3564</v>
      </c>
      <c r="Q32" s="3146">
        <v>2284.42</v>
      </c>
      <c r="R32" s="3149">
        <v>2284.42</v>
      </c>
      <c r="S32" s="3149">
        <v>1142.21</v>
      </c>
      <c r="T32" s="3149">
        <v>76.150000000000006</v>
      </c>
      <c r="U32" s="3149">
        <v>1142</v>
      </c>
      <c r="V32" s="3149">
        <v>0</v>
      </c>
      <c r="W32" s="3149" t="s">
        <v>3464</v>
      </c>
      <c r="X32" s="3146" t="s">
        <v>3455</v>
      </c>
      <c r="Y32" s="3151">
        <f t="shared" si="1"/>
        <v>1735</v>
      </c>
      <c r="Z32" s="3149" t="s">
        <v>3565</v>
      </c>
    </row>
    <row r="33" spans="1:25" hidden="1">
      <c r="A33" s="3146" t="s">
        <v>3566</v>
      </c>
      <c r="B33" s="3146" t="s">
        <v>3385</v>
      </c>
      <c r="C33" s="3146" t="s">
        <v>3567</v>
      </c>
      <c r="D33" s="3146" t="s">
        <v>3425</v>
      </c>
      <c r="E33" s="3146" t="s">
        <v>3426</v>
      </c>
      <c r="F33" s="3146" t="s">
        <v>3427</v>
      </c>
      <c r="G33" s="3146">
        <v>113291.7</v>
      </c>
      <c r="H33" s="3146">
        <v>113291.7</v>
      </c>
      <c r="I33" s="3146" t="s">
        <v>3452</v>
      </c>
      <c r="J33" s="3146" t="s">
        <v>3429</v>
      </c>
      <c r="K33" s="3146" t="s">
        <v>3430</v>
      </c>
      <c r="L33" s="3146" t="s">
        <v>3568</v>
      </c>
      <c r="M33" s="3146" t="s">
        <v>3432</v>
      </c>
      <c r="N33" s="3146" t="s">
        <v>3433</v>
      </c>
      <c r="O33" s="3147">
        <v>44713.000497685185</v>
      </c>
      <c r="P33" s="3146" t="s">
        <v>3569</v>
      </c>
      <c r="Q33" s="3146">
        <v>6650.22</v>
      </c>
      <c r="R33" s="3146">
        <v>6650.22</v>
      </c>
      <c r="S33" s="3146">
        <v>586.99</v>
      </c>
      <c r="T33" s="3146">
        <v>39.130000000000003</v>
      </c>
      <c r="U33" s="3146">
        <v>587</v>
      </c>
      <c r="V33" s="3146">
        <v>0</v>
      </c>
      <c r="W33" s="3146" t="s">
        <v>3464</v>
      </c>
      <c r="X33" s="3146" t="s">
        <v>3455</v>
      </c>
      <c r="Y33" s="3148">
        <f t="shared" si="1"/>
        <v>892</v>
      </c>
    </row>
    <row r="34" spans="1:25" hidden="1">
      <c r="A34" s="3146" t="s">
        <v>3570</v>
      </c>
      <c r="B34" s="3146" t="s">
        <v>3385</v>
      </c>
      <c r="C34" s="3146" t="s">
        <v>3571</v>
      </c>
      <c r="D34" s="3146" t="s">
        <v>3425</v>
      </c>
      <c r="E34" s="3146" t="s">
        <v>3473</v>
      </c>
      <c r="F34" s="3146" t="s">
        <v>3427</v>
      </c>
      <c r="G34" s="3146">
        <v>30589.9</v>
      </c>
      <c r="H34" s="3146">
        <v>45884.85</v>
      </c>
      <c r="I34" s="3146" t="s">
        <v>3501</v>
      </c>
      <c r="J34" s="3146" t="s">
        <v>3429</v>
      </c>
      <c r="K34" s="3146" t="s">
        <v>3445</v>
      </c>
      <c r="L34" s="3146" t="s">
        <v>3572</v>
      </c>
      <c r="M34" s="3146" t="s">
        <v>3432</v>
      </c>
      <c r="N34" s="3146" t="s">
        <v>3433</v>
      </c>
      <c r="O34" s="3147">
        <v>44713.000497685185</v>
      </c>
      <c r="P34" s="3146" t="s">
        <v>3573</v>
      </c>
      <c r="Q34" s="3146">
        <v>2620.02</v>
      </c>
      <c r="R34" s="3146">
        <v>2620.02</v>
      </c>
      <c r="S34" s="3146">
        <v>856.49</v>
      </c>
      <c r="T34" s="3146">
        <v>57.1</v>
      </c>
      <c r="U34" s="3146">
        <v>571</v>
      </c>
      <c r="V34" s="3146">
        <v>0</v>
      </c>
      <c r="W34" s="3146" t="s">
        <v>3464</v>
      </c>
      <c r="X34" s="3146" t="s">
        <v>3455</v>
      </c>
      <c r="Y34" s="3148">
        <f t="shared" si="1"/>
        <v>867</v>
      </c>
    </row>
    <row r="35" spans="1:25" hidden="1">
      <c r="A35" s="3146" t="s">
        <v>3574</v>
      </c>
      <c r="B35" s="3146" t="s">
        <v>3385</v>
      </c>
      <c r="C35" s="3146" t="s">
        <v>3575</v>
      </c>
      <c r="D35" s="3146" t="s">
        <v>3425</v>
      </c>
      <c r="E35" s="3146" t="s">
        <v>3576</v>
      </c>
      <c r="F35" s="3146" t="s">
        <v>3427</v>
      </c>
      <c r="G35" s="3146">
        <v>54995.519999999997</v>
      </c>
      <c r="H35" s="3146">
        <v>82493.289999999994</v>
      </c>
      <c r="I35" s="3146" t="s">
        <v>3501</v>
      </c>
      <c r="J35" s="3146" t="s">
        <v>3429</v>
      </c>
      <c r="K35" s="3146" t="s">
        <v>3430</v>
      </c>
      <c r="L35" s="3146" t="s">
        <v>3577</v>
      </c>
      <c r="M35" s="3146" t="s">
        <v>3432</v>
      </c>
      <c r="N35" s="3146" t="s">
        <v>3433</v>
      </c>
      <c r="O35" s="3147">
        <v>44712.000497685185</v>
      </c>
      <c r="P35" s="3146" t="s">
        <v>3578</v>
      </c>
      <c r="Q35" s="3146">
        <v>8783.01</v>
      </c>
      <c r="R35" s="3146">
        <v>8783.01</v>
      </c>
      <c r="S35" s="3146">
        <v>1597.04</v>
      </c>
      <c r="T35" s="3146">
        <v>106.47</v>
      </c>
      <c r="U35" s="3146">
        <v>1065</v>
      </c>
      <c r="V35" s="3146">
        <v>0</v>
      </c>
      <c r="W35" s="3146" t="s">
        <v>3464</v>
      </c>
      <c r="X35" s="3146" t="s">
        <v>3455</v>
      </c>
      <c r="Y35" s="3148">
        <f t="shared" si="1"/>
        <v>1618</v>
      </c>
    </row>
    <row r="36" spans="1:25" hidden="1">
      <c r="A36" s="3146" t="s">
        <v>3579</v>
      </c>
      <c r="B36" s="3146" t="s">
        <v>3385</v>
      </c>
      <c r="C36" s="3146" t="s">
        <v>3579</v>
      </c>
      <c r="D36" s="3146" t="s">
        <v>3425</v>
      </c>
      <c r="E36" s="3146" t="s">
        <v>3426</v>
      </c>
      <c r="F36" s="3146" t="s">
        <v>3427</v>
      </c>
      <c r="G36" s="3146">
        <v>103092.9</v>
      </c>
      <c r="H36" s="3146">
        <v>175257.93</v>
      </c>
      <c r="I36" s="3146" t="s">
        <v>3580</v>
      </c>
      <c r="J36" s="3146" t="s">
        <v>3429</v>
      </c>
      <c r="K36" s="3146" t="s">
        <v>3430</v>
      </c>
      <c r="L36" s="3146" t="s">
        <v>3568</v>
      </c>
      <c r="M36" s="3146" t="s">
        <v>3432</v>
      </c>
      <c r="N36" s="3146" t="s">
        <v>3433</v>
      </c>
      <c r="O36" s="3147">
        <v>44700.000497685185</v>
      </c>
      <c r="P36" s="3146" t="s">
        <v>3581</v>
      </c>
      <c r="Q36" s="3146">
        <v>10287.64</v>
      </c>
      <c r="R36" s="3146">
        <v>10287.64</v>
      </c>
      <c r="S36" s="3146">
        <v>997.89</v>
      </c>
      <c r="T36" s="3146">
        <v>66.53</v>
      </c>
      <c r="U36" s="3146">
        <v>587</v>
      </c>
      <c r="V36" s="3146">
        <v>0</v>
      </c>
      <c r="W36" s="3146" t="s">
        <v>3464</v>
      </c>
      <c r="X36" s="3146" t="s">
        <v>3455</v>
      </c>
      <c r="Y36" s="3148">
        <f t="shared" si="1"/>
        <v>892</v>
      </c>
    </row>
    <row r="37" spans="1:25" hidden="1">
      <c r="A37" s="3146" t="s">
        <v>3582</v>
      </c>
      <c r="B37" s="3146" t="s">
        <v>3385</v>
      </c>
      <c r="C37" s="3146" t="s">
        <v>3583</v>
      </c>
      <c r="D37" s="3146" t="s">
        <v>3425</v>
      </c>
      <c r="E37" s="3146" t="s">
        <v>3473</v>
      </c>
      <c r="F37" s="3146" t="s">
        <v>3427</v>
      </c>
      <c r="G37" s="3146">
        <v>21090.2</v>
      </c>
      <c r="H37" s="3146">
        <v>22144.7</v>
      </c>
      <c r="I37" s="3146">
        <v>1.54</v>
      </c>
      <c r="J37" s="3146" t="s">
        <v>3429</v>
      </c>
      <c r="K37" s="3146" t="s">
        <v>3430</v>
      </c>
      <c r="L37" s="3146" t="s">
        <v>3584</v>
      </c>
      <c r="M37" s="3146" t="s">
        <v>3432</v>
      </c>
      <c r="N37" s="3146" t="s">
        <v>3433</v>
      </c>
      <c r="O37" s="3147">
        <v>44671.000497685185</v>
      </c>
      <c r="P37" s="3146" t="s">
        <v>3585</v>
      </c>
      <c r="Q37" s="3146">
        <v>2163.09</v>
      </c>
      <c r="R37" s="3146">
        <v>2163.09</v>
      </c>
      <c r="S37" s="3146">
        <v>1025.6300000000001</v>
      </c>
      <c r="T37" s="3146">
        <v>68.38</v>
      </c>
      <c r="U37" s="3146">
        <v>977</v>
      </c>
      <c r="V37" s="3146">
        <v>0</v>
      </c>
      <c r="W37" s="3146" t="s">
        <v>3464</v>
      </c>
      <c r="X37" s="3146" t="s">
        <v>3586</v>
      </c>
      <c r="Y37" s="3148">
        <f t="shared" si="1"/>
        <v>1484</v>
      </c>
    </row>
    <row r="38" spans="1:25" hidden="1">
      <c r="A38" s="3146" t="s">
        <v>3587</v>
      </c>
      <c r="B38" s="3146" t="s">
        <v>3385</v>
      </c>
      <c r="C38" s="3146" t="s">
        <v>3588</v>
      </c>
      <c r="D38" s="3146" t="s">
        <v>3425</v>
      </c>
      <c r="E38" s="3146" t="s">
        <v>3473</v>
      </c>
      <c r="F38" s="3146" t="s">
        <v>3427</v>
      </c>
      <c r="G38" s="3146">
        <v>718046.1</v>
      </c>
      <c r="H38" s="3146">
        <v>646241.49</v>
      </c>
      <c r="I38" s="3146">
        <v>0.9</v>
      </c>
      <c r="J38" s="3146" t="s">
        <v>3429</v>
      </c>
      <c r="K38" s="3146" t="s">
        <v>3430</v>
      </c>
      <c r="L38" s="3146" t="s">
        <v>3427</v>
      </c>
      <c r="M38" s="3146" t="s">
        <v>3432</v>
      </c>
      <c r="N38" s="3146" t="s">
        <v>3433</v>
      </c>
      <c r="O38" s="3147">
        <v>44671.000497685185</v>
      </c>
      <c r="P38" s="3146" t="s">
        <v>3589</v>
      </c>
      <c r="Q38" s="3146">
        <v>61033.919999999998</v>
      </c>
      <c r="R38" s="3146">
        <v>61033.919999999998</v>
      </c>
      <c r="S38" s="3146">
        <v>850</v>
      </c>
      <c r="T38" s="3146">
        <v>56.67</v>
      </c>
      <c r="U38" s="3146">
        <v>944</v>
      </c>
      <c r="V38" s="3146">
        <v>0</v>
      </c>
      <c r="W38" s="3146" t="s">
        <v>3590</v>
      </c>
      <c r="X38" s="3146" t="s">
        <v>3586</v>
      </c>
    </row>
    <row r="39" spans="1:25" hidden="1">
      <c r="A39" s="3146" t="s">
        <v>3591</v>
      </c>
      <c r="B39" s="3146" t="s">
        <v>3385</v>
      </c>
      <c r="C39" s="3146" t="s">
        <v>3592</v>
      </c>
      <c r="D39" s="3146" t="s">
        <v>3425</v>
      </c>
      <c r="E39" s="3146" t="s">
        <v>3576</v>
      </c>
      <c r="F39" s="3146" t="s">
        <v>3427</v>
      </c>
      <c r="G39" s="3146">
        <v>54214.080000000002</v>
      </c>
      <c r="H39" s="3146">
        <v>108428.16</v>
      </c>
      <c r="I39" s="3146">
        <v>2</v>
      </c>
      <c r="J39" s="3146" t="s">
        <v>3429</v>
      </c>
      <c r="K39" s="3146" t="s">
        <v>3430</v>
      </c>
      <c r="L39" s="3146" t="s">
        <v>3577</v>
      </c>
      <c r="M39" s="3146" t="s">
        <v>3432</v>
      </c>
      <c r="N39" s="3146" t="s">
        <v>3433</v>
      </c>
      <c r="O39" s="3147">
        <v>44642.000497685185</v>
      </c>
      <c r="P39" s="3146" t="s">
        <v>3593</v>
      </c>
      <c r="Q39" s="3146">
        <v>8793.52</v>
      </c>
      <c r="R39" s="3146">
        <v>8793.52</v>
      </c>
      <c r="S39" s="3146">
        <v>1621.99</v>
      </c>
      <c r="T39" s="3146">
        <v>108.13</v>
      </c>
      <c r="U39" s="3146">
        <v>811</v>
      </c>
      <c r="V39" s="3146">
        <v>0</v>
      </c>
      <c r="W39" s="3146" t="s">
        <v>3464</v>
      </c>
      <c r="X39" s="3146" t="s">
        <v>3586</v>
      </c>
      <c r="Y39" s="3148">
        <f t="shared" si="1"/>
        <v>1232</v>
      </c>
    </row>
    <row r="40" spans="1:25" hidden="1">
      <c r="A40" s="3146" t="s">
        <v>3594</v>
      </c>
      <c r="B40" s="3146" t="s">
        <v>3385</v>
      </c>
      <c r="C40" s="3146" t="s">
        <v>3595</v>
      </c>
      <c r="D40" s="3146" t="s">
        <v>3425</v>
      </c>
      <c r="E40" s="3146" t="s">
        <v>3596</v>
      </c>
      <c r="F40" s="3146" t="s">
        <v>3427</v>
      </c>
      <c r="G40" s="3146">
        <v>76366.38</v>
      </c>
      <c r="H40" s="3146">
        <v>114549.57</v>
      </c>
      <c r="I40" s="3146">
        <v>1.5</v>
      </c>
      <c r="J40" s="3146" t="s">
        <v>3429</v>
      </c>
      <c r="K40" s="3146" t="s">
        <v>3430</v>
      </c>
      <c r="L40" s="3146" t="s">
        <v>3427</v>
      </c>
      <c r="M40" s="3146" t="s">
        <v>3432</v>
      </c>
      <c r="N40" s="3146" t="s">
        <v>3433</v>
      </c>
      <c r="O40" s="3147">
        <v>44630.000497685185</v>
      </c>
      <c r="P40" s="3146" t="s">
        <v>3597</v>
      </c>
      <c r="Q40" s="3146">
        <v>11431.52</v>
      </c>
      <c r="R40" s="3146">
        <v>11431.52</v>
      </c>
      <c r="S40" s="3146">
        <v>1496.93</v>
      </c>
      <c r="T40" s="3146">
        <v>99.8</v>
      </c>
      <c r="U40" s="3146">
        <v>998</v>
      </c>
      <c r="V40" s="3146">
        <v>0</v>
      </c>
      <c r="W40" s="3146" t="s">
        <v>3464</v>
      </c>
      <c r="X40" s="3146" t="s">
        <v>3586</v>
      </c>
      <c r="Y40" s="3148">
        <f t="shared" si="1"/>
        <v>1516</v>
      </c>
    </row>
    <row r="41" spans="1:25" hidden="1">
      <c r="A41" s="3146" t="s">
        <v>3598</v>
      </c>
      <c r="B41" s="3146" t="s">
        <v>3385</v>
      </c>
      <c r="C41" s="3146" t="s">
        <v>3599</v>
      </c>
      <c r="D41" s="3146" t="s">
        <v>3425</v>
      </c>
      <c r="E41" s="3146" t="s">
        <v>3473</v>
      </c>
      <c r="F41" s="3146" t="s">
        <v>3427</v>
      </c>
      <c r="G41" s="3146">
        <v>40148.6</v>
      </c>
      <c r="H41" s="3146">
        <v>60222.9</v>
      </c>
      <c r="I41" s="3146">
        <v>1.5</v>
      </c>
      <c r="J41" s="3146" t="s">
        <v>3429</v>
      </c>
      <c r="K41" s="3146" t="s">
        <v>3430</v>
      </c>
      <c r="L41" s="3146" t="s">
        <v>3431</v>
      </c>
      <c r="M41" s="3146" t="s">
        <v>3432</v>
      </c>
      <c r="N41" s="3146" t="s">
        <v>3433</v>
      </c>
      <c r="O41" s="3147">
        <v>44600.000497685185</v>
      </c>
      <c r="P41" s="3146" t="s">
        <v>3600</v>
      </c>
      <c r="Q41" s="3146">
        <v>3438.73</v>
      </c>
      <c r="R41" s="3146">
        <v>3438.73</v>
      </c>
      <c r="S41" s="3146">
        <v>856.5</v>
      </c>
      <c r="T41" s="3146">
        <v>57.1</v>
      </c>
      <c r="U41" s="3146">
        <v>571</v>
      </c>
      <c r="V41" s="3146">
        <v>0</v>
      </c>
      <c r="W41" s="3146" t="s">
        <v>3464</v>
      </c>
      <c r="X41" s="3146" t="s">
        <v>3586</v>
      </c>
      <c r="Y41" s="3148">
        <f t="shared" si="1"/>
        <v>867</v>
      </c>
    </row>
    <row r="42" spans="1:25" hidden="1">
      <c r="A42" s="3146" t="s">
        <v>3601</v>
      </c>
      <c r="B42" s="3146" t="s">
        <v>3385</v>
      </c>
      <c r="C42" s="3146" t="s">
        <v>3602</v>
      </c>
      <c r="D42" s="3146" t="s">
        <v>3425</v>
      </c>
      <c r="E42" s="3146" t="s">
        <v>3433</v>
      </c>
      <c r="F42" s="3146" t="s">
        <v>3427</v>
      </c>
      <c r="G42" s="3146">
        <v>49662.400000000001</v>
      </c>
      <c r="H42" s="3146">
        <v>74493.600000000006</v>
      </c>
      <c r="I42" s="3146">
        <v>1.5</v>
      </c>
      <c r="J42" s="3146" t="s">
        <v>3429</v>
      </c>
      <c r="K42" s="3146" t="s">
        <v>3603</v>
      </c>
      <c r="L42" s="3146" t="s">
        <v>3577</v>
      </c>
      <c r="M42" s="3146" t="s">
        <v>3432</v>
      </c>
      <c r="N42" s="3146" t="s">
        <v>3433</v>
      </c>
      <c r="O42" s="3147">
        <v>44564.000497685185</v>
      </c>
      <c r="P42" s="3146" t="s">
        <v>3604</v>
      </c>
      <c r="Q42" s="3146">
        <v>7665.39</v>
      </c>
      <c r="R42" s="3146">
        <v>7665.39</v>
      </c>
      <c r="S42" s="3146">
        <v>1543.49</v>
      </c>
      <c r="T42" s="3146">
        <v>102.9</v>
      </c>
      <c r="U42" s="3146">
        <v>1029</v>
      </c>
      <c r="V42" s="3146">
        <v>0</v>
      </c>
      <c r="W42" s="3146">
        <v>20</v>
      </c>
      <c r="X42" s="3146" t="s">
        <v>3586</v>
      </c>
      <c r="Y42" s="3148">
        <f t="shared" si="1"/>
        <v>1563</v>
      </c>
    </row>
    <row r="43" spans="1:25" hidden="1">
      <c r="A43" s="3146" t="s">
        <v>3605</v>
      </c>
      <c r="B43" s="3146" t="s">
        <v>3385</v>
      </c>
      <c r="C43" s="3146" t="s">
        <v>3606</v>
      </c>
      <c r="D43" s="3146" t="s">
        <v>3425</v>
      </c>
      <c r="E43" s="3146" t="s">
        <v>3607</v>
      </c>
      <c r="F43" s="3146" t="s">
        <v>3427</v>
      </c>
      <c r="G43" s="3146">
        <v>19333.34</v>
      </c>
      <c r="H43" s="3146">
        <v>38666.69</v>
      </c>
      <c r="I43" s="3146">
        <v>2</v>
      </c>
      <c r="J43" s="3146" t="s">
        <v>3429</v>
      </c>
      <c r="K43" s="3146" t="s">
        <v>3430</v>
      </c>
      <c r="L43" s="3146" t="s">
        <v>3608</v>
      </c>
      <c r="M43" s="3146" t="s">
        <v>3432</v>
      </c>
      <c r="N43" s="3146" t="s">
        <v>3433</v>
      </c>
      <c r="O43" s="3147">
        <v>44561.000497685185</v>
      </c>
      <c r="P43" s="3146" t="s">
        <v>3609</v>
      </c>
      <c r="Q43" s="3146">
        <v>3477.1</v>
      </c>
      <c r="R43" s="3146">
        <v>3477.1</v>
      </c>
      <c r="S43" s="3146">
        <v>1798.49</v>
      </c>
      <c r="T43" s="3146">
        <v>119.9</v>
      </c>
      <c r="U43" s="3146">
        <v>899</v>
      </c>
      <c r="V43" s="3146">
        <v>0</v>
      </c>
      <c r="W43" s="3146">
        <v>20</v>
      </c>
      <c r="X43" s="3146" t="s">
        <v>3586</v>
      </c>
      <c r="Y43" s="3148">
        <f t="shared" si="1"/>
        <v>1366</v>
      </c>
    </row>
    <row r="44" spans="1:25" hidden="1">
      <c r="A44" s="3146" t="s">
        <v>3610</v>
      </c>
      <c r="B44" s="3146" t="s">
        <v>3385</v>
      </c>
      <c r="C44" s="3146" t="s">
        <v>3611</v>
      </c>
      <c r="D44" s="3146" t="s">
        <v>3425</v>
      </c>
      <c r="E44" s="3146" t="s">
        <v>3473</v>
      </c>
      <c r="F44" s="3146" t="s">
        <v>3427</v>
      </c>
      <c r="G44" s="3146">
        <v>95015.4</v>
      </c>
      <c r="H44" s="3146">
        <v>180529.26</v>
      </c>
      <c r="I44" s="3146">
        <v>1.9</v>
      </c>
      <c r="J44" s="3146" t="s">
        <v>3429</v>
      </c>
      <c r="K44" s="3146" t="s">
        <v>3430</v>
      </c>
      <c r="L44" s="3146" t="s">
        <v>3612</v>
      </c>
      <c r="M44" s="3146" t="s">
        <v>3432</v>
      </c>
      <c r="N44" s="3146" t="s">
        <v>3433</v>
      </c>
      <c r="O44" s="3147">
        <v>44554.000497685185</v>
      </c>
      <c r="P44" s="3146" t="s">
        <v>3613</v>
      </c>
      <c r="Q44" s="3146">
        <v>10308.219999999999</v>
      </c>
      <c r="R44" s="3146">
        <v>10308.219999999999</v>
      </c>
      <c r="S44" s="3146">
        <v>1084.8900000000001</v>
      </c>
      <c r="T44" s="3146">
        <v>72.33</v>
      </c>
      <c r="U44" s="3146">
        <v>571</v>
      </c>
      <c r="V44" s="3146">
        <v>0</v>
      </c>
      <c r="W44" s="3146">
        <v>20</v>
      </c>
      <c r="X44" s="3146" t="s">
        <v>3586</v>
      </c>
      <c r="Y44" s="3148">
        <f t="shared" si="1"/>
        <v>867</v>
      </c>
    </row>
    <row r="45" spans="1:25" hidden="1">
      <c r="A45" s="3146" t="s">
        <v>3614</v>
      </c>
      <c r="B45" s="3146" t="s">
        <v>3385</v>
      </c>
      <c r="C45" s="3146" t="s">
        <v>3615</v>
      </c>
      <c r="D45" s="3146" t="s">
        <v>3425</v>
      </c>
      <c r="E45" s="3146" t="s">
        <v>3433</v>
      </c>
      <c r="F45" s="3146" t="s">
        <v>3427</v>
      </c>
      <c r="G45" s="3146">
        <v>95076.46</v>
      </c>
      <c r="H45" s="3146">
        <v>114091.75</v>
      </c>
      <c r="I45" s="3146">
        <v>1.2</v>
      </c>
      <c r="J45" s="3146" t="s">
        <v>3429</v>
      </c>
      <c r="K45" s="3146" t="s">
        <v>3603</v>
      </c>
      <c r="L45" s="3146" t="s">
        <v>3577</v>
      </c>
      <c r="M45" s="3146" t="s">
        <v>3432</v>
      </c>
      <c r="N45" s="3146" t="s">
        <v>3433</v>
      </c>
      <c r="O45" s="3147">
        <v>44521.000497685185</v>
      </c>
      <c r="P45" s="3146" t="s">
        <v>3616</v>
      </c>
      <c r="Q45" s="3146">
        <v>15254.86</v>
      </c>
      <c r="R45" s="3146">
        <v>15254.86</v>
      </c>
      <c r="S45" s="3146">
        <v>1604.48</v>
      </c>
      <c r="T45" s="3146">
        <v>106.97</v>
      </c>
      <c r="U45" s="3146">
        <v>1337</v>
      </c>
      <c r="V45" s="3146">
        <v>0</v>
      </c>
      <c r="W45" s="3146" t="s">
        <v>3617</v>
      </c>
      <c r="X45" s="3146" t="s">
        <v>3586</v>
      </c>
      <c r="Y45" s="3148">
        <f t="shared" si="1"/>
        <v>2031</v>
      </c>
    </row>
    <row r="46" spans="1:25" hidden="1">
      <c r="A46" s="3146" t="s">
        <v>3618</v>
      </c>
      <c r="B46" s="3146" t="s">
        <v>3385</v>
      </c>
      <c r="C46" s="3146" t="s">
        <v>3619</v>
      </c>
      <c r="D46" s="3146" t="s">
        <v>3425</v>
      </c>
      <c r="E46" s="3146" t="s">
        <v>3596</v>
      </c>
      <c r="F46" s="3146" t="s">
        <v>3427</v>
      </c>
      <c r="G46" s="3146">
        <v>23200</v>
      </c>
      <c r="H46" s="3146">
        <v>32480</v>
      </c>
      <c r="I46" s="3146">
        <v>1.4</v>
      </c>
      <c r="J46" s="3146" t="s">
        <v>3429</v>
      </c>
      <c r="K46" s="3146" t="s">
        <v>3430</v>
      </c>
      <c r="L46" s="3146" t="s">
        <v>3431</v>
      </c>
      <c r="M46" s="3146" t="s">
        <v>3432</v>
      </c>
      <c r="N46" s="3146" t="s">
        <v>3433</v>
      </c>
      <c r="O46" s="3147">
        <v>44487.000497685185</v>
      </c>
      <c r="P46" s="3146" t="s">
        <v>3620</v>
      </c>
      <c r="Q46" s="3146">
        <v>2150.1799999999998</v>
      </c>
      <c r="R46" s="3146">
        <v>2150.1799999999998</v>
      </c>
      <c r="S46" s="3146">
        <v>926.8</v>
      </c>
      <c r="T46" s="3146">
        <v>61.79</v>
      </c>
      <c r="U46" s="3146">
        <v>662</v>
      </c>
      <c r="V46" s="3146">
        <v>0</v>
      </c>
      <c r="W46" s="3146" t="s">
        <v>3617</v>
      </c>
      <c r="X46" s="3146" t="s">
        <v>3586</v>
      </c>
      <c r="Y46" s="3148">
        <f t="shared" si="1"/>
        <v>1006</v>
      </c>
    </row>
    <row r="47" spans="1:25" hidden="1">
      <c r="A47" s="3146" t="s">
        <v>3621</v>
      </c>
      <c r="B47" s="3146" t="s">
        <v>3385</v>
      </c>
      <c r="C47" s="3146" t="s">
        <v>3622</v>
      </c>
      <c r="D47" s="3146" t="s">
        <v>3425</v>
      </c>
      <c r="E47" s="3146" t="s">
        <v>3438</v>
      </c>
      <c r="F47" s="3146" t="s">
        <v>3427</v>
      </c>
      <c r="G47" s="3146">
        <v>57488.82</v>
      </c>
      <c r="H47" s="3146">
        <v>86233.23</v>
      </c>
      <c r="I47" s="3146" t="s">
        <v>3501</v>
      </c>
      <c r="J47" s="3146" t="s">
        <v>3429</v>
      </c>
      <c r="K47" s="3146" t="s">
        <v>3430</v>
      </c>
      <c r="L47" s="3146" t="s">
        <v>3431</v>
      </c>
      <c r="M47" s="3146" t="s">
        <v>3432</v>
      </c>
      <c r="N47" s="3146" t="s">
        <v>3433</v>
      </c>
      <c r="O47" s="3147">
        <v>44480.000497685185</v>
      </c>
      <c r="P47" s="3146" t="s">
        <v>3623</v>
      </c>
      <c r="Q47" s="3146">
        <v>7835.68</v>
      </c>
      <c r="R47" s="3146">
        <v>7835.68</v>
      </c>
      <c r="S47" s="3146">
        <v>1362.99</v>
      </c>
      <c r="T47" s="3146">
        <v>90.87</v>
      </c>
      <c r="U47" s="3146">
        <v>909</v>
      </c>
      <c r="V47" s="3146">
        <v>0</v>
      </c>
      <c r="W47" s="3146" t="s">
        <v>3464</v>
      </c>
      <c r="X47" s="3146" t="s">
        <v>3586</v>
      </c>
      <c r="Y47" s="3148">
        <f t="shared" si="1"/>
        <v>1381</v>
      </c>
    </row>
    <row r="48" spans="1:25" hidden="1">
      <c r="A48" s="3146" t="s">
        <v>3624</v>
      </c>
      <c r="B48" s="3146" t="s">
        <v>3385</v>
      </c>
      <c r="C48" s="3146" t="s">
        <v>3625</v>
      </c>
      <c r="D48" s="3146" t="s">
        <v>3425</v>
      </c>
      <c r="E48" s="3146" t="s">
        <v>3438</v>
      </c>
      <c r="F48" s="3146" t="s">
        <v>3427</v>
      </c>
      <c r="G48" s="3146">
        <v>7422.43</v>
      </c>
      <c r="H48" s="3146">
        <v>5937.95</v>
      </c>
      <c r="I48" s="3146" t="s">
        <v>3515</v>
      </c>
      <c r="J48" s="3146" t="s">
        <v>3429</v>
      </c>
      <c r="K48" s="3146" t="s">
        <v>3430</v>
      </c>
      <c r="L48" s="3146" t="s">
        <v>3431</v>
      </c>
      <c r="M48" s="3146" t="s">
        <v>3432</v>
      </c>
      <c r="N48" s="3146" t="s">
        <v>3433</v>
      </c>
      <c r="O48" s="3147">
        <v>44480.000497685185</v>
      </c>
      <c r="P48" s="3146" t="s">
        <v>3626</v>
      </c>
      <c r="Q48" s="3146">
        <v>844.63</v>
      </c>
      <c r="R48" s="3146">
        <v>844.63</v>
      </c>
      <c r="S48" s="3146">
        <v>1137.94</v>
      </c>
      <c r="T48" s="3146">
        <v>75.86</v>
      </c>
      <c r="U48" s="3146">
        <v>1422</v>
      </c>
      <c r="V48" s="3146">
        <v>0</v>
      </c>
      <c r="W48" s="3146" t="s">
        <v>3464</v>
      </c>
      <c r="X48" s="3146" t="s">
        <v>3586</v>
      </c>
      <c r="Y48" s="3148">
        <f t="shared" si="1"/>
        <v>2160</v>
      </c>
    </row>
    <row r="49" spans="1:26" s="3149" customFormat="1">
      <c r="A49" s="3149" t="s">
        <v>3627</v>
      </c>
      <c r="B49" s="3146" t="s">
        <v>3385</v>
      </c>
      <c r="C49" s="3149" t="s">
        <v>3628</v>
      </c>
      <c r="D49" s="3149" t="s">
        <v>3425</v>
      </c>
      <c r="E49" s="3146" t="s">
        <v>3438</v>
      </c>
      <c r="F49" s="3149" t="s">
        <v>3427</v>
      </c>
      <c r="G49" s="3149">
        <v>23652.31</v>
      </c>
      <c r="H49" s="3149">
        <v>23652.31</v>
      </c>
      <c r="I49" s="3149">
        <v>1</v>
      </c>
      <c r="J49" s="3146" t="s">
        <v>3429</v>
      </c>
      <c r="K49" s="3146" t="s">
        <v>3430</v>
      </c>
      <c r="L49" s="3149" t="s">
        <v>3431</v>
      </c>
      <c r="M49" s="3146" t="s">
        <v>3432</v>
      </c>
      <c r="N49" s="3146" t="s">
        <v>3433</v>
      </c>
      <c r="O49" s="3150">
        <v>44480.000497685185</v>
      </c>
      <c r="P49" s="3149" t="s">
        <v>3629</v>
      </c>
      <c r="Q49" s="3146">
        <v>2689.6</v>
      </c>
      <c r="R49" s="3149">
        <v>2689.6</v>
      </c>
      <c r="S49" s="3149">
        <v>1137.1400000000001</v>
      </c>
      <c r="T49" s="3149">
        <v>75.81</v>
      </c>
      <c r="U49" s="3149">
        <v>1137</v>
      </c>
      <c r="V49" s="3149">
        <v>0</v>
      </c>
      <c r="W49" s="3149" t="s">
        <v>3464</v>
      </c>
      <c r="X49" s="3146" t="s">
        <v>3586</v>
      </c>
      <c r="Y49" s="3151">
        <f t="shared" si="1"/>
        <v>1727</v>
      </c>
      <c r="Z49" s="3149" t="s">
        <v>3630</v>
      </c>
    </row>
    <row r="50" spans="1:26" s="3149" customFormat="1">
      <c r="A50" s="3149" t="s">
        <v>3631</v>
      </c>
      <c r="B50" s="3146" t="s">
        <v>3385</v>
      </c>
      <c r="C50" s="3149" t="s">
        <v>3632</v>
      </c>
      <c r="D50" s="3149" t="s">
        <v>3425</v>
      </c>
      <c r="E50" s="3146" t="s">
        <v>3438</v>
      </c>
      <c r="F50" s="3149" t="s">
        <v>3427</v>
      </c>
      <c r="G50" s="3149">
        <v>23170.400000000001</v>
      </c>
      <c r="H50" s="3149">
        <v>23170.400000000001</v>
      </c>
      <c r="I50" s="3149">
        <v>1</v>
      </c>
      <c r="J50" s="3146" t="s">
        <v>3429</v>
      </c>
      <c r="K50" s="3146" t="s">
        <v>3430</v>
      </c>
      <c r="L50" s="3149" t="s">
        <v>3431</v>
      </c>
      <c r="M50" s="3146" t="s">
        <v>3432</v>
      </c>
      <c r="N50" s="3146" t="s">
        <v>3433</v>
      </c>
      <c r="O50" s="3150">
        <v>44480.000497685185</v>
      </c>
      <c r="P50" s="3149" t="s">
        <v>3626</v>
      </c>
      <c r="Q50" s="3146">
        <v>2632.78</v>
      </c>
      <c r="R50" s="3149">
        <v>2632.78</v>
      </c>
      <c r="S50" s="3149">
        <v>1136.26</v>
      </c>
      <c r="T50" s="3149">
        <v>75.75</v>
      </c>
      <c r="U50" s="3149">
        <v>1136</v>
      </c>
      <c r="V50" s="3149">
        <v>0</v>
      </c>
      <c r="W50" s="3149" t="s">
        <v>3464</v>
      </c>
      <c r="X50" s="3146" t="s">
        <v>3586</v>
      </c>
      <c r="Y50" s="3151">
        <f t="shared" si="1"/>
        <v>1726</v>
      </c>
      <c r="Z50" s="3149" t="s">
        <v>3630</v>
      </c>
    </row>
    <row r="51" spans="1:26" hidden="1">
      <c r="A51" s="3146" t="s">
        <v>3633</v>
      </c>
      <c r="B51" s="3146" t="s">
        <v>3385</v>
      </c>
      <c r="C51" s="3146" t="s">
        <v>3634</v>
      </c>
      <c r="D51" s="3146" t="s">
        <v>3425</v>
      </c>
      <c r="E51" s="3146" t="s">
        <v>3514</v>
      </c>
      <c r="F51" s="3146" t="s">
        <v>3427</v>
      </c>
      <c r="G51" s="3146">
        <v>82052.600000000006</v>
      </c>
      <c r="H51" s="3146">
        <v>155899.94</v>
      </c>
      <c r="I51" s="3146">
        <v>1.9</v>
      </c>
      <c r="J51" s="3146" t="s">
        <v>3429</v>
      </c>
      <c r="K51" s="3146" t="s">
        <v>3430</v>
      </c>
      <c r="L51" s="3146" t="s">
        <v>3427</v>
      </c>
      <c r="M51" s="3146" t="s">
        <v>3432</v>
      </c>
      <c r="N51" s="3146" t="s">
        <v>3433</v>
      </c>
      <c r="O51" s="3147">
        <v>44466.000497685185</v>
      </c>
      <c r="P51" s="3146" t="s">
        <v>3635</v>
      </c>
      <c r="Q51" s="3146">
        <v>16837.189999999999</v>
      </c>
      <c r="R51" s="3146">
        <v>16837.189999999999</v>
      </c>
      <c r="S51" s="3146">
        <v>2051.9899999999998</v>
      </c>
      <c r="T51" s="3146">
        <v>136.80000000000001</v>
      </c>
      <c r="U51" s="3146">
        <v>1080</v>
      </c>
      <c r="V51" s="3146">
        <v>0</v>
      </c>
      <c r="W51" s="3146" t="s">
        <v>3636</v>
      </c>
      <c r="X51" s="3146" t="s">
        <v>3586</v>
      </c>
    </row>
    <row r="52" spans="1:26" hidden="1">
      <c r="A52" s="3146" t="s">
        <v>3637</v>
      </c>
      <c r="B52" s="3146" t="s">
        <v>3385</v>
      </c>
      <c r="C52" s="3146" t="s">
        <v>3638</v>
      </c>
      <c r="D52" s="3146" t="s">
        <v>3425</v>
      </c>
      <c r="E52" s="3146" t="s">
        <v>3639</v>
      </c>
      <c r="F52" s="3146" t="s">
        <v>3427</v>
      </c>
      <c r="G52" s="3146">
        <v>7844</v>
      </c>
      <c r="H52" s="3146">
        <v>11766</v>
      </c>
      <c r="I52" s="3146">
        <v>1.5</v>
      </c>
      <c r="J52" s="3146" t="s">
        <v>3429</v>
      </c>
      <c r="K52" s="3146" t="s">
        <v>3430</v>
      </c>
      <c r="L52" s="3146" t="s">
        <v>3427</v>
      </c>
      <c r="M52" s="3146" t="s">
        <v>3432</v>
      </c>
      <c r="N52" s="3146" t="s">
        <v>3433</v>
      </c>
      <c r="O52" s="3147">
        <v>44466.000497685185</v>
      </c>
      <c r="P52" s="3146" t="s">
        <v>3640</v>
      </c>
      <c r="Q52" s="3146">
        <v>854.21</v>
      </c>
      <c r="R52" s="3146">
        <v>854.21</v>
      </c>
      <c r="S52" s="3146">
        <v>1088.99</v>
      </c>
      <c r="T52" s="3146">
        <v>72.599999999999994</v>
      </c>
      <c r="U52" s="3146">
        <v>726</v>
      </c>
      <c r="V52" s="3146">
        <v>0</v>
      </c>
      <c r="W52" s="3146" t="s">
        <v>3464</v>
      </c>
      <c r="X52" s="3146" t="s">
        <v>3586</v>
      </c>
      <c r="Y52" s="3148">
        <f t="shared" si="1"/>
        <v>1103</v>
      </c>
    </row>
    <row r="53" spans="1:26" hidden="1">
      <c r="A53" s="3146" t="s">
        <v>3641</v>
      </c>
      <c r="B53" s="3146" t="s">
        <v>3385</v>
      </c>
      <c r="C53" s="3146" t="s">
        <v>3642</v>
      </c>
      <c r="D53" s="3146" t="s">
        <v>3425</v>
      </c>
      <c r="E53" s="3146" t="s">
        <v>3451</v>
      </c>
      <c r="F53" s="3146" t="s">
        <v>3427</v>
      </c>
      <c r="G53" s="3146">
        <v>49454.7</v>
      </c>
      <c r="H53" s="3146">
        <v>98909.1</v>
      </c>
      <c r="I53" s="3146">
        <v>2</v>
      </c>
      <c r="J53" s="3146" t="s">
        <v>3429</v>
      </c>
      <c r="K53" s="3146" t="s">
        <v>3643</v>
      </c>
      <c r="L53" s="3146" t="s">
        <v>3644</v>
      </c>
      <c r="M53" s="3146" t="s">
        <v>3432</v>
      </c>
      <c r="N53" s="3146" t="s">
        <v>3433</v>
      </c>
      <c r="O53" s="3147">
        <v>44454.000497685185</v>
      </c>
      <c r="P53" s="3146" t="s">
        <v>3463</v>
      </c>
      <c r="Q53" s="3146">
        <v>6448.89</v>
      </c>
      <c r="R53" s="3146">
        <v>6448.89</v>
      </c>
      <c r="S53" s="3146">
        <v>1303.99</v>
      </c>
      <c r="T53" s="3146">
        <v>86.93</v>
      </c>
      <c r="U53" s="3146">
        <v>652</v>
      </c>
      <c r="V53" s="3146">
        <v>0</v>
      </c>
      <c r="W53" s="3146">
        <v>20</v>
      </c>
      <c r="X53" s="3146" t="s">
        <v>3586</v>
      </c>
      <c r="Y53" s="3148">
        <f t="shared" si="1"/>
        <v>990</v>
      </c>
    </row>
    <row r="54" spans="1:26" hidden="1">
      <c r="A54" s="3146" t="s">
        <v>3645</v>
      </c>
      <c r="B54" s="3146" t="s">
        <v>3385</v>
      </c>
      <c r="C54" s="3146" t="s">
        <v>3646</v>
      </c>
      <c r="D54" s="3146" t="s">
        <v>3425</v>
      </c>
      <c r="E54" s="3146" t="s">
        <v>3473</v>
      </c>
      <c r="F54" s="3146" t="s">
        <v>3427</v>
      </c>
      <c r="G54" s="3146">
        <v>13006.3</v>
      </c>
      <c r="H54" s="3146">
        <v>9104.41</v>
      </c>
      <c r="I54" s="3146" t="s">
        <v>3647</v>
      </c>
      <c r="J54" s="3146" t="s">
        <v>3429</v>
      </c>
      <c r="K54" s="3146" t="s">
        <v>3430</v>
      </c>
      <c r="L54" s="3146" t="s">
        <v>3542</v>
      </c>
      <c r="M54" s="3146" t="s">
        <v>3432</v>
      </c>
      <c r="N54" s="3146" t="s">
        <v>3433</v>
      </c>
      <c r="O54" s="3147">
        <v>44446.000497685185</v>
      </c>
      <c r="P54" s="3146" t="s">
        <v>3648</v>
      </c>
      <c r="Q54" s="3146">
        <v>742.66</v>
      </c>
      <c r="R54" s="3146">
        <v>742.66</v>
      </c>
      <c r="S54" s="3146">
        <v>571</v>
      </c>
      <c r="T54" s="3146">
        <v>38.07</v>
      </c>
      <c r="U54" s="3146">
        <v>816</v>
      </c>
      <c r="V54" s="3146">
        <v>0</v>
      </c>
      <c r="W54" s="3146" t="s">
        <v>3464</v>
      </c>
      <c r="X54" s="3146" t="s">
        <v>3586</v>
      </c>
      <c r="Y54" s="3148">
        <f t="shared" si="1"/>
        <v>1240</v>
      </c>
    </row>
    <row r="55" spans="1:26" hidden="1">
      <c r="A55" s="3146" t="s">
        <v>3649</v>
      </c>
      <c r="B55" s="3146" t="s">
        <v>3385</v>
      </c>
      <c r="C55" s="3146" t="s">
        <v>3650</v>
      </c>
      <c r="D55" s="3146" t="s">
        <v>3425</v>
      </c>
      <c r="E55" s="3146" t="s">
        <v>3438</v>
      </c>
      <c r="F55" s="3146" t="s">
        <v>3427</v>
      </c>
      <c r="G55" s="3146">
        <v>6782.77</v>
      </c>
      <c r="H55" s="3146">
        <v>10174.16</v>
      </c>
      <c r="I55" s="3146" t="s">
        <v>3501</v>
      </c>
      <c r="J55" s="3146" t="s">
        <v>3429</v>
      </c>
      <c r="K55" s="3146" t="s">
        <v>3430</v>
      </c>
      <c r="L55" s="3146" t="s">
        <v>3427</v>
      </c>
      <c r="M55" s="3146" t="s">
        <v>3432</v>
      </c>
      <c r="N55" s="3146" t="s">
        <v>3433</v>
      </c>
      <c r="O55" s="3147">
        <v>44433.000497685185</v>
      </c>
      <c r="P55" s="3146" t="s">
        <v>3651</v>
      </c>
      <c r="Q55" s="3146">
        <v>768.15</v>
      </c>
      <c r="R55" s="3146">
        <v>768.15</v>
      </c>
      <c r="S55" s="3146">
        <v>1132.5</v>
      </c>
      <c r="T55" s="3146">
        <v>75.5</v>
      </c>
      <c r="U55" s="3146">
        <v>755</v>
      </c>
      <c r="V55" s="3146">
        <v>0</v>
      </c>
      <c r="W55" s="3146" t="s">
        <v>3464</v>
      </c>
      <c r="X55" s="3146" t="s">
        <v>3586</v>
      </c>
      <c r="Y55" s="3148">
        <f t="shared" si="1"/>
        <v>1147</v>
      </c>
    </row>
    <row r="56" spans="1:26" hidden="1">
      <c r="A56" s="3146" t="s">
        <v>3652</v>
      </c>
      <c r="B56" s="3146" t="s">
        <v>3385</v>
      </c>
      <c r="C56" s="3146" t="s">
        <v>3653</v>
      </c>
      <c r="D56" s="3146" t="s">
        <v>3425</v>
      </c>
      <c r="E56" s="3146" t="s">
        <v>3460</v>
      </c>
      <c r="F56" s="3146" t="s">
        <v>3427</v>
      </c>
      <c r="G56" s="3146">
        <v>106037.9</v>
      </c>
      <c r="H56" s="3146">
        <v>212075.8</v>
      </c>
      <c r="I56" s="3146" t="s">
        <v>3461</v>
      </c>
      <c r="J56" s="3146" t="s">
        <v>3429</v>
      </c>
      <c r="K56" s="3146" t="s">
        <v>3430</v>
      </c>
      <c r="L56" s="3146" t="s">
        <v>3542</v>
      </c>
      <c r="M56" s="3146" t="s">
        <v>3432</v>
      </c>
      <c r="N56" s="3146" t="s">
        <v>3433</v>
      </c>
      <c r="O56" s="3147">
        <v>44424.000497685185</v>
      </c>
      <c r="P56" s="3146" t="s">
        <v>3654</v>
      </c>
      <c r="Q56" s="3146">
        <v>21377.24</v>
      </c>
      <c r="R56" s="3146">
        <v>21377.24</v>
      </c>
      <c r="S56" s="3146">
        <v>2016</v>
      </c>
      <c r="T56" s="3146">
        <v>134.4</v>
      </c>
      <c r="U56" s="3146">
        <v>1008</v>
      </c>
      <c r="V56" s="3146">
        <v>0</v>
      </c>
      <c r="W56" s="3146" t="s">
        <v>3464</v>
      </c>
      <c r="X56" s="3146" t="s">
        <v>3586</v>
      </c>
      <c r="Y56" s="3148">
        <f t="shared" si="1"/>
        <v>1531</v>
      </c>
    </row>
    <row r="57" spans="1:26" hidden="1">
      <c r="A57" s="3146" t="s">
        <v>3655</v>
      </c>
      <c r="B57" s="3146" t="s">
        <v>3385</v>
      </c>
      <c r="C57" s="3146" t="s">
        <v>3656</v>
      </c>
      <c r="D57" s="3146" t="s">
        <v>3425</v>
      </c>
      <c r="E57" s="3146" t="s">
        <v>3576</v>
      </c>
      <c r="F57" s="3146" t="s">
        <v>3427</v>
      </c>
      <c r="G57" s="3146">
        <v>132895.59</v>
      </c>
      <c r="H57" s="3146">
        <v>132895.59</v>
      </c>
      <c r="I57" s="3146" t="s">
        <v>3657</v>
      </c>
      <c r="J57" s="3146" t="s">
        <v>3429</v>
      </c>
      <c r="K57" s="3146" t="s">
        <v>3430</v>
      </c>
      <c r="L57" s="3146" t="s">
        <v>3658</v>
      </c>
      <c r="M57" s="3146" t="s">
        <v>3432</v>
      </c>
      <c r="N57" s="3146" t="s">
        <v>3433</v>
      </c>
      <c r="O57" s="3147">
        <v>44350.000497685185</v>
      </c>
      <c r="P57" s="3146" t="s">
        <v>3659</v>
      </c>
      <c r="Q57" s="3146">
        <v>17928.64</v>
      </c>
      <c r="R57" s="3146">
        <v>17928.64</v>
      </c>
      <c r="S57" s="3146">
        <v>1349.07</v>
      </c>
      <c r="T57" s="3146">
        <v>89.94</v>
      </c>
      <c r="U57" s="3146">
        <v>1349</v>
      </c>
      <c r="V57" s="3146">
        <v>0</v>
      </c>
      <c r="W57" s="3146" t="s">
        <v>3464</v>
      </c>
      <c r="X57" s="3146" t="s">
        <v>3586</v>
      </c>
      <c r="Y57" s="3148">
        <f t="shared" si="1"/>
        <v>2049</v>
      </c>
    </row>
    <row r="58" spans="1:26" hidden="1">
      <c r="A58" s="3146" t="s">
        <v>3660</v>
      </c>
      <c r="B58" s="3146" t="s">
        <v>3385</v>
      </c>
      <c r="C58" s="3146" t="s">
        <v>3661</v>
      </c>
      <c r="D58" s="3146" t="s">
        <v>3425</v>
      </c>
      <c r="E58" s="3146" t="s">
        <v>3426</v>
      </c>
      <c r="F58" s="3146" t="s">
        <v>3427</v>
      </c>
      <c r="G58" s="3146">
        <v>128009.8</v>
      </c>
      <c r="H58" s="3146">
        <v>256019.6</v>
      </c>
      <c r="I58" s="3146" t="s">
        <v>3497</v>
      </c>
      <c r="J58" s="3146" t="s">
        <v>3429</v>
      </c>
      <c r="K58" s="3146" t="s">
        <v>3430</v>
      </c>
      <c r="L58" s="3146" t="s">
        <v>3542</v>
      </c>
      <c r="M58" s="3146" t="s">
        <v>3432</v>
      </c>
      <c r="N58" s="3146" t="s">
        <v>3433</v>
      </c>
      <c r="O58" s="3147">
        <v>44349.000497685185</v>
      </c>
      <c r="P58" s="3146" t="s">
        <v>3525</v>
      </c>
      <c r="Q58" s="3146">
        <v>14618.71</v>
      </c>
      <c r="R58" s="3146">
        <v>14618.72</v>
      </c>
      <c r="S58" s="3146">
        <v>1142</v>
      </c>
      <c r="T58" s="3146">
        <v>76.13</v>
      </c>
      <c r="U58" s="3146">
        <v>571</v>
      </c>
      <c r="V58" s="3146">
        <v>0</v>
      </c>
      <c r="W58" s="3146" t="s">
        <v>3464</v>
      </c>
      <c r="X58" s="3146" t="s">
        <v>3586</v>
      </c>
      <c r="Y58" s="3148">
        <f t="shared" si="1"/>
        <v>867</v>
      </c>
    </row>
    <row r="59" spans="1:26" hidden="1">
      <c r="A59" s="3146" t="s">
        <v>3662</v>
      </c>
      <c r="B59" s="3146" t="s">
        <v>3385</v>
      </c>
      <c r="C59" s="3146" t="s">
        <v>3663</v>
      </c>
      <c r="D59" s="3146" t="s">
        <v>3425</v>
      </c>
      <c r="E59" s="3146" t="s">
        <v>3433</v>
      </c>
      <c r="F59" s="3146" t="s">
        <v>3427</v>
      </c>
      <c r="G59" s="3146">
        <v>194336.92</v>
      </c>
      <c r="H59" s="3146">
        <v>291505.37</v>
      </c>
      <c r="I59" s="3146" t="s">
        <v>3501</v>
      </c>
      <c r="J59" s="3146" t="s">
        <v>3429</v>
      </c>
      <c r="K59" s="3146" t="s">
        <v>3664</v>
      </c>
      <c r="L59" s="3146" t="s">
        <v>3665</v>
      </c>
      <c r="M59" s="3146" t="s">
        <v>3432</v>
      </c>
      <c r="N59" s="3146" t="s">
        <v>3433</v>
      </c>
      <c r="O59" s="3147">
        <v>44343.000497685185</v>
      </c>
      <c r="P59" s="3146" t="s">
        <v>3666</v>
      </c>
      <c r="Q59" s="3146">
        <v>31978.14</v>
      </c>
      <c r="R59" s="3146">
        <v>31978.14</v>
      </c>
      <c r="S59" s="3146">
        <v>1645.5</v>
      </c>
      <c r="T59" s="3146">
        <v>109.7</v>
      </c>
      <c r="U59" s="3146">
        <v>1097</v>
      </c>
      <c r="V59" s="3146">
        <v>0</v>
      </c>
      <c r="W59" s="3146" t="s">
        <v>3464</v>
      </c>
      <c r="X59" s="3146" t="s">
        <v>3586</v>
      </c>
      <c r="Y59" s="3148">
        <f t="shared" si="1"/>
        <v>1666</v>
      </c>
    </row>
    <row r="60" spans="1:26" hidden="1">
      <c r="A60" s="3146" t="s">
        <v>3667</v>
      </c>
      <c r="B60" s="3146" t="s">
        <v>3385</v>
      </c>
      <c r="C60" s="3146" t="s">
        <v>3668</v>
      </c>
      <c r="D60" s="3146" t="s">
        <v>3425</v>
      </c>
      <c r="E60" s="3146" t="s">
        <v>3514</v>
      </c>
      <c r="F60" s="3146" t="s">
        <v>3427</v>
      </c>
      <c r="G60" s="3146">
        <v>145654</v>
      </c>
      <c r="H60" s="3146">
        <v>356072.51</v>
      </c>
      <c r="I60" s="3146" t="s">
        <v>3669</v>
      </c>
      <c r="J60" s="3146" t="s">
        <v>3429</v>
      </c>
      <c r="K60" s="3146" t="s">
        <v>3430</v>
      </c>
      <c r="L60" s="3146" t="s">
        <v>3584</v>
      </c>
      <c r="M60" s="3146" t="s">
        <v>3432</v>
      </c>
      <c r="N60" s="3146" t="s">
        <v>3433</v>
      </c>
      <c r="O60" s="3147">
        <v>44329.000497685185</v>
      </c>
      <c r="P60" s="3146" t="s">
        <v>3635</v>
      </c>
      <c r="Q60" s="3146">
        <v>38455.83</v>
      </c>
      <c r="R60" s="3146">
        <v>38455.83</v>
      </c>
      <c r="S60" s="3146">
        <v>2640.21</v>
      </c>
      <c r="T60" s="3146">
        <v>176.01</v>
      </c>
      <c r="U60" s="3146">
        <v>1080</v>
      </c>
      <c r="V60" s="3146">
        <v>0</v>
      </c>
      <c r="W60" s="3146" t="s">
        <v>3590</v>
      </c>
      <c r="X60" s="3146" t="s">
        <v>3586</v>
      </c>
    </row>
    <row r="61" spans="1:26" hidden="1">
      <c r="A61" s="3146" t="s">
        <v>3670</v>
      </c>
      <c r="B61" s="3146" t="s">
        <v>3385</v>
      </c>
      <c r="C61" s="3146" t="s">
        <v>3671</v>
      </c>
      <c r="D61" s="3146" t="s">
        <v>3425</v>
      </c>
      <c r="E61" s="3146" t="s">
        <v>3473</v>
      </c>
      <c r="F61" s="3146" t="s">
        <v>3427</v>
      </c>
      <c r="G61" s="3146">
        <v>32265.9</v>
      </c>
      <c r="H61" s="3146">
        <v>38719.08</v>
      </c>
      <c r="I61" s="3146" t="s">
        <v>3672</v>
      </c>
      <c r="J61" s="3146" t="s">
        <v>3429</v>
      </c>
      <c r="K61" s="3146" t="s">
        <v>3430</v>
      </c>
      <c r="L61" s="3146" t="s">
        <v>3673</v>
      </c>
      <c r="M61" s="3146" t="s">
        <v>3432</v>
      </c>
      <c r="N61" s="3146" t="s">
        <v>3433</v>
      </c>
      <c r="O61" s="3147">
        <v>44335.000497685185</v>
      </c>
      <c r="P61" s="3146" t="s">
        <v>3674</v>
      </c>
      <c r="Q61" s="3146">
        <v>2578.69</v>
      </c>
      <c r="R61" s="3146">
        <v>2578.69</v>
      </c>
      <c r="S61" s="3146">
        <v>799.19</v>
      </c>
      <c r="T61" s="3146">
        <v>53.28</v>
      </c>
      <c r="U61" s="3146">
        <v>666</v>
      </c>
      <c r="V61" s="3146">
        <v>0</v>
      </c>
      <c r="W61" s="3146" t="s">
        <v>3464</v>
      </c>
      <c r="X61" s="3146" t="s">
        <v>3586</v>
      </c>
      <c r="Y61" s="3148">
        <f t="shared" si="1"/>
        <v>1012</v>
      </c>
    </row>
    <row r="62" spans="1:26" hidden="1">
      <c r="A62" s="3146" t="s">
        <v>3675</v>
      </c>
      <c r="B62" s="3146" t="s">
        <v>3385</v>
      </c>
      <c r="C62" s="3146" t="s">
        <v>3676</v>
      </c>
      <c r="D62" s="3146" t="s">
        <v>3425</v>
      </c>
      <c r="E62" s="3146" t="s">
        <v>3426</v>
      </c>
      <c r="F62" s="3146" t="s">
        <v>3427</v>
      </c>
      <c r="G62" s="3146">
        <v>12863.4</v>
      </c>
      <c r="H62" s="3146">
        <v>19295.099999999999</v>
      </c>
      <c r="I62" s="3146" t="s">
        <v>3501</v>
      </c>
      <c r="J62" s="3146" t="s">
        <v>3429</v>
      </c>
      <c r="K62" s="3146" t="s">
        <v>3430</v>
      </c>
      <c r="L62" s="3146" t="s">
        <v>3542</v>
      </c>
      <c r="M62" s="3146" t="s">
        <v>3432</v>
      </c>
      <c r="N62" s="3146" t="s">
        <v>3433</v>
      </c>
      <c r="O62" s="3147">
        <v>44306.000497685185</v>
      </c>
      <c r="P62" s="3146" t="s">
        <v>3677</v>
      </c>
      <c r="Q62" s="3146">
        <v>1132.6199999999999</v>
      </c>
      <c r="R62" s="3146">
        <v>1132.6199999999999</v>
      </c>
      <c r="S62" s="3146">
        <v>880.49</v>
      </c>
      <c r="T62" s="3146">
        <v>58.7</v>
      </c>
      <c r="U62" s="3146">
        <v>587</v>
      </c>
      <c r="V62" s="3146">
        <v>0</v>
      </c>
      <c r="W62" s="3146" t="s">
        <v>3464</v>
      </c>
      <c r="X62" s="3146" t="s">
        <v>3586</v>
      </c>
      <c r="Y62" s="3148">
        <f t="shared" si="1"/>
        <v>892</v>
      </c>
    </row>
    <row r="63" spans="1:26" hidden="1">
      <c r="A63" s="3146" t="s">
        <v>3678</v>
      </c>
      <c r="B63" s="3146" t="s">
        <v>3385</v>
      </c>
      <c r="C63" s="3146" t="s">
        <v>3679</v>
      </c>
      <c r="D63" s="3146" t="s">
        <v>3425</v>
      </c>
      <c r="E63" s="3146" t="s">
        <v>3473</v>
      </c>
      <c r="F63" s="3146" t="s">
        <v>3427</v>
      </c>
      <c r="G63" s="3146">
        <v>34162.300000000003</v>
      </c>
      <c r="H63" s="3146">
        <v>68324.600000000006</v>
      </c>
      <c r="I63" s="3146" t="s">
        <v>3461</v>
      </c>
      <c r="J63" s="3146" t="s">
        <v>3429</v>
      </c>
      <c r="K63" s="3146" t="s">
        <v>3430</v>
      </c>
      <c r="L63" s="3146" t="s">
        <v>3584</v>
      </c>
      <c r="M63" s="3146" t="s">
        <v>3432</v>
      </c>
      <c r="N63" s="3146" t="s">
        <v>3433</v>
      </c>
      <c r="O63" s="3147">
        <v>44287.000497685185</v>
      </c>
      <c r="P63" s="3146" t="s">
        <v>3680</v>
      </c>
      <c r="Q63" s="3146">
        <v>4550.42</v>
      </c>
      <c r="R63" s="3146">
        <v>4550.42</v>
      </c>
      <c r="S63" s="3146">
        <v>1332</v>
      </c>
      <c r="T63" s="3146">
        <v>88.8</v>
      </c>
      <c r="U63" s="3146">
        <v>666</v>
      </c>
      <c r="V63" s="3146">
        <v>0</v>
      </c>
      <c r="W63" s="3146" t="s">
        <v>3617</v>
      </c>
      <c r="X63" s="3146" t="s">
        <v>3586</v>
      </c>
      <c r="Y63" s="3148">
        <f t="shared" si="1"/>
        <v>1012</v>
      </c>
    </row>
    <row r="64" spans="1:26" hidden="1">
      <c r="A64" s="3146" t="s">
        <v>3681</v>
      </c>
      <c r="B64" s="3146" t="s">
        <v>3385</v>
      </c>
      <c r="C64" s="3146" t="s">
        <v>3682</v>
      </c>
      <c r="D64" s="3146" t="s">
        <v>3425</v>
      </c>
      <c r="E64" s="3146" t="s">
        <v>3486</v>
      </c>
      <c r="F64" s="3146" t="s">
        <v>3427</v>
      </c>
      <c r="G64" s="3146">
        <v>23044.5</v>
      </c>
      <c r="H64" s="3146">
        <v>46089</v>
      </c>
      <c r="I64" s="3146" t="s">
        <v>3461</v>
      </c>
      <c r="J64" s="3146" t="s">
        <v>3429</v>
      </c>
      <c r="K64" s="3146" t="s">
        <v>3430</v>
      </c>
      <c r="L64" s="3146" t="s">
        <v>3431</v>
      </c>
      <c r="M64" s="3146" t="s">
        <v>3432</v>
      </c>
      <c r="N64" s="3146" t="s">
        <v>3433</v>
      </c>
      <c r="O64" s="3147">
        <v>44266.000497685185</v>
      </c>
      <c r="P64" s="3146" t="s">
        <v>3683</v>
      </c>
      <c r="Q64" s="3146">
        <v>3346.06</v>
      </c>
      <c r="R64" s="3146">
        <v>3346.06</v>
      </c>
      <c r="S64" s="3146">
        <v>1451.99</v>
      </c>
      <c r="T64" s="3146">
        <v>96.8</v>
      </c>
      <c r="U64" s="3146">
        <v>726</v>
      </c>
      <c r="V64" s="3146">
        <v>0</v>
      </c>
      <c r="W64" s="3146" t="s">
        <v>3464</v>
      </c>
      <c r="X64" s="3146" t="s">
        <v>3586</v>
      </c>
      <c r="Y64" s="3148">
        <f t="shared" si="1"/>
        <v>1103</v>
      </c>
    </row>
    <row r="65" spans="1:25" hidden="1">
      <c r="A65" s="3146" t="s">
        <v>3684</v>
      </c>
      <c r="B65" s="3146" t="s">
        <v>3385</v>
      </c>
      <c r="C65" s="3146" t="s">
        <v>3685</v>
      </c>
      <c r="D65" s="3146" t="s">
        <v>3425</v>
      </c>
      <c r="E65" s="3146" t="s">
        <v>3576</v>
      </c>
      <c r="F65" s="3146" t="s">
        <v>3427</v>
      </c>
      <c r="G65" s="3146">
        <v>110807.97</v>
      </c>
      <c r="H65" s="3146">
        <v>149590.76</v>
      </c>
      <c r="I65" s="3146" t="s">
        <v>3686</v>
      </c>
      <c r="J65" s="3146" t="s">
        <v>3429</v>
      </c>
      <c r="K65" s="3146" t="s">
        <v>3430</v>
      </c>
      <c r="L65" s="3146" t="s">
        <v>3427</v>
      </c>
      <c r="M65" s="3146" t="s">
        <v>3432</v>
      </c>
      <c r="N65" s="3146" t="s">
        <v>3433</v>
      </c>
      <c r="O65" s="3147">
        <v>44263.000497685185</v>
      </c>
      <c r="P65" s="3146" t="s">
        <v>3687</v>
      </c>
      <c r="Q65" s="3146">
        <v>11293.36</v>
      </c>
      <c r="R65" s="3146">
        <v>11293.36</v>
      </c>
      <c r="S65" s="3146">
        <v>1019.18</v>
      </c>
      <c r="T65" s="3146">
        <v>67.95</v>
      </c>
      <c r="U65" s="3146">
        <v>755</v>
      </c>
      <c r="V65" s="3146">
        <v>0</v>
      </c>
      <c r="W65" s="3146" t="s">
        <v>3464</v>
      </c>
      <c r="X65" s="3146" t="s">
        <v>3586</v>
      </c>
      <c r="Y65" s="3148">
        <f t="shared" si="1"/>
        <v>1147</v>
      </c>
    </row>
    <row r="66" spans="1:25" hidden="1">
      <c r="A66" s="3146" t="s">
        <v>3688</v>
      </c>
      <c r="B66" s="3146" t="s">
        <v>3385</v>
      </c>
      <c r="C66" s="3146" t="s">
        <v>3689</v>
      </c>
      <c r="D66" s="3146" t="s">
        <v>3425</v>
      </c>
      <c r="E66" s="3146" t="s">
        <v>3433</v>
      </c>
      <c r="F66" s="3146" t="s">
        <v>3427</v>
      </c>
      <c r="G66" s="3146">
        <v>16922.8</v>
      </c>
      <c r="H66" s="3146">
        <v>33845.599999999999</v>
      </c>
      <c r="I66" s="3146" t="s">
        <v>3461</v>
      </c>
      <c r="J66" s="3146" t="s">
        <v>3429</v>
      </c>
      <c r="K66" s="3146" t="s">
        <v>3430</v>
      </c>
      <c r="L66" s="3146" t="s">
        <v>3431</v>
      </c>
      <c r="M66" s="3146" t="s">
        <v>3432</v>
      </c>
      <c r="N66" s="3146" t="s">
        <v>3433</v>
      </c>
      <c r="O66" s="3147">
        <v>44229.000497685185</v>
      </c>
      <c r="P66" s="3146" t="s">
        <v>3690</v>
      </c>
      <c r="Q66" s="3146">
        <v>2254.12</v>
      </c>
      <c r="R66" s="3146">
        <v>2254.12</v>
      </c>
      <c r="S66" s="3146">
        <v>1332</v>
      </c>
      <c r="T66" s="3146">
        <v>88.8</v>
      </c>
      <c r="U66" s="3146">
        <v>666</v>
      </c>
      <c r="V66" s="3146">
        <v>0</v>
      </c>
      <c r="W66" s="3146" t="s">
        <v>3464</v>
      </c>
      <c r="X66" s="3146" t="s">
        <v>3586</v>
      </c>
      <c r="Y66" s="3148">
        <f t="shared" si="1"/>
        <v>1012</v>
      </c>
    </row>
    <row r="67" spans="1:25" hidden="1">
      <c r="A67" s="3146" t="s">
        <v>3691</v>
      </c>
      <c r="B67" s="3146" t="s">
        <v>3385</v>
      </c>
      <c r="C67" s="3146" t="s">
        <v>3692</v>
      </c>
      <c r="D67" s="3146" t="s">
        <v>3425</v>
      </c>
      <c r="E67" s="3146" t="s">
        <v>3433</v>
      </c>
      <c r="F67" s="3146" t="s">
        <v>3427</v>
      </c>
      <c r="G67" s="3146">
        <v>33333</v>
      </c>
      <c r="H67" s="3146">
        <v>40000</v>
      </c>
      <c r="I67" s="3146" t="s">
        <v>3672</v>
      </c>
      <c r="J67" s="3146" t="s">
        <v>3429</v>
      </c>
      <c r="K67" s="3146" t="s">
        <v>3430</v>
      </c>
      <c r="L67" s="3146" t="s">
        <v>3431</v>
      </c>
      <c r="M67" s="3146" t="s">
        <v>3432</v>
      </c>
      <c r="N67" s="3146" t="s">
        <v>3433</v>
      </c>
      <c r="O67" s="3147">
        <v>44229.000497685185</v>
      </c>
      <c r="P67" s="3146" t="s">
        <v>3693</v>
      </c>
      <c r="Q67" s="3146">
        <v>5935.6</v>
      </c>
      <c r="R67" s="3146">
        <v>5935.6</v>
      </c>
      <c r="S67" s="3146">
        <v>1780.69</v>
      </c>
      <c r="T67" s="3146">
        <v>118.71</v>
      </c>
      <c r="U67" s="3146">
        <v>1484</v>
      </c>
      <c r="V67" s="3146">
        <v>0</v>
      </c>
      <c r="W67" s="3146" t="s">
        <v>3464</v>
      </c>
      <c r="X67" s="3146" t="s">
        <v>3586</v>
      </c>
      <c r="Y67" s="3148">
        <f t="shared" si="1"/>
        <v>2254</v>
      </c>
    </row>
    <row r="68" spans="1:25" hidden="1">
      <c r="A68" s="3146" t="s">
        <v>3694</v>
      </c>
      <c r="B68" s="3146" t="s">
        <v>3385</v>
      </c>
      <c r="C68" s="3146" t="s">
        <v>3695</v>
      </c>
      <c r="D68" s="3146" t="s">
        <v>3425</v>
      </c>
      <c r="E68" s="3146" t="s">
        <v>3433</v>
      </c>
      <c r="F68" s="3146" t="s">
        <v>3427</v>
      </c>
      <c r="G68" s="3146">
        <v>471181.9</v>
      </c>
      <c r="H68" s="3146">
        <v>942363.8</v>
      </c>
      <c r="I68" s="3146" t="s">
        <v>3461</v>
      </c>
      <c r="J68" s="3146" t="s">
        <v>3429</v>
      </c>
      <c r="K68" s="3146" t="s">
        <v>3430</v>
      </c>
      <c r="L68" s="3146" t="s">
        <v>3584</v>
      </c>
      <c r="M68" s="3146" t="s">
        <v>3432</v>
      </c>
      <c r="N68" s="3146" t="s">
        <v>3433</v>
      </c>
      <c r="O68" s="3147">
        <v>44194.000497685185</v>
      </c>
      <c r="P68" s="3146" t="s">
        <v>3696</v>
      </c>
      <c r="Q68" s="3146">
        <v>80100.92</v>
      </c>
      <c r="R68" s="3146">
        <v>80100.92</v>
      </c>
      <c r="S68" s="3146">
        <v>1699.99</v>
      </c>
      <c r="T68" s="3146">
        <v>113.33</v>
      </c>
      <c r="U68" s="3146">
        <v>850</v>
      </c>
      <c r="V68" s="3146">
        <v>0</v>
      </c>
      <c r="W68" s="3146" t="s">
        <v>3590</v>
      </c>
      <c r="X68" s="3146" t="s">
        <v>3586</v>
      </c>
    </row>
    <row r="69" spans="1:25" hidden="1">
      <c r="A69" s="3146" t="s">
        <v>3697</v>
      </c>
      <c r="B69" s="3146" t="s">
        <v>3385</v>
      </c>
      <c r="C69" s="3146" t="s">
        <v>3698</v>
      </c>
      <c r="D69" s="3146" t="s">
        <v>3425</v>
      </c>
      <c r="E69" s="3146" t="s">
        <v>3433</v>
      </c>
      <c r="F69" s="3146" t="s">
        <v>3427</v>
      </c>
      <c r="G69" s="3146">
        <v>22695.8</v>
      </c>
      <c r="H69" s="3146">
        <v>40852.44</v>
      </c>
      <c r="I69" s="3146" t="s">
        <v>3699</v>
      </c>
      <c r="J69" s="3146" t="s">
        <v>3429</v>
      </c>
      <c r="K69" s="3146" t="s">
        <v>3430</v>
      </c>
      <c r="L69" s="3146" t="s">
        <v>3431</v>
      </c>
      <c r="M69" s="3146" t="s">
        <v>3432</v>
      </c>
      <c r="N69" s="3146" t="s">
        <v>3433</v>
      </c>
      <c r="O69" s="3147">
        <v>44189.000497685185</v>
      </c>
      <c r="P69" s="3146" t="s">
        <v>3528</v>
      </c>
      <c r="Q69" s="3146">
        <v>4412.0600000000004</v>
      </c>
      <c r="R69" s="3146">
        <v>4412.0600000000004</v>
      </c>
      <c r="S69" s="3146">
        <v>1943.99</v>
      </c>
      <c r="T69" s="3146">
        <v>129.6</v>
      </c>
      <c r="U69" s="3146">
        <v>1080</v>
      </c>
      <c r="V69" s="3146">
        <v>0</v>
      </c>
      <c r="W69" s="3146" t="s">
        <v>3464</v>
      </c>
      <c r="X69" s="3146" t="s">
        <v>3586</v>
      </c>
      <c r="Y69" s="3148">
        <f t="shared" si="1"/>
        <v>1641</v>
      </c>
    </row>
    <row r="70" spans="1:25" hidden="1">
      <c r="A70" s="3146" t="s">
        <v>3700</v>
      </c>
      <c r="B70" s="3146" t="s">
        <v>3385</v>
      </c>
      <c r="C70" s="3146" t="s">
        <v>3701</v>
      </c>
      <c r="D70" s="3146" t="s">
        <v>3425</v>
      </c>
      <c r="E70" s="3146" t="s">
        <v>3433</v>
      </c>
      <c r="F70" s="3146" t="s">
        <v>3427</v>
      </c>
      <c r="G70" s="3146">
        <v>14690.2</v>
      </c>
      <c r="H70" s="3146">
        <v>29380.400000000001</v>
      </c>
      <c r="I70" s="3146" t="s">
        <v>3461</v>
      </c>
      <c r="J70" s="3146" t="s">
        <v>3429</v>
      </c>
      <c r="K70" s="3146" t="s">
        <v>3430</v>
      </c>
      <c r="L70" s="3146" t="s">
        <v>3584</v>
      </c>
      <c r="M70" s="3146" t="s">
        <v>3432</v>
      </c>
      <c r="N70" s="3146" t="s">
        <v>3433</v>
      </c>
      <c r="O70" s="3147">
        <v>44173.000497685185</v>
      </c>
      <c r="P70" s="3146" t="s">
        <v>3702</v>
      </c>
      <c r="Q70" s="3146">
        <v>1956.73</v>
      </c>
      <c r="R70" s="3146">
        <v>1956.73</v>
      </c>
      <c r="S70" s="3146">
        <v>1331.99</v>
      </c>
      <c r="T70" s="3146">
        <v>88.8</v>
      </c>
      <c r="U70" s="3146">
        <v>666</v>
      </c>
      <c r="V70" s="3146">
        <v>0</v>
      </c>
      <c r="W70" s="3146" t="s">
        <v>3464</v>
      </c>
      <c r="X70" s="3146" t="s">
        <v>3586</v>
      </c>
      <c r="Y70" s="3148">
        <f t="shared" si="1"/>
        <v>1012</v>
      </c>
    </row>
    <row r="71" spans="1:25" hidden="1">
      <c r="A71" s="3146" t="s">
        <v>3703</v>
      </c>
      <c r="B71" s="3146" t="s">
        <v>3385</v>
      </c>
      <c r="C71" s="3146" t="s">
        <v>3704</v>
      </c>
      <c r="D71" s="3146" t="s">
        <v>3425</v>
      </c>
      <c r="E71" s="3146" t="s">
        <v>3433</v>
      </c>
      <c r="F71" s="3146" t="s">
        <v>3427</v>
      </c>
      <c r="G71" s="3146">
        <v>20195.2</v>
      </c>
      <c r="H71" s="3146">
        <v>24234.240000000002</v>
      </c>
      <c r="I71" s="3146" t="s">
        <v>3672</v>
      </c>
      <c r="J71" s="3146" t="s">
        <v>3429</v>
      </c>
      <c r="K71" s="3146" t="s">
        <v>3430</v>
      </c>
      <c r="L71" s="3146" t="s">
        <v>3584</v>
      </c>
      <c r="M71" s="3146" t="s">
        <v>3432</v>
      </c>
      <c r="N71" s="3146" t="s">
        <v>3433</v>
      </c>
      <c r="O71" s="3147">
        <v>44173.000497685185</v>
      </c>
      <c r="P71" s="3146" t="s">
        <v>3705</v>
      </c>
      <c r="Q71" s="3146">
        <v>1614</v>
      </c>
      <c r="R71" s="3146">
        <v>1614</v>
      </c>
      <c r="S71" s="3146">
        <v>799.19</v>
      </c>
      <c r="T71" s="3146">
        <v>53.28</v>
      </c>
      <c r="U71" s="3146">
        <v>666</v>
      </c>
      <c r="V71" s="3146">
        <v>0</v>
      </c>
      <c r="W71" s="3146" t="s">
        <v>3464</v>
      </c>
      <c r="X71" s="3146" t="s">
        <v>3586</v>
      </c>
      <c r="Y71" s="3148">
        <f t="shared" si="1"/>
        <v>1012</v>
      </c>
    </row>
    <row r="72" spans="1:25" hidden="1">
      <c r="A72" s="3146" t="s">
        <v>3706</v>
      </c>
      <c r="B72" s="3146" t="s">
        <v>3385</v>
      </c>
      <c r="C72" s="3146" t="s">
        <v>3707</v>
      </c>
      <c r="D72" s="3146" t="s">
        <v>3425</v>
      </c>
      <c r="E72" s="3146" t="s">
        <v>3433</v>
      </c>
      <c r="F72" s="3146" t="s">
        <v>3427</v>
      </c>
      <c r="G72" s="3146">
        <v>12168</v>
      </c>
      <c r="H72" s="3146">
        <v>12168</v>
      </c>
      <c r="I72" s="3146" t="s">
        <v>3452</v>
      </c>
      <c r="J72" s="3146" t="s">
        <v>3429</v>
      </c>
      <c r="K72" s="3146" t="s">
        <v>3445</v>
      </c>
      <c r="L72" s="3146" t="s">
        <v>3453</v>
      </c>
      <c r="M72" s="3146" t="s">
        <v>3432</v>
      </c>
      <c r="N72" s="3146" t="s">
        <v>3433</v>
      </c>
      <c r="O72" s="3147">
        <v>44173.000497685185</v>
      </c>
      <c r="P72" s="3146" t="s">
        <v>3635</v>
      </c>
      <c r="Q72" s="3146">
        <v>883.4</v>
      </c>
      <c r="R72" s="3146">
        <v>883.4</v>
      </c>
      <c r="S72" s="3146">
        <v>726</v>
      </c>
      <c r="T72" s="3146">
        <v>48.4</v>
      </c>
      <c r="U72" s="3146">
        <v>726</v>
      </c>
      <c r="V72" s="3146">
        <v>0</v>
      </c>
      <c r="W72" s="3146" t="s">
        <v>3464</v>
      </c>
      <c r="X72" s="3146" t="s">
        <v>3586</v>
      </c>
      <c r="Y72" s="3148">
        <f t="shared" si="1"/>
        <v>1103</v>
      </c>
    </row>
    <row r="73" spans="1:25" hidden="1">
      <c r="A73" s="3146" t="s">
        <v>3708</v>
      </c>
      <c r="B73" s="3146" t="s">
        <v>3385</v>
      </c>
      <c r="C73" s="3146" t="s">
        <v>3709</v>
      </c>
      <c r="D73" s="3146" t="s">
        <v>3425</v>
      </c>
      <c r="E73" s="3146" t="s">
        <v>3426</v>
      </c>
      <c r="F73" s="3146" t="s">
        <v>3427</v>
      </c>
      <c r="G73" s="3146">
        <v>66050.399999999994</v>
      </c>
      <c r="H73" s="3146">
        <v>99075.6</v>
      </c>
      <c r="I73" s="3146" t="s">
        <v>3501</v>
      </c>
      <c r="J73" s="3146" t="s">
        <v>3429</v>
      </c>
      <c r="K73" s="3146" t="s">
        <v>3430</v>
      </c>
      <c r="L73" s="3146" t="s">
        <v>3584</v>
      </c>
      <c r="M73" s="3146" t="s">
        <v>3432</v>
      </c>
      <c r="N73" s="3146" t="s">
        <v>3433</v>
      </c>
      <c r="O73" s="3147">
        <v>44168.000497685185</v>
      </c>
      <c r="P73" s="3146" t="s">
        <v>3710</v>
      </c>
      <c r="Q73" s="3146">
        <v>5815.74</v>
      </c>
      <c r="R73" s="3146">
        <v>5815.74</v>
      </c>
      <c r="S73" s="3146">
        <v>880.5</v>
      </c>
      <c r="T73" s="3146">
        <v>58.7</v>
      </c>
      <c r="U73" s="3146">
        <v>587</v>
      </c>
      <c r="V73" s="3146">
        <v>0</v>
      </c>
      <c r="W73" s="3146" t="s">
        <v>3464</v>
      </c>
      <c r="X73" s="3146" t="s">
        <v>3586</v>
      </c>
      <c r="Y73" s="3148">
        <f t="shared" si="1"/>
        <v>892</v>
      </c>
    </row>
    <row r="74" spans="1:25" hidden="1">
      <c r="A74" s="3146" t="s">
        <v>3711</v>
      </c>
      <c r="B74" s="3146" t="s">
        <v>3385</v>
      </c>
      <c r="C74" s="3146" t="s">
        <v>3712</v>
      </c>
      <c r="D74" s="3146" t="s">
        <v>3425</v>
      </c>
      <c r="E74" s="3146" t="s">
        <v>3426</v>
      </c>
      <c r="F74" s="3146" t="s">
        <v>3427</v>
      </c>
      <c r="G74" s="3146">
        <v>39596.699999999997</v>
      </c>
      <c r="H74" s="3146">
        <v>59395.05</v>
      </c>
      <c r="I74" s="3146" t="s">
        <v>3501</v>
      </c>
      <c r="J74" s="3146" t="s">
        <v>3429</v>
      </c>
      <c r="K74" s="3146" t="s">
        <v>3430</v>
      </c>
      <c r="L74" s="3146" t="s">
        <v>3584</v>
      </c>
      <c r="M74" s="3146" t="s">
        <v>3432</v>
      </c>
      <c r="N74" s="3146" t="s">
        <v>3433</v>
      </c>
      <c r="O74" s="3147">
        <v>44168.000497685185</v>
      </c>
      <c r="P74" s="3146" t="s">
        <v>3713</v>
      </c>
      <c r="Q74" s="3146">
        <v>3486.49</v>
      </c>
      <c r="R74" s="3146">
        <v>3486.49</v>
      </c>
      <c r="S74" s="3146">
        <v>880.5</v>
      </c>
      <c r="T74" s="3146">
        <v>58.7</v>
      </c>
      <c r="U74" s="3146">
        <v>587</v>
      </c>
      <c r="V74" s="3146">
        <v>0</v>
      </c>
      <c r="W74" s="3146" t="s">
        <v>3464</v>
      </c>
      <c r="X74" s="3146" t="s">
        <v>3586</v>
      </c>
      <c r="Y74" s="3148">
        <f t="shared" si="1"/>
        <v>892</v>
      </c>
    </row>
    <row r="75" spans="1:25" hidden="1">
      <c r="A75" s="3146" t="s">
        <v>3714</v>
      </c>
      <c r="B75" s="3146" t="s">
        <v>3385</v>
      </c>
      <c r="C75" s="3146" t="s">
        <v>3715</v>
      </c>
      <c r="D75" s="3146" t="s">
        <v>3425</v>
      </c>
      <c r="E75" s="3146" t="s">
        <v>3716</v>
      </c>
      <c r="F75" s="3146" t="s">
        <v>3427</v>
      </c>
      <c r="G75" s="3146">
        <v>33256</v>
      </c>
      <c r="H75" s="3146">
        <v>49884</v>
      </c>
      <c r="I75" s="3146" t="s">
        <v>3501</v>
      </c>
      <c r="J75" s="3146" t="s">
        <v>3429</v>
      </c>
      <c r="K75" s="3146" t="s">
        <v>3430</v>
      </c>
      <c r="L75" s="3146" t="s">
        <v>3584</v>
      </c>
      <c r="M75" s="3146" t="s">
        <v>3432</v>
      </c>
      <c r="N75" s="3146" t="s">
        <v>3433</v>
      </c>
      <c r="O75" s="3147">
        <v>44168.000497685185</v>
      </c>
      <c r="P75" s="3146" t="s">
        <v>3717</v>
      </c>
      <c r="Q75" s="3146">
        <v>2848.38</v>
      </c>
      <c r="R75" s="3146">
        <v>2848.38</v>
      </c>
      <c r="S75" s="3146">
        <v>856.5</v>
      </c>
      <c r="T75" s="3146">
        <v>57.1</v>
      </c>
      <c r="U75" s="3146">
        <v>571</v>
      </c>
      <c r="V75" s="3146">
        <v>0</v>
      </c>
      <c r="W75" s="3146" t="s">
        <v>3464</v>
      </c>
      <c r="X75" s="3146" t="s">
        <v>3586</v>
      </c>
      <c r="Y75" s="3148">
        <f t="shared" si="1"/>
        <v>867</v>
      </c>
    </row>
    <row r="76" spans="1:25" hidden="1">
      <c r="A76" s="3146" t="s">
        <v>3718</v>
      </c>
      <c r="B76" s="3146" t="s">
        <v>3385</v>
      </c>
      <c r="C76" s="3146" t="s">
        <v>3719</v>
      </c>
      <c r="D76" s="3146" t="s">
        <v>3425</v>
      </c>
      <c r="E76" s="3146" t="s">
        <v>3433</v>
      </c>
      <c r="F76" s="3146" t="s">
        <v>3427</v>
      </c>
      <c r="G76" s="3146">
        <v>73285.399999999994</v>
      </c>
      <c r="H76" s="3146">
        <v>109928.1</v>
      </c>
      <c r="I76" s="3146" t="s">
        <v>3501</v>
      </c>
      <c r="J76" s="3146" t="s">
        <v>3429</v>
      </c>
      <c r="K76" s="3146" t="s">
        <v>3430</v>
      </c>
      <c r="L76" s="3146" t="s">
        <v>3584</v>
      </c>
      <c r="M76" s="3146" t="s">
        <v>3432</v>
      </c>
      <c r="N76" s="3146" t="s">
        <v>3433</v>
      </c>
      <c r="O76" s="3147">
        <v>44158.000497685185</v>
      </c>
      <c r="P76" s="3146" t="s">
        <v>3720</v>
      </c>
      <c r="Q76" s="3146">
        <v>6276.89</v>
      </c>
      <c r="R76" s="3146">
        <v>6276.89</v>
      </c>
      <c r="S76" s="3146">
        <v>856.49</v>
      </c>
      <c r="T76" s="3146">
        <v>57.1</v>
      </c>
      <c r="U76" s="3146">
        <v>571</v>
      </c>
      <c r="V76" s="3146">
        <v>0</v>
      </c>
      <c r="W76" s="3146" t="s">
        <v>3464</v>
      </c>
      <c r="X76" s="3146" t="s">
        <v>3586</v>
      </c>
      <c r="Y76" s="3148">
        <f t="shared" si="1"/>
        <v>867</v>
      </c>
    </row>
    <row r="79" spans="1:25" ht="14.4">
      <c r="C79" s="3152" t="s">
        <v>3721</v>
      </c>
    </row>
  </sheetData>
  <autoFilter ref="A1:Y76" xr:uid="{00000000-0009-0000-0000-000018000000}"/>
  <phoneticPr fontId="136" type="noConversion"/>
  <hyperlinks>
    <hyperlink ref="C79" r:id="rId1" xr:uid="{00000000-0004-0000-1800-000000000000}"/>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topLeftCell="A32"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1458</v>
      </c>
      <c r="B1" s="1372"/>
      <c r="C1" s="1715" t="s">
        <v>1560</v>
      </c>
      <c r="D1" s="190"/>
      <c r="E1" s="190"/>
      <c r="F1" s="190"/>
      <c r="G1" s="1061">
        <f>MATCH(B1,'数据-取费表'!A6:A16,0)+5</f>
        <v>9</v>
      </c>
      <c r="H1" s="997" t="str">
        <f>IF(ISERROR(FIND("住宅",B1)),"非住宅","住宅")</f>
        <v>非住宅</v>
      </c>
    </row>
    <row r="2" spans="1:8" s="192" customFormat="1" ht="18" customHeight="1">
      <c r="A2" s="193" t="s">
        <v>1459</v>
      </c>
      <c r="B2" s="3121">
        <f ca="1">ROUND(IF(D2="——",C52/10000,C52/10000-E2),4)</f>
        <v>7029.1706999999997</v>
      </c>
      <c r="C2" s="191" t="s">
        <v>1460</v>
      </c>
      <c r="D2" s="1709" t="s">
        <v>43</v>
      </c>
      <c r="E2" s="1088" t="e">
        <f ca="1">SUMIF(INDIRECT("'"&amp;G2&amp;"'"&amp;"!A:A"),"承租人权益价值",INDIRECT("'"&amp;G2&amp;"'"&amp;"!c:c"))</f>
        <v>#REF!</v>
      </c>
      <c r="F2" s="1710" t="s">
        <v>1460</v>
      </c>
      <c r="G2" s="1711"/>
    </row>
    <row r="3" spans="1:8" s="192" customFormat="1" ht="18" customHeight="1" thickBot="1">
      <c r="A3" s="195" t="s">
        <v>1461</v>
      </c>
      <c r="B3" s="196">
        <f ca="1">ROUND(B2*10000/(IF(B1="",'数据-汇总表'!E3,INDIRECT("'数据-取费表'!k"&amp;$G$1))),0)</f>
        <v>3509</v>
      </c>
      <c r="C3" s="191" t="s">
        <v>1462</v>
      </c>
      <c r="D3" s="191"/>
      <c r="E3" s="191"/>
      <c r="F3" s="191"/>
      <c r="G3" s="191"/>
    </row>
    <row r="4" spans="1:8" s="200" customFormat="1" ht="16.2">
      <c r="A4" s="197" t="s">
        <v>1463</v>
      </c>
      <c r="B4" s="198"/>
      <c r="C4" s="198"/>
      <c r="D4" s="198"/>
      <c r="E4" s="198"/>
      <c r="F4" s="198"/>
      <c r="G4" s="199"/>
    </row>
    <row r="5" spans="1:8" s="206" customFormat="1" ht="13.5" customHeight="1">
      <c r="A5" s="247" t="s">
        <v>1464</v>
      </c>
      <c r="B5" s="202" t="s">
        <v>1465</v>
      </c>
      <c r="C5" s="203">
        <f ca="1">C6+C7+C8</f>
        <v>4006832</v>
      </c>
      <c r="D5" s="203" t="s">
        <v>1466</v>
      </c>
      <c r="E5" s="204" t="s">
        <v>1467</v>
      </c>
      <c r="F5" s="204" t="s">
        <v>1468</v>
      </c>
      <c r="G5" s="205"/>
    </row>
    <row r="6" spans="1:8" s="206" customFormat="1" ht="13.5" customHeight="1">
      <c r="A6" s="731" t="s">
        <v>1469</v>
      </c>
      <c r="B6" s="207" t="s">
        <v>1470</v>
      </c>
      <c r="C6" s="208"/>
      <c r="D6" s="209"/>
      <c r="E6" s="210"/>
      <c r="F6" s="210"/>
      <c r="G6" s="211"/>
    </row>
    <row r="7" spans="1:8" s="206" customFormat="1" ht="13.5" customHeight="1">
      <c r="A7" s="731" t="s">
        <v>1471</v>
      </c>
      <c r="B7" s="207" t="s">
        <v>1472</v>
      </c>
      <c r="C7" s="212">
        <f>ROUND(C6*F7,0)</f>
        <v>0</v>
      </c>
      <c r="D7" s="212"/>
      <c r="E7" s="210"/>
      <c r="F7" s="213">
        <f>IF(项目基本情况!B8="出让",0,'数据-取费表'!B48+'数据-取费表'!B49)</f>
        <v>3.0499999999999999E-2</v>
      </c>
      <c r="G7" s="211"/>
    </row>
    <row r="8" spans="1:8" s="215" customFormat="1">
      <c r="A8" s="731" t="s">
        <v>1473</v>
      </c>
      <c r="B8" s="207" t="s">
        <v>1474</v>
      </c>
      <c r="C8" s="212">
        <f ca="1">IF(G8="已包含在土地购买价格中",0,C9+C10)</f>
        <v>4006832</v>
      </c>
      <c r="D8" s="214"/>
      <c r="E8" s="212"/>
      <c r="F8" s="213"/>
      <c r="G8" s="1712"/>
    </row>
    <row r="9" spans="1:8" s="206" customFormat="1" ht="13.5" customHeight="1">
      <c r="A9" s="732" t="s">
        <v>355</v>
      </c>
      <c r="B9" s="216" t="s">
        <v>1475</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1477</v>
      </c>
      <c r="C10" s="217">
        <f ca="1">ROUND(D10*E10,0)</f>
        <v>4006832</v>
      </c>
      <c r="D10" s="794">
        <f ca="1">IF(B1="",'数据-汇总表'!E6,IF(INDIRECT("'数据-取费表'!c"&amp;$G$1)="住宅",INDIRECT("'数据-取费表'!s"&amp;$G$1),INDIRECT("'数据-取费表'!k"&amp;$G$1)+INDIRECT("'数据-取费表'!s"&amp;$G$1)))</f>
        <v>20034.16</v>
      </c>
      <c r="E10" s="217">
        <f>'数据-取费表'!B28</f>
        <v>200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4006832</v>
      </c>
      <c r="D19" s="204">
        <f ca="1">D9+D10</f>
        <v>20034.16</v>
      </c>
      <c r="E19" s="203">
        <f>'数据-取费表'!B31</f>
        <v>200</v>
      </c>
      <c r="F19" s="223"/>
      <c r="G19" s="1712"/>
    </row>
    <row r="20" spans="1:7" s="206" customFormat="1" ht="13.5" customHeight="1">
      <c r="A20" s="247" t="s">
        <v>1571</v>
      </c>
      <c r="B20" s="202" t="s">
        <v>1572</v>
      </c>
      <c r="C20" s="224">
        <f ca="1">ROUND((C5+C19)*F20,0)</f>
        <v>160273</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422393</v>
      </c>
      <c r="D22" s="227">
        <f ca="1">C26</f>
        <v>5.0000000000000001E-4</v>
      </c>
      <c r="E22" s="228" t="s">
        <v>1576</v>
      </c>
      <c r="F22" s="229">
        <f ca="1">'数据-取费表'!B40</f>
        <v>3.4500000000000003E-2</v>
      </c>
      <c r="G22" s="226" t="str">
        <f>IF('数据-取费表'!B22&lt;=1,"单利计息","复利计息")</f>
        <v>复利计息</v>
      </c>
    </row>
    <row r="23" spans="1:7" s="206" customFormat="1" ht="13.5" customHeight="1">
      <c r="A23" s="733" t="s">
        <v>1469</v>
      </c>
      <c r="B23" s="207" t="s">
        <v>1580</v>
      </c>
      <c r="C23" s="230">
        <f ca="1">ROUND(IF('数据-取费表'!B22&lt;=1,C5*F22*'数据-取费表'!B22,C5*(POWER((1+F22),'数据-取费表'!B22)-1)),0)</f>
        <v>209132</v>
      </c>
      <c r="D23" s="230"/>
      <c r="E23" s="230"/>
      <c r="F23" s="231"/>
      <c r="G23" s="232" t="s">
        <v>1581</v>
      </c>
    </row>
    <row r="24" spans="1:7" s="206" customFormat="1" ht="13.5" customHeight="1">
      <c r="A24" s="733" t="s">
        <v>1471</v>
      </c>
      <c r="B24" s="207" t="s">
        <v>1582</v>
      </c>
      <c r="C24" s="230">
        <f ca="1">ROUND(IF('数据-取费表'!B22&lt;=1,C19*F22*('数据-取费表'!B19/2+'数据-取费表'!B20),C19*(POWER((1+F22),('数据-取费表'!B19/2+'数据-取费表'!B20))-1)),0)</f>
        <v>209132</v>
      </c>
      <c r="D24" s="230"/>
      <c r="E24" s="230"/>
      <c r="F24" s="231"/>
      <c r="G24" s="232" t="s">
        <v>1583</v>
      </c>
    </row>
    <row r="25" spans="1:7" s="206" customFormat="1" ht="24">
      <c r="A25" s="733" t="s">
        <v>1473</v>
      </c>
      <c r="B25" s="207" t="s">
        <v>1584</v>
      </c>
      <c r="C25" s="230">
        <f ca="1">ROUND(IF('数据-取费表'!B22&lt;=1,C20*F22*'数据-取费表'!B22/2,C20*(POWER((1+F22),'数据-取费表'!B22/2)-1)),0)</f>
        <v>4129</v>
      </c>
      <c r="D25" s="230"/>
      <c r="E25" s="233"/>
      <c r="F25" s="231"/>
      <c r="G25" s="234" t="s">
        <v>1585</v>
      </c>
    </row>
    <row r="26" spans="1:7" s="206" customFormat="1">
      <c r="A26" s="733" t="s">
        <v>350</v>
      </c>
      <c r="B26" s="207" t="s">
        <v>1508</v>
      </c>
      <c r="C26" s="230">
        <f ca="1">ROUND(IF('数据-取费表'!B22&lt;=1,F21*F22*'数据-取费表'!B22/2,F21*(POWER((1+F22),'数据-取费表'!B22/2)-1)),4)</f>
        <v>5.0000000000000001E-4</v>
      </c>
      <c r="D26" s="230"/>
      <c r="E26" s="233"/>
      <c r="F26" s="231"/>
      <c r="G26" s="235"/>
    </row>
    <row r="27" spans="1:7" s="206" customFormat="1" ht="26.4">
      <c r="A27" s="247" t="s">
        <v>1509</v>
      </c>
      <c r="B27" s="236" t="s">
        <v>1510</v>
      </c>
      <c r="C27" s="237">
        <f ca="1">C28</f>
        <v>572176</v>
      </c>
      <c r="D27" s="227">
        <f ca="1">C29</f>
        <v>1.4E-3</v>
      </c>
      <c r="E27" s="228" t="s">
        <v>1511</v>
      </c>
      <c r="F27" s="238">
        <f ca="1">IF(B1="",'数据-取费表'!Q16,INDIRECT("'数据-取费表'!q"&amp;$G$1))</f>
        <v>7.0000000000000007E-2</v>
      </c>
      <c r="G27" s="239" t="s">
        <v>1512</v>
      </c>
    </row>
    <row r="28" spans="1:7" s="206" customFormat="1" ht="13.5" customHeight="1">
      <c r="A28" s="733" t="s">
        <v>346</v>
      </c>
      <c r="B28" s="240" t="s">
        <v>1513</v>
      </c>
      <c r="C28" s="241">
        <f ca="1">ROUND((C5+C19+C20)*F27,0)</f>
        <v>572176</v>
      </c>
      <c r="D28" s="227"/>
      <c r="E28" s="228"/>
      <c r="F28" s="238"/>
      <c r="G28" s="239"/>
    </row>
    <row r="29" spans="1:7" s="206" customFormat="1" ht="13.5" customHeight="1">
      <c r="A29" s="733" t="s">
        <v>347</v>
      </c>
      <c r="B29" s="240" t="s">
        <v>1514</v>
      </c>
      <c r="C29" s="230">
        <f ca="1">ROUND(C21*F27,4)</f>
        <v>1.4E-3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9904403</v>
      </c>
      <c r="D31" s="222"/>
      <c r="E31" s="203"/>
      <c r="F31" s="242"/>
      <c r="G31" s="226" t="s">
        <v>1519</v>
      </c>
    </row>
    <row r="32" spans="1:7" s="200" customFormat="1" ht="16.2">
      <c r="A32" s="244" t="s">
        <v>1586</v>
      </c>
      <c r="B32" s="245"/>
      <c r="C32" s="245"/>
      <c r="D32" s="245"/>
      <c r="E32" s="245"/>
      <c r="F32" s="245"/>
      <c r="G32" s="246"/>
    </row>
    <row r="33" spans="1:7" s="206" customFormat="1" ht="13.5" customHeight="1">
      <c r="A33" s="247" t="s">
        <v>337</v>
      </c>
      <c r="B33" s="202" t="s">
        <v>1587</v>
      </c>
      <c r="C33" s="248">
        <f ca="1">SUM(C34:C38)</f>
        <v>63229804</v>
      </c>
      <c r="D33" s="224"/>
      <c r="E33" s="204"/>
      <c r="F33" s="233"/>
      <c r="G33" s="226"/>
    </row>
    <row r="34" spans="1:7" s="250" customFormat="1" ht="13.5" customHeight="1">
      <c r="A34" s="733" t="s">
        <v>346</v>
      </c>
      <c r="B34" s="207" t="s">
        <v>1522</v>
      </c>
      <c r="C34" s="212">
        <f ca="1">ROUND(IF(B1="",SUMPRODUCT('数据-取费表'!K6:K14,'数据-取费表'!L6:L14),INDIRECT("'数据-取费表'!l"&amp;$G$1)*INDIRECT("'数据-取费表'!k"&amp;$G$1)+'数据-取费表'!L14*INDIRECT("'数据-取费表'!S"&amp;$G$1)),0)</f>
        <v>55870728</v>
      </c>
      <c r="D34" s="209"/>
      <c r="E34" s="212"/>
      <c r="F34" s="249"/>
      <c r="G34" s="211"/>
    </row>
    <row r="35" spans="1:7" ht="13.5" customHeight="1">
      <c r="A35" s="733" t="s">
        <v>351</v>
      </c>
      <c r="B35" s="207" t="s">
        <v>1524</v>
      </c>
      <c r="C35" s="212">
        <f ca="1">ROUND(C34*F35,0)</f>
        <v>2234829</v>
      </c>
      <c r="D35" s="212"/>
      <c r="E35" s="212"/>
      <c r="F35" s="251">
        <f>'数据-取费表'!B33</f>
        <v>0.04</v>
      </c>
      <c r="G35" s="211" t="s">
        <v>1525</v>
      </c>
    </row>
    <row r="36" spans="1:7" ht="24">
      <c r="A36" s="733"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3" t="s">
        <v>353</v>
      </c>
      <c r="B37" s="207" t="s">
        <v>1528</v>
      </c>
      <c r="C37" s="241">
        <f ca="1">ROUND(E37*D37,0)</f>
        <v>4006832</v>
      </c>
      <c r="D37" s="209">
        <f ca="1">D19</f>
        <v>20034.16</v>
      </c>
      <c r="E37" s="241">
        <f>'数据-取费表'!B35</f>
        <v>200</v>
      </c>
      <c r="F37" s="251"/>
      <c r="G37" s="253"/>
    </row>
    <row r="38" spans="1:7" ht="13.5" customHeight="1">
      <c r="A38" s="733" t="s">
        <v>354</v>
      </c>
      <c r="B38" s="207" t="s">
        <v>1530</v>
      </c>
      <c r="C38" s="212">
        <f ca="1">ROUND(C34*F38,0)</f>
        <v>1117415</v>
      </c>
      <c r="D38" s="212"/>
      <c r="E38" s="212"/>
      <c r="F38" s="251">
        <f>'数据-取费表'!B36</f>
        <v>0.02</v>
      </c>
      <c r="G38" s="211" t="s">
        <v>1525</v>
      </c>
    </row>
    <row r="39" spans="1:7" s="206" customFormat="1" ht="13.5" customHeight="1">
      <c r="A39" s="247" t="s">
        <v>1531</v>
      </c>
      <c r="B39" s="202" t="s">
        <v>1532</v>
      </c>
      <c r="C39" s="224">
        <f ca="1">ROUND(C33*F20,0)</f>
        <v>1264596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1661697</v>
      </c>
      <c r="D41" s="227">
        <f ca="1">C44</f>
        <v>5.0000000000000001E-4</v>
      </c>
      <c r="E41" s="228" t="s">
        <v>1536</v>
      </c>
      <c r="F41" s="229">
        <f ca="1">F22</f>
        <v>3.4500000000000003E-2</v>
      </c>
      <c r="G41" s="226" t="str">
        <f>IF('数据-取费表'!B22&lt;=1,"单利计息","复利计息")</f>
        <v>复利计息</v>
      </c>
    </row>
    <row r="42" spans="1:7" ht="13.5" customHeight="1">
      <c r="A42" s="733" t="s">
        <v>346</v>
      </c>
      <c r="B42" s="207" t="s">
        <v>1540</v>
      </c>
      <c r="C42" s="230">
        <f ca="1">ROUND(IF('数据-取费表'!B22&lt;=1,C33*F22*'数据-取费表'!B20/2,C33*(POWER((1+F22),'数据-取费表'!B20/2)-1)),0)</f>
        <v>1629115</v>
      </c>
      <c r="D42" s="230"/>
      <c r="E42" s="230"/>
      <c r="F42" s="231"/>
      <c r="G42" s="3413" t="s">
        <v>1588</v>
      </c>
    </row>
    <row r="43" spans="1:7" ht="13.5" customHeight="1">
      <c r="A43" s="733" t="s">
        <v>347</v>
      </c>
      <c r="B43" s="207" t="s">
        <v>1542</v>
      </c>
      <c r="C43" s="230">
        <f ca="1">ROUND(IF('数据-取费表'!B22&lt;=1,C39*F22*'数据-取费表'!B20/2,C39*(POWER((1+F22),'数据-取费表'!B20/2)-1)),0)</f>
        <v>32582</v>
      </c>
      <c r="D43" s="230"/>
      <c r="E43" s="230"/>
      <c r="F43" s="231"/>
      <c r="G43" s="3414"/>
    </row>
    <row r="44" spans="1:7" ht="13.5" customHeight="1">
      <c r="A44" s="733" t="s">
        <v>348</v>
      </c>
      <c r="B44" s="207" t="s">
        <v>1543</v>
      </c>
      <c r="C44" s="230">
        <f ca="1">ROUND(IF('数据-取费表'!B22&lt;=1,C40*F22*'数据-取费表'!B20/2,C40*(POWER((1+F22),'数据-取费表'!B20/2)-1)),4)</f>
        <v>5.0000000000000001E-4</v>
      </c>
      <c r="D44" s="230"/>
      <c r="E44" s="230"/>
      <c r="F44" s="231"/>
      <c r="G44" s="3415"/>
    </row>
    <row r="45" spans="1:7" s="206" customFormat="1" ht="13.5" customHeight="1">
      <c r="A45" s="247" t="s">
        <v>1544</v>
      </c>
      <c r="B45" s="236" t="s">
        <v>1510</v>
      </c>
      <c r="C45" s="237">
        <f ca="1">C46</f>
        <v>4514608</v>
      </c>
      <c r="D45" s="227">
        <f ca="1">C47</f>
        <v>1.4E-3</v>
      </c>
      <c r="E45" s="228" t="s">
        <v>1536</v>
      </c>
      <c r="F45" s="238">
        <f ca="1">F27</f>
        <v>7.0000000000000007E-2</v>
      </c>
      <c r="G45" s="239" t="s">
        <v>1545</v>
      </c>
    </row>
    <row r="46" spans="1:7" s="206" customFormat="1" ht="13.5" customHeight="1">
      <c r="A46" s="733" t="s">
        <v>346</v>
      </c>
      <c r="B46" s="240" t="s">
        <v>1546</v>
      </c>
      <c r="C46" s="241">
        <f ca="1">ROUND((C33+C39)*F27,0)</f>
        <v>4514608</v>
      </c>
      <c r="D46" s="255"/>
      <c r="E46" s="228"/>
      <c r="F46" s="238"/>
      <c r="G46" s="239"/>
    </row>
    <row r="47" spans="1:7" s="206" customFormat="1" ht="13.5" customHeight="1">
      <c r="A47" s="733" t="s">
        <v>347</v>
      </c>
      <c r="B47" s="240" t="s">
        <v>1547</v>
      </c>
      <c r="C47" s="230">
        <f ca="1">ROUND(C40*F27,4)</f>
        <v>1.4E-3</v>
      </c>
      <c r="D47" s="255"/>
      <c r="E47" s="228"/>
      <c r="F47" s="238"/>
      <c r="G47" s="239"/>
    </row>
    <row r="48" spans="1:7" s="206" customFormat="1" ht="13.5" customHeight="1">
      <c r="A48" s="247" t="s">
        <v>1509</v>
      </c>
      <c r="B48" s="202" t="s">
        <v>1548</v>
      </c>
      <c r="C48" s="254">
        <f>ROUND(F30/(1+'数据-取费表'!C42),4)</f>
        <v>5.2400000000000002E-2</v>
      </c>
      <c r="D48" s="228" t="s">
        <v>1536</v>
      </c>
      <c r="E48" s="224"/>
      <c r="F48" s="229">
        <f>F30</f>
        <v>5.5000000000000007E-2</v>
      </c>
      <c r="G48" s="226" t="s">
        <v>1549</v>
      </c>
    </row>
    <row r="49" spans="1:7" ht="16.5" customHeight="1">
      <c r="A49" s="247" t="s">
        <v>1515</v>
      </c>
      <c r="B49" s="202" t="s">
        <v>1589</v>
      </c>
      <c r="C49" s="224">
        <f ca="1">ROUND((C33+C39+C41+C45)/(1-C40-D41-D45-C48),0)</f>
        <v>76342989</v>
      </c>
      <c r="D49" s="224"/>
      <c r="E49" s="224"/>
      <c r="F49" s="256"/>
      <c r="G49" s="226" t="s">
        <v>1551</v>
      </c>
    </row>
    <row r="50" spans="1:7" s="250" customFormat="1">
      <c r="A50" s="247" t="s">
        <v>1552</v>
      </c>
      <c r="B50" s="202" t="s">
        <v>1553</v>
      </c>
      <c r="C50" s="224"/>
      <c r="D50" s="224"/>
      <c r="E50" s="224"/>
      <c r="F50" s="256">
        <f>IF('数据-取费表'!B24=0,'数据-取费表'!N16,1)</f>
        <v>0.79100000000000004</v>
      </c>
      <c r="G50" s="239"/>
    </row>
    <row r="51" spans="1:7" ht="16.5" customHeight="1">
      <c r="A51" s="247" t="s">
        <v>1555</v>
      </c>
      <c r="B51" s="202" t="s">
        <v>1590</v>
      </c>
      <c r="C51" s="224">
        <f ca="1">ROUND(C49*F50,0)</f>
        <v>60387304</v>
      </c>
      <c r="D51" s="224"/>
      <c r="E51" s="224"/>
      <c r="F51" s="256"/>
      <c r="G51" s="226" t="s">
        <v>1557</v>
      </c>
    </row>
    <row r="52" spans="1:7" s="200" customFormat="1" ht="16.8" thickBot="1">
      <c r="A52" s="257" t="s">
        <v>1558</v>
      </c>
      <c r="B52" s="258"/>
      <c r="C52" s="259">
        <f ca="1">C31+C51</f>
        <v>70291707</v>
      </c>
      <c r="D52" s="258"/>
      <c r="E52" s="258"/>
      <c r="F52" s="258"/>
      <c r="G52" s="260"/>
    </row>
    <row r="55" spans="1:7" ht="15">
      <c r="B55" s="262" t="s">
        <v>1559</v>
      </c>
      <c r="C55" s="263"/>
    </row>
    <row r="56" spans="1:7">
      <c r="B56" s="265" t="s">
        <v>802</v>
      </c>
      <c r="C56" s="267">
        <f ca="1">1-C57</f>
        <v>0.14100000000000001</v>
      </c>
    </row>
    <row r="57" spans="1:7">
      <c r="B57" s="265" t="s">
        <v>803</v>
      </c>
      <c r="C57" s="266">
        <f ca="1">ROUND(C51/C52,3)</f>
        <v>0.85899999999999999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4" customWidth="1"/>
    <col min="3" max="3" width="10.33203125" style="773" customWidth="1"/>
    <col min="4" max="4" width="9.88671875" style="734" customWidth="1"/>
    <col min="5" max="5" width="9.44140625" style="687"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1591</v>
      </c>
      <c r="B1" s="121"/>
      <c r="C1" s="1108"/>
      <c r="D1" s="1107"/>
      <c r="E1" s="2566"/>
      <c r="F1" s="2566"/>
      <c r="G1" s="2447"/>
      <c r="H1" s="2566"/>
      <c r="I1" s="2566"/>
      <c r="J1" s="2566"/>
      <c r="K1" s="2567">
        <f>MATCH(C1,'数据-取费表'!A6:A16,0)+5</f>
        <v>9</v>
      </c>
    </row>
    <row r="2" spans="1:33" ht="18" customHeight="1">
      <c r="A2" s="193" t="s">
        <v>1459</v>
      </c>
      <c r="B2" s="196">
        <f ca="1">C32</f>
        <v>0</v>
      </c>
      <c r="C2" s="268" t="s">
        <v>1592</v>
      </c>
      <c r="D2" s="268"/>
      <c r="E2" s="2566"/>
      <c r="F2" s="2566"/>
      <c r="G2" s="2566"/>
      <c r="H2" s="2566"/>
      <c r="I2" s="2566"/>
      <c r="J2" s="2566"/>
      <c r="K2" s="2566"/>
    </row>
    <row r="3" spans="1:33" ht="18" customHeight="1" thickBot="1">
      <c r="A3" s="195" t="s">
        <v>1461</v>
      </c>
      <c r="B3" s="196">
        <f ca="1">ROUND(B2*10000/IF(C1="",'数据-汇总表'!E3,INDIRECT("'数据-取费表'!K"&amp;$K$1)),0)</f>
        <v>0</v>
      </c>
      <c r="C3" s="268" t="s">
        <v>1593</v>
      </c>
      <c r="D3" s="268"/>
      <c r="E3" s="2566"/>
      <c r="F3" s="2566"/>
      <c r="G3" s="2566"/>
      <c r="H3" s="2566"/>
      <c r="I3" s="2566"/>
      <c r="J3" s="2566"/>
      <c r="K3" s="2566"/>
    </row>
    <row r="4" spans="1:33" s="738" customFormat="1" ht="16.5" customHeight="1">
      <c r="A4" s="735" t="s">
        <v>1594</v>
      </c>
      <c r="B4" s="736"/>
      <c r="C4" s="774">
        <f>SUM(C8:K8)</f>
        <v>0</v>
      </c>
      <c r="D4" s="736"/>
      <c r="E4" s="736"/>
      <c r="F4" s="736"/>
      <c r="G4" s="736"/>
      <c r="H4" s="736"/>
      <c r="I4" s="736"/>
      <c r="J4" s="736"/>
      <c r="K4" s="737"/>
    </row>
    <row r="5" spans="1:33" s="742" customFormat="1" ht="14.4">
      <c r="A5" s="739" t="s">
        <v>1595</v>
      </c>
      <c r="B5" s="740" t="s">
        <v>1596</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1597</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1600</v>
      </c>
      <c r="B8" s="156" t="s">
        <v>1601</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1602</v>
      </c>
      <c r="B9" s="736"/>
      <c r="C9" s="736"/>
      <c r="D9" s="736"/>
      <c r="E9" s="736"/>
      <c r="F9" s="736"/>
      <c r="G9" s="736"/>
      <c r="H9" s="736"/>
      <c r="I9" s="736"/>
      <c r="J9" s="736"/>
      <c r="K9" s="737"/>
    </row>
    <row r="10" spans="1:33" s="750" customFormat="1" ht="13.5" customHeight="1">
      <c r="A10" s="739" t="s">
        <v>1603</v>
      </c>
      <c r="B10" s="5" t="s">
        <v>1604</v>
      </c>
      <c r="C10" s="746" t="s">
        <v>1605</v>
      </c>
      <c r="D10" s="747" t="s">
        <v>1606</v>
      </c>
      <c r="E10" s="747" t="s">
        <v>1607</v>
      </c>
      <c r="F10" s="747" t="s">
        <v>1608</v>
      </c>
      <c r="G10" s="5"/>
      <c r="H10" s="748"/>
      <c r="I10" s="748"/>
      <c r="J10" s="748"/>
      <c r="K10" s="749"/>
    </row>
    <row r="11" spans="1:33" s="754" customFormat="1" ht="13.5" customHeight="1">
      <c r="A11" s="751" t="s">
        <v>635</v>
      </c>
      <c r="B11" s="752" t="s">
        <v>1609</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1610</v>
      </c>
      <c r="C12" s="21">
        <f ca="1">ROUND(C11*F12,0)</f>
        <v>0</v>
      </c>
      <c r="D12" s="753"/>
      <c r="E12" s="138"/>
      <c r="F12" s="763">
        <f>'数据-取费表'!B33</f>
        <v>0.04</v>
      </c>
      <c r="G12" s="5" t="s">
        <v>1611</v>
      </c>
      <c r="H12" s="748"/>
      <c r="I12" s="748"/>
      <c r="J12" s="748"/>
      <c r="K12" s="749"/>
    </row>
    <row r="13" spans="1:33" s="754" customFormat="1" ht="13.5" customHeight="1">
      <c r="A13" s="751" t="s">
        <v>637</v>
      </c>
      <c r="B13" s="752" t="s">
        <v>1612</v>
      </c>
      <c r="C13" s="21">
        <f ca="1">ROUND(IF(C1="",SUMIF('数据-取费表'!C:C,"住宅",'数据-取费表'!P:P)*F13,IF(INDIRECT("'数据-取费表'!c"&amp;$K$1)="住宅",INDIRECT("'数据-取费表'!P"&amp;$K$1)*F13,0)),0)</f>
        <v>0</v>
      </c>
      <c r="D13" s="795"/>
      <c r="E13" s="138"/>
      <c r="F13" s="763">
        <f>'数据-取费表'!B34</f>
        <v>0</v>
      </c>
      <c r="G13" s="5" t="s">
        <v>1613</v>
      </c>
      <c r="H13" s="748"/>
      <c r="I13" s="748"/>
      <c r="J13" s="748"/>
      <c r="K13" s="749"/>
    </row>
    <row r="14" spans="1:33" s="756" customFormat="1" ht="13.5" customHeight="1">
      <c r="A14" s="751" t="s">
        <v>638</v>
      </c>
      <c r="B14" s="752" t="s">
        <v>1614</v>
      </c>
      <c r="C14" s="21">
        <f ca="1">ROUND(D14*E14*F11/10000,0)</f>
        <v>0</v>
      </c>
      <c r="D14" s="795">
        <f ca="1">IF(C1="",'数据-汇总表'!E3,INDIRECT("'数据-取费表'!K"&amp;$K$1)+INDIRECT("'数据-取费表'!S"&amp;$K$1))</f>
        <v>20034.16</v>
      </c>
      <c r="E14" s="21">
        <f>'数据-取费表'!B35</f>
        <v>200</v>
      </c>
      <c r="F14" s="755"/>
      <c r="G14" s="5" t="s">
        <v>1615</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1616</v>
      </c>
      <c r="C15" s="762">
        <f ca="1">ROUND(C11*F15,0)</f>
        <v>0</v>
      </c>
      <c r="D15" s="757"/>
      <c r="E15" s="762"/>
      <c r="F15" s="763">
        <f>'数据-取费表'!B36</f>
        <v>0.02</v>
      </c>
      <c r="G15" s="123" t="s">
        <v>1617</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1618</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1619</v>
      </c>
      <c r="C17" s="21">
        <f ca="1">ROUND(D17*E17/10000,0)</f>
        <v>0</v>
      </c>
      <c r="D17" s="795">
        <f ca="1">D14</f>
        <v>20034.16</v>
      </c>
      <c r="E17" s="21">
        <f>'数据-取费表'!B32</f>
        <v>0</v>
      </c>
      <c r="F17" s="757"/>
      <c r="G17" s="123" t="s">
        <v>1620</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1621</v>
      </c>
      <c r="C18" s="21">
        <f ca="1">C19+C20-IF(C1="",'数据-取费表'!B29,IF(G18="已全部缴纳",C19+C20,H18))</f>
        <v>0</v>
      </c>
      <c r="D18" s="795"/>
      <c r="E18" s="21"/>
      <c r="F18" s="755"/>
      <c r="G18" s="1718"/>
      <c r="H18" s="1104"/>
      <c r="I18" s="1719" t="s">
        <v>1622</v>
      </c>
      <c r="J18" s="758"/>
      <c r="K18" s="759"/>
    </row>
    <row r="19" spans="1:33" s="754" customFormat="1" ht="13.5" customHeight="1">
      <c r="A19" s="751" t="s">
        <v>360</v>
      </c>
      <c r="B19" s="752" t="s">
        <v>1623</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1624</v>
      </c>
      <c r="C20" s="21">
        <f ca="1">ROUND(D20*E20/10000,0)</f>
        <v>401</v>
      </c>
      <c r="D20" s="795">
        <f ca="1">IF(C1="",'数据-汇总表'!E6,IF(INDIRECT("'数据-取费表'!c"&amp;$K$1)="住宅",INDIRECT("'数据-取费表'!s"&amp;$K$1),INDIRECT("'数据-取费表'!k"&amp;$K$1)+INDIRECT("'数据-取费表'!s"&amp;$K$1)))</f>
        <v>20034.16</v>
      </c>
      <c r="E20" s="21">
        <f>'数据-取费表'!B28</f>
        <v>200</v>
      </c>
      <c r="F20" s="755"/>
      <c r="G20" s="12"/>
      <c r="H20" s="760"/>
      <c r="I20" s="760"/>
      <c r="J20" s="760"/>
      <c r="K20" s="761"/>
    </row>
    <row r="21" spans="1:33" s="754" customFormat="1" ht="13.5" customHeight="1">
      <c r="A21" s="743" t="s">
        <v>357</v>
      </c>
      <c r="B21" s="764" t="s">
        <v>1625</v>
      </c>
      <c r="C21" s="765">
        <f ca="1">C16+C17+C18</f>
        <v>0</v>
      </c>
      <c r="D21" s="766"/>
      <c r="E21" s="273"/>
      <c r="F21" s="273"/>
      <c r="G21" s="123" t="s">
        <v>1626</v>
      </c>
      <c r="H21" s="758"/>
      <c r="I21" s="758"/>
      <c r="J21" s="758"/>
      <c r="K21" s="759"/>
    </row>
    <row r="22" spans="1:33" s="754" customFormat="1" ht="13.5" customHeight="1">
      <c r="A22" s="743" t="s">
        <v>1598</v>
      </c>
      <c r="B22" s="764" t="s">
        <v>1627</v>
      </c>
      <c r="C22" s="765">
        <f ca="1">ROUND(C21*F22,0)</f>
        <v>0</v>
      </c>
      <c r="D22" s="273"/>
      <c r="E22" s="273"/>
      <c r="F22" s="767">
        <f>'数据-取费表'!B37</f>
        <v>0.02</v>
      </c>
      <c r="G22" s="5" t="s">
        <v>1628</v>
      </c>
      <c r="H22" s="748"/>
      <c r="I22" s="748"/>
      <c r="J22" s="748"/>
      <c r="K22" s="749"/>
    </row>
    <row r="23" spans="1:33" s="754" customFormat="1" ht="13.5" customHeight="1">
      <c r="A23" s="743" t="s">
        <v>1600</v>
      </c>
      <c r="B23" s="764" t="s">
        <v>1629</v>
      </c>
      <c r="C23" s="765">
        <f ca="1">ROUND(C4*F23*F11,0)</f>
        <v>0</v>
      </c>
      <c r="D23" s="273"/>
      <c r="E23" s="273"/>
      <c r="F23" s="767">
        <f>'数据-取费表'!B38</f>
        <v>0.02</v>
      </c>
      <c r="G23" s="5" t="s">
        <v>1630</v>
      </c>
      <c r="H23" s="748"/>
      <c r="I23" s="748"/>
      <c r="J23" s="748"/>
      <c r="K23" s="749"/>
    </row>
    <row r="24" spans="1:33" s="754" customFormat="1" ht="13.5" customHeight="1">
      <c r="A24" s="743" t="s">
        <v>1631</v>
      </c>
      <c r="B24" s="764" t="s">
        <v>1632</v>
      </c>
      <c r="C24" s="272">
        <f>ROUND(F24/(1+'数据-取费表'!C42),4)</f>
        <v>2.9000000000000001E-2</v>
      </c>
      <c r="D24" s="273" t="s">
        <v>12</v>
      </c>
      <c r="E24" s="273"/>
      <c r="F24" s="767">
        <f>IF(项目基本情况!B8="出让",0,'数据-取费表'!B48+'数据-取费表'!B49)</f>
        <v>3.0499999999999999E-2</v>
      </c>
      <c r="G24" s="5" t="s">
        <v>1633</v>
      </c>
      <c r="H24" s="769"/>
      <c r="I24" s="769"/>
      <c r="J24" s="769"/>
      <c r="K24" s="55"/>
    </row>
    <row r="25" spans="1:33" s="754" customFormat="1" ht="13.5" customHeight="1">
      <c r="A25" s="743" t="s">
        <v>1634</v>
      </c>
      <c r="B25" s="766" t="s">
        <v>1635</v>
      </c>
      <c r="C25" s="1042">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1636</v>
      </c>
      <c r="C26" s="1043">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1637</v>
      </c>
      <c r="C27" s="1044">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1638</v>
      </c>
      <c r="B28" s="1721" t="s">
        <v>1639</v>
      </c>
      <c r="C28" s="279">
        <f ca="1">C30</f>
        <v>0</v>
      </c>
      <c r="D28" s="272">
        <f ca="1">C29</f>
        <v>0</v>
      </c>
      <c r="E28" s="274" t="s">
        <v>12</v>
      </c>
      <c r="F28" s="280">
        <f ca="1">IF(C1="",'数据-取费表'!Q16,INDIRECT("'数据-取费表'!q"&amp;$K$1))</f>
        <v>7.0000000000000007E-2</v>
      </c>
      <c r="G28" s="768"/>
      <c r="H28" s="769"/>
      <c r="I28" s="769"/>
      <c r="J28" s="769"/>
      <c r="K28" s="55"/>
    </row>
    <row r="29" spans="1:33" s="283" customFormat="1" ht="13.5" customHeight="1">
      <c r="A29" s="751" t="s">
        <v>358</v>
      </c>
      <c r="B29" s="772" t="s">
        <v>1640</v>
      </c>
      <c r="C29" s="276">
        <f ca="1">ROUND((1+C24)*F28*'数据-取费表'!B24/'数据-取费表'!B20,4)</f>
        <v>0</v>
      </c>
      <c r="D29" s="276"/>
      <c r="E29" s="277"/>
      <c r="F29" s="282"/>
      <c r="G29" s="123" t="s">
        <v>1641</v>
      </c>
      <c r="H29" s="758"/>
      <c r="I29" s="758"/>
      <c r="J29" s="758"/>
      <c r="K29" s="759"/>
    </row>
    <row r="30" spans="1:33" s="283" customFormat="1" ht="13.5" customHeight="1">
      <c r="A30" s="751" t="s">
        <v>359</v>
      </c>
      <c r="B30" s="772" t="s">
        <v>1642</v>
      </c>
      <c r="C30" s="284">
        <f ca="1">ROUND((C21+C22+C23)*F28,0)</f>
        <v>0</v>
      </c>
      <c r="D30" s="276"/>
      <c r="E30" s="277"/>
      <c r="F30" s="282"/>
      <c r="G30" s="123"/>
      <c r="H30" s="758"/>
      <c r="I30" s="758"/>
      <c r="J30" s="758"/>
      <c r="K30" s="759"/>
    </row>
    <row r="31" spans="1:33" s="754" customFormat="1" ht="13.5" customHeight="1" thickBot="1">
      <c r="A31" s="1722" t="s">
        <v>1643</v>
      </c>
      <c r="B31" s="782" t="s">
        <v>1644</v>
      </c>
      <c r="C31" s="783">
        <f>ROUND(C4*F31/(1+'数据-取费表'!C42),0)</f>
        <v>0</v>
      </c>
      <c r="D31" s="784"/>
      <c r="E31" s="785"/>
      <c r="F31" s="786">
        <f>'数据-取费表'!B41</f>
        <v>5.5000000000000007E-2</v>
      </c>
      <c r="G31" s="787" t="s">
        <v>1645</v>
      </c>
      <c r="H31" s="788"/>
      <c r="I31" s="788"/>
      <c r="J31" s="788"/>
      <c r="K31" s="789"/>
    </row>
    <row r="32" spans="1:33" s="750" customFormat="1" ht="13.5" customHeight="1" thickBot="1">
      <c r="A32" s="449" t="s">
        <v>1646</v>
      </c>
      <c r="B32" s="778"/>
      <c r="C32" s="779">
        <f ca="1">ROUND((C4-C21-C22-C23-C25-C28-C31)/(1+C24+D25+D28),0)</f>
        <v>0</v>
      </c>
      <c r="D32" s="778"/>
      <c r="E32" s="778"/>
      <c r="F32" s="778"/>
      <c r="G32" s="780" t="s">
        <v>1647</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16" sqref="K16"/>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1655</v>
      </c>
      <c r="B1" s="1724"/>
      <c r="C1" s="1724"/>
      <c r="D1" s="1724"/>
      <c r="E1" s="1725"/>
      <c r="F1" s="2478"/>
      <c r="G1" s="459"/>
      <c r="H1" s="459"/>
      <c r="I1" s="459"/>
      <c r="J1" s="459"/>
      <c r="K1" s="459"/>
      <c r="L1" s="459"/>
      <c r="M1" s="459"/>
      <c r="N1" s="459"/>
      <c r="O1" s="459"/>
      <c r="P1" s="459"/>
      <c r="Q1" s="459"/>
      <c r="R1" s="459"/>
      <c r="S1" s="459"/>
    </row>
    <row r="2" spans="1:22" ht="15.6">
      <c r="A2" s="1726" t="s">
        <v>1459</v>
      </c>
      <c r="B2" s="810">
        <f ca="1">SUMIF(B6:B13,"&lt;&gt;#ref!",B6:B13)</f>
        <v>15796</v>
      </c>
      <c r="C2" s="1727" t="s">
        <v>1648</v>
      </c>
      <c r="D2" s="1728" t="s">
        <v>1649</v>
      </c>
      <c r="E2" s="2391">
        <f>SUM(E6:E13)</f>
        <v>20034.16</v>
      </c>
      <c r="F2" s="2478"/>
      <c r="G2" s="459"/>
      <c r="H2" s="459"/>
      <c r="I2" s="459"/>
      <c r="J2" s="459"/>
      <c r="K2" s="459"/>
      <c r="L2" s="459"/>
      <c r="M2" s="459"/>
      <c r="N2" s="459"/>
      <c r="O2" s="459"/>
      <c r="P2" s="459"/>
      <c r="Q2" s="459"/>
      <c r="R2" s="459"/>
      <c r="S2" s="459"/>
    </row>
    <row r="3" spans="1:22" ht="15.6">
      <c r="A3" s="1726" t="s">
        <v>686</v>
      </c>
      <c r="B3" s="2385">
        <f ca="1">ROUND(B2*10000/E2,0)</f>
        <v>7885</v>
      </c>
      <c r="C3" s="1727" t="s">
        <v>1656</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1650</v>
      </c>
      <c r="B5" s="3458" t="s">
        <v>1651</v>
      </c>
      <c r="C5" s="3459"/>
      <c r="D5" s="2479"/>
      <c r="E5" s="1729" t="s">
        <v>1652</v>
      </c>
      <c r="F5" s="129" t="s">
        <v>1653</v>
      </c>
      <c r="G5" s="459"/>
      <c r="H5" s="459"/>
      <c r="I5" s="459"/>
      <c r="J5" s="459"/>
      <c r="K5" s="459"/>
      <c r="L5" s="459"/>
      <c r="M5" s="459"/>
      <c r="N5" s="459"/>
      <c r="O5" s="459"/>
      <c r="P5" s="459"/>
      <c r="Q5" s="459"/>
      <c r="R5" s="459"/>
      <c r="S5" s="459"/>
    </row>
    <row r="6" spans="1:22" ht="14.4">
      <c r="A6" s="2388" t="str">
        <f>'数据-取费表'!AN6</f>
        <v>收益法-已出租车间</v>
      </c>
      <c r="B6" s="2386">
        <f ca="1">IF(F6="是",'数据-取费表'!AO6,0)</f>
        <v>5225</v>
      </c>
      <c r="C6" s="1727" t="s">
        <v>1648</v>
      </c>
      <c r="D6" s="2478"/>
      <c r="E6" s="2390">
        <f>IF(OR(A6=0,F6="否"),0,'数据-取费表'!K6+'数据-取费表'!S6)</f>
        <v>7900</v>
      </c>
      <c r="F6" s="1730" t="s">
        <v>1654</v>
      </c>
      <c r="G6" s="459"/>
      <c r="H6" s="459"/>
      <c r="I6" s="459"/>
      <c r="J6" s="459"/>
      <c r="K6" s="459"/>
      <c r="L6" s="459"/>
      <c r="M6" s="459"/>
      <c r="N6" s="459"/>
      <c r="O6" s="459"/>
      <c r="P6" s="459"/>
      <c r="Q6" s="459"/>
      <c r="R6" s="459"/>
      <c r="S6" s="459"/>
    </row>
    <row r="7" spans="1:22" ht="14.4">
      <c r="A7" s="2388" t="str">
        <f>'数据-取费表'!AN7</f>
        <v>收益法-未出租车间</v>
      </c>
      <c r="B7" s="2386">
        <f ca="1">IF(F7="是",'数据-取费表'!AO7,0)</f>
        <v>3177</v>
      </c>
      <c r="C7" s="1727" t="s">
        <v>1648</v>
      </c>
      <c r="D7" s="2478"/>
      <c r="E7" s="2390">
        <f>IF(OR(A7=0,F7="否"),0,'数据-取费表'!K7+'数据-取费表'!S7)</f>
        <v>4902.5</v>
      </c>
      <c r="F7" s="1730" t="s">
        <v>1654</v>
      </c>
      <c r="G7" s="459">
        <f ca="1">B6+B7</f>
        <v>8402</v>
      </c>
      <c r="H7" s="459"/>
      <c r="I7" s="459"/>
      <c r="J7" s="459"/>
      <c r="K7" s="459"/>
      <c r="L7" s="459"/>
      <c r="M7" s="459"/>
      <c r="N7" s="459"/>
      <c r="O7" s="459"/>
      <c r="P7" s="459"/>
      <c r="Q7" s="459"/>
      <c r="R7" s="459"/>
      <c r="S7" s="459"/>
    </row>
    <row r="8" spans="1:22" ht="14.4">
      <c r="A8" s="2388" t="str">
        <f>'数据-取费表'!AN8</f>
        <v>收益法-办公</v>
      </c>
      <c r="B8" s="2386">
        <f ca="1">IF(F8="是",'数据-取费表'!AO8,0)</f>
        <v>7394</v>
      </c>
      <c r="C8" s="1727" t="s">
        <v>1648</v>
      </c>
      <c r="D8" s="2478"/>
      <c r="E8" s="2390">
        <f>IF(OR(A8=0,F8="否"),0,'数据-取费表'!K8+'数据-取费表'!S8)</f>
        <v>7231.66</v>
      </c>
      <c r="F8" s="1730" t="s">
        <v>1654</v>
      </c>
      <c r="G8" s="459"/>
      <c r="H8" s="459"/>
      <c r="I8" s="459"/>
      <c r="J8" s="459"/>
      <c r="K8" s="459"/>
      <c r="L8" s="459"/>
      <c r="M8" s="459"/>
      <c r="N8" s="459"/>
      <c r="O8" s="459"/>
      <c r="P8" s="459"/>
      <c r="Q8" s="459"/>
      <c r="R8" s="459"/>
      <c r="S8" s="459"/>
    </row>
    <row r="9" spans="1:22" ht="14.4">
      <c r="A9" s="2388">
        <f>'数据-取费表'!AN9</f>
        <v>0</v>
      </c>
      <c r="B9" s="2386" t="e">
        <f ca="1">IF(F9="是",'数据-取费表'!AO9,0)</f>
        <v>#REF!</v>
      </c>
      <c r="C9" s="1727" t="s">
        <v>1648</v>
      </c>
      <c r="D9" s="2478"/>
      <c r="E9" s="2390">
        <f>IF(OR(A9=0,F9="否"),0,'数据-取费表'!K9+'数据-取费表'!S9)</f>
        <v>0</v>
      </c>
      <c r="F9" s="1730" t="s">
        <v>1654</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7" t="s">
        <v>1648</v>
      </c>
      <c r="D10" s="2478"/>
      <c r="E10" s="2390">
        <f>IF(OR(A10=0,F10="否"),0,'数据-取费表'!K10+'数据-取费表'!S10)</f>
        <v>0</v>
      </c>
      <c r="F10" s="1730" t="s">
        <v>1654</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7" t="s">
        <v>1648</v>
      </c>
      <c r="D11" s="2478"/>
      <c r="E11" s="2390">
        <f>IF(OR(A11=0,F11="否"),0,'数据-取费表'!K11+'数据-取费表'!S11)</f>
        <v>0</v>
      </c>
      <c r="F11" s="1730" t="s">
        <v>1654</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7" t="s">
        <v>1648</v>
      </c>
      <c r="D12" s="2478"/>
      <c r="E12" s="2390">
        <f>IF(OR(A12=0,F12="否"),0,'数据-取费表'!K12+'数据-取费表'!S12)</f>
        <v>0</v>
      </c>
      <c r="F12" s="1730" t="s">
        <v>1654</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1648</v>
      </c>
      <c r="D13" s="2480"/>
      <c r="E13" s="2390">
        <f>IF(OR(A13=0,F13="否"),0,'数据-取费表'!K13+'数据-取费表'!S13)</f>
        <v>0</v>
      </c>
      <c r="F13" s="1730"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tabSelected="1" view="pageBreakPreview" zoomScale="80" zoomScaleNormal="70" zoomScaleSheetLayoutView="8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21</v>
      </c>
      <c r="D1" s="1269" t="s">
        <v>43</v>
      </c>
      <c r="E1" s="1270" t="s">
        <v>678</v>
      </c>
      <c r="F1" s="998">
        <f ca="1">J53</f>
        <v>32.9</v>
      </c>
      <c r="G1" s="1284">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7394</v>
      </c>
      <c r="C2" s="1287" t="s">
        <v>805</v>
      </c>
      <c r="D2" s="1287"/>
      <c r="E2" s="1293"/>
      <c r="F2" s="1294"/>
      <c r="G2" s="2477"/>
      <c r="H2" s="2467"/>
      <c r="I2" s="2467"/>
      <c r="J2" s="2467"/>
      <c r="K2" s="2468"/>
      <c r="L2" s="2467"/>
      <c r="M2" s="2467"/>
    </row>
    <row r="3" spans="1:37" ht="18" customHeight="1" thickBot="1">
      <c r="A3" s="1295" t="s">
        <v>806</v>
      </c>
      <c r="B3" s="1296">
        <f ca="1">IF(ISERROR(B2*10000/F43),0,ROUND(B2*10000/F43,0))</f>
        <v>10224</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6">
        <f ca="1">C6+C10+C12</f>
        <v>447</v>
      </c>
      <c r="D5" s="1271" t="s">
        <v>693</v>
      </c>
      <c r="E5" s="1007"/>
      <c r="F5" s="1008"/>
      <c r="G5" s="1290"/>
      <c r="H5" s="291">
        <v>1</v>
      </c>
      <c r="I5" s="292" t="s">
        <v>692</v>
      </c>
      <c r="J5" s="1006">
        <f ca="1">J6+J10+J12</f>
        <v>0</v>
      </c>
      <c r="K5" s="1271" t="s">
        <v>693</v>
      </c>
      <c r="L5" s="1007"/>
      <c r="M5" s="1008"/>
    </row>
    <row r="6" spans="1:37" ht="18" customHeight="1">
      <c r="A6" s="1005" t="s">
        <v>398</v>
      </c>
      <c r="B6" s="3314" t="s">
        <v>694</v>
      </c>
      <c r="C6" s="1010">
        <f ca="1">ROUND(F6*F8*F7*(1-F9)/10000,0)</f>
        <v>446</v>
      </c>
      <c r="D6" s="147" t="s">
        <v>2105</v>
      </c>
      <c r="E6" s="294" t="s">
        <v>696</v>
      </c>
      <c r="F6" s="295">
        <f ca="1">INDIRECT("'数据-取费表'!u"&amp;$G$1)</f>
        <v>2.1</v>
      </c>
      <c r="G6" s="1290"/>
      <c r="H6" s="1005" t="s">
        <v>398</v>
      </c>
      <c r="I6" s="3314" t="s">
        <v>694</v>
      </c>
      <c r="J6" s="293">
        <f ca="1">ROUND(M6*M8*M7*(1-M9)/10000,0)</f>
        <v>0</v>
      </c>
      <c r="K6" s="147" t="s">
        <v>2104</v>
      </c>
      <c r="L6" s="294" t="s">
        <v>696</v>
      </c>
      <c r="M6" s="295">
        <f ca="1">INDIRECT("'数据-取费表'!z"&amp;$G$1)</f>
        <v>0</v>
      </c>
    </row>
    <row r="7" spans="1:37" ht="18" customHeight="1">
      <c r="A7" s="1009"/>
      <c r="B7" s="3315"/>
      <c r="C7" s="1011"/>
      <c r="D7" s="299"/>
      <c r="E7" s="1012" t="s">
        <v>697</v>
      </c>
      <c r="F7" s="295">
        <f ca="1">IF(INDIRECT("'数据-取费表'!ah"&amp;$G$1)="",INDIRECT("'数据-取费表'!k"&amp;$G$1),INDIRECT("'数据-取费表'!ah"&amp;$G$1))</f>
        <v>6465.86</v>
      </c>
      <c r="G7" s="1290"/>
      <c r="H7" s="296"/>
      <c r="I7" s="3315"/>
      <c r="J7" s="298"/>
      <c r="K7" s="299"/>
      <c r="L7" s="294" t="s">
        <v>697</v>
      </c>
      <c r="M7" s="295">
        <f ca="1">F7</f>
        <v>6465.86</v>
      </c>
    </row>
    <row r="8" spans="1:37" ht="18" customHeight="1">
      <c r="A8" s="296"/>
      <c r="B8" s="3315"/>
      <c r="C8" s="298"/>
      <c r="D8" s="299"/>
      <c r="E8" s="294" t="s">
        <v>698</v>
      </c>
      <c r="F8" s="295">
        <f ca="1">INDIRECT("'数据-取费表'!ai"&amp;$G$1)</f>
        <v>365</v>
      </c>
      <c r="G8" s="1290"/>
      <c r="H8" s="296"/>
      <c r="I8" s="3315"/>
      <c r="J8" s="298"/>
      <c r="K8" s="299"/>
      <c r="L8" s="294" t="s">
        <v>698</v>
      </c>
      <c r="M8" s="295">
        <f ca="1">INDIRECT("'数据-取费表'!ai"&amp;$G$1)</f>
        <v>365</v>
      </c>
    </row>
    <row r="9" spans="1:37" ht="18" customHeight="1">
      <c r="A9" s="296"/>
      <c r="B9" s="3316"/>
      <c r="C9" s="298"/>
      <c r="D9" s="299"/>
      <c r="E9" s="294" t="s">
        <v>699</v>
      </c>
      <c r="F9" s="304">
        <f ca="1">INDIRECT("'数据-取费表'!w"&amp;$G$1)</f>
        <v>0.1</v>
      </c>
      <c r="G9" s="1290"/>
      <c r="H9" s="296"/>
      <c r="I9" s="3316"/>
      <c r="J9" s="298"/>
      <c r="K9" s="299"/>
      <c r="L9" s="305" t="s">
        <v>699</v>
      </c>
      <c r="M9" s="306">
        <f ca="1">INDIRECT("'数据-取费表'!ab"&amp;$G$1)</f>
        <v>0</v>
      </c>
    </row>
    <row r="10" spans="1:37" ht="18" customHeight="1">
      <c r="A10" s="1005" t="s">
        <v>402</v>
      </c>
      <c r="B10" s="1272" t="s">
        <v>700</v>
      </c>
      <c r="C10" s="308">
        <f ca="1">ROUND(IF(F10="押一",C6/12*F11,IF(F10="押二",C6/12*2*F11,IF(F10="押三",C6/12*3*F11,C11*F11))),0)</f>
        <v>1</v>
      </c>
      <c r="D10" s="150" t="s">
        <v>2113</v>
      </c>
      <c r="E10" s="305" t="s">
        <v>701</v>
      </c>
      <c r="F10" s="1052" t="s">
        <v>3758</v>
      </c>
      <c r="G10" s="1290"/>
      <c r="H10" s="1005" t="s">
        <v>402</v>
      </c>
      <c r="I10" s="1272" t="s">
        <v>700</v>
      </c>
      <c r="J10" s="293">
        <f ca="1">ROUND(IF(M10="押一",J6/12*M11,IF(M10="押二",J6/12*2*M11,IF(M10="押三",J6/12*3*M11,J11*M11))),0)</f>
        <v>0</v>
      </c>
      <c r="K10" s="150" t="s">
        <v>2112</v>
      </c>
      <c r="L10" s="305" t="s">
        <v>701</v>
      </c>
      <c r="M10" s="1052"/>
    </row>
    <row r="11" spans="1:37" ht="18" customHeight="1">
      <c r="A11" s="300"/>
      <c r="B11" s="1273" t="s">
        <v>679</v>
      </c>
      <c r="C11" s="904"/>
      <c r="D11" s="1274"/>
      <c r="E11" s="305" t="s">
        <v>702</v>
      </c>
      <c r="F11" s="306">
        <f ca="1">'数据-取费表'!B39</f>
        <v>1.4999999999999999E-2</v>
      </c>
      <c r="G11" s="1290"/>
      <c r="H11" s="1013"/>
      <c r="I11" s="1273" t="s">
        <v>679</v>
      </c>
      <c r="J11" s="904"/>
      <c r="K11" s="646"/>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2518</v>
      </c>
      <c r="D13" s="1017" t="s">
        <v>705</v>
      </c>
      <c r="E13" s="1017" t="s">
        <v>706</v>
      </c>
      <c r="F13" s="1018">
        <f ca="1">INDIRECT("'数据-取费表'!y"&amp;$G$1)</f>
        <v>0.78</v>
      </c>
      <c r="G13" s="1290"/>
      <c r="H13" s="1015">
        <v>2</v>
      </c>
      <c r="I13" s="1016" t="s">
        <v>704</v>
      </c>
      <c r="J13" s="1004">
        <f ca="1">ROUND(J14*J15,0)</f>
        <v>0</v>
      </c>
      <c r="K13" s="1023" t="s">
        <v>705</v>
      </c>
      <c r="L13" s="1297"/>
      <c r="M13" s="1298"/>
    </row>
    <row r="14" spans="1:37" ht="18" customHeight="1">
      <c r="A14" s="927" t="s">
        <v>397</v>
      </c>
      <c r="B14" s="294" t="s">
        <v>707</v>
      </c>
      <c r="C14" s="310">
        <f ca="1">INDIRECT("'数据-取费表'!m"&amp;$G$1)+INDIRECT("'数据-取费表'!t"&amp;$G$1)</f>
        <v>2386</v>
      </c>
      <c r="D14" s="1255" t="s">
        <v>708</v>
      </c>
      <c r="E14" s="1253"/>
      <c r="F14" s="311"/>
      <c r="G14" s="1290"/>
      <c r="H14" s="927" t="s">
        <v>398</v>
      </c>
      <c r="I14" s="294" t="s">
        <v>709</v>
      </c>
      <c r="J14" s="21">
        <f ca="1">C29</f>
        <v>3228</v>
      </c>
      <c r="K14" s="12"/>
      <c r="L14" s="758"/>
      <c r="M14" s="759"/>
    </row>
    <row r="15" spans="1:37" s="1302" customFormat="1" ht="18" customHeight="1" thickBot="1">
      <c r="A15" s="927" t="s">
        <v>399</v>
      </c>
      <c r="B15" s="294" t="s">
        <v>710</v>
      </c>
      <c r="C15" s="21">
        <f ca="1">ROUND(C14*F15,0)</f>
        <v>95</v>
      </c>
      <c r="D15" s="312" t="s">
        <v>711</v>
      </c>
      <c r="E15" s="312" t="s">
        <v>712</v>
      </c>
      <c r="F15" s="313">
        <f>'数据-取费表'!B33</f>
        <v>0.04</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5" t="s">
        <v>393</v>
      </c>
      <c r="I16" s="1016" t="s">
        <v>714</v>
      </c>
      <c r="J16" s="302">
        <f ca="1">ROUND(J17+J22+J23+J24,0)</f>
        <v>11</v>
      </c>
      <c r="K16" s="1023" t="s">
        <v>715</v>
      </c>
      <c r="L16" s="1024"/>
      <c r="M16" s="1008"/>
    </row>
    <row r="17" spans="1:37" s="1302" customFormat="1" ht="18" customHeight="1">
      <c r="A17" s="927" t="s">
        <v>681</v>
      </c>
      <c r="B17" s="294" t="s">
        <v>716</v>
      </c>
      <c r="C17" s="21">
        <f ca="1">ROUND(F17*(F43+INDIRECT("'数据-取费表'!S"&amp;$G$1))/10000,0)</f>
        <v>145</v>
      </c>
      <c r="D17" s="294" t="s">
        <v>717</v>
      </c>
      <c r="E17" s="294" t="s">
        <v>718</v>
      </c>
      <c r="F17" s="23">
        <f>'数据-取费表'!B35</f>
        <v>200</v>
      </c>
      <c r="G17" s="1301"/>
      <c r="H17" s="927" t="s">
        <v>398</v>
      </c>
      <c r="I17" s="294" t="s">
        <v>719</v>
      </c>
      <c r="J17" s="2139">
        <f ca="1">ROUND(IF(AND(项目基本情况!B11="自然人",项目基本情况!B10="北京市"),J6*M17/(1+'数据-取费表'!C42),J18+J19+J20),2)</f>
        <v>0.84</v>
      </c>
      <c r="K17" s="1255" t="s">
        <v>720</v>
      </c>
      <c r="L17" s="1254" t="s">
        <v>721</v>
      </c>
      <c r="M17" s="2138"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48</v>
      </c>
      <c r="D18" s="294" t="s">
        <v>711</v>
      </c>
      <c r="E18" s="294" t="s">
        <v>712</v>
      </c>
      <c r="F18" s="314">
        <f>'数据-取费表'!B36</f>
        <v>0.02</v>
      </c>
      <c r="G18" s="1301"/>
      <c r="H18" s="927"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2674</v>
      </c>
      <c r="D19" s="123" t="s">
        <v>726</v>
      </c>
      <c r="E19" s="1267"/>
      <c r="F19" s="23"/>
      <c r="G19" s="1290"/>
      <c r="H19" s="927" t="s">
        <v>399</v>
      </c>
      <c r="I19" s="294" t="s">
        <v>727</v>
      </c>
      <c r="J19" s="21">
        <f ca="1">IF(K19="按租金收入计税",ROUND(J6*M19/(1+'数据-取费表'!C42),2),ROUND(C29*M19*0.7,2))</f>
        <v>0</v>
      </c>
      <c r="K19" s="1276" t="s">
        <v>3336</v>
      </c>
      <c r="L19" s="294" t="s">
        <v>712</v>
      </c>
      <c r="M19" s="314">
        <f>IF(K19="按租金收入计税",'数据-取费表'!B51,'数据-取费表'!B50)</f>
        <v>0.12</v>
      </c>
    </row>
    <row r="20" spans="1:37" s="1302" customFormat="1" ht="18" customHeight="1">
      <c r="A20" s="927" t="s">
        <v>402</v>
      </c>
      <c r="B20" s="294" t="s">
        <v>728</v>
      </c>
      <c r="C20" s="21">
        <f ca="1">ROUND(C19*F20,0)</f>
        <v>53</v>
      </c>
      <c r="D20" s="315" t="s">
        <v>729</v>
      </c>
      <c r="E20" s="294" t="s">
        <v>712</v>
      </c>
      <c r="F20" s="314">
        <f>'数据-取费表'!B37</f>
        <v>0.02</v>
      </c>
      <c r="G20" s="1301"/>
      <c r="H20" s="927" t="s">
        <v>680</v>
      </c>
      <c r="I20" s="147" t="s">
        <v>730</v>
      </c>
      <c r="J20" s="22">
        <f ca="1">ROUND(M20*M21/10000,2)</f>
        <v>0.84</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0.02</v>
      </c>
      <c r="G21" s="1301"/>
      <c r="H21" s="318"/>
      <c r="I21" s="303"/>
      <c r="J21" s="26"/>
      <c r="K21" s="319"/>
      <c r="L21" s="294" t="s">
        <v>736</v>
      </c>
      <c r="M21" s="295">
        <f ca="1">INDIRECT("'数据-取费表'!r"&amp;$G$1)</f>
        <v>5606.11</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ROUND(J14*M22,2)</f>
        <v>9.68</v>
      </c>
      <c r="K22" s="1254" t="s">
        <v>739</v>
      </c>
      <c r="L22" s="294" t="s">
        <v>712</v>
      </c>
      <c r="M22" s="320">
        <f ca="1">INDIRECT("'数据-取费表'!Ak"&amp;$G$1)</f>
        <v>3.0000000000000001E-3</v>
      </c>
    </row>
    <row r="23" spans="1:37" s="1302" customFormat="1" ht="18" customHeight="1">
      <c r="A23" s="927" t="s">
        <v>397</v>
      </c>
      <c r="B23" s="294" t="s">
        <v>740</v>
      </c>
      <c r="C23" s="21">
        <f ca="1">IF('数据-取费表'!B22&lt;=1,ROUND(C19*F24*F23/2,0)+ROUND(C20*F24*F23/2,0),ROUND(C19*(POWER((1+F24),F23/2)-1),0)+ROUND(C20*(POWER((1+F24),F23/2)-1),0))</f>
        <v>70</v>
      </c>
      <c r="D23" s="138" t="str">
        <f>IF(F23&lt;=1,"(建造成本+管理费用)×利率×(建设周期÷2)","(建造成本+管理费用)×((1+利率)^(建设周期÷2)-1)")</f>
        <v>(建造成本+管理费用)×((1+利率)^(建设周期÷2)-1)</v>
      </c>
      <c r="E23" s="294" t="s">
        <v>741</v>
      </c>
      <c r="F23" s="317">
        <f>'数据-取费表'!B20</f>
        <v>1.5</v>
      </c>
      <c r="G23" s="1301"/>
      <c r="H23" s="927" t="s">
        <v>437</v>
      </c>
      <c r="I23" s="294" t="s">
        <v>742</v>
      </c>
      <c r="J23" s="21">
        <f ca="1">ROUND(J13*M23,2)</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1"/>
      <c r="H24" s="1025" t="s">
        <v>684</v>
      </c>
      <c r="I24" s="1026" t="s">
        <v>728</v>
      </c>
      <c r="J24" s="1027">
        <f ca="1">ROUND(J5*M24,2)</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5" t="s">
        <v>394</v>
      </c>
      <c r="I25" s="1030" t="s">
        <v>752</v>
      </c>
      <c r="J25" s="302">
        <f ca="1">J5-J16</f>
        <v>-11</v>
      </c>
      <c r="K25" s="1031" t="s">
        <v>753</v>
      </c>
      <c r="L25" s="1032"/>
      <c r="M25" s="1033"/>
    </row>
    <row r="26" spans="1:37">
      <c r="A26" s="927" t="s">
        <v>397</v>
      </c>
      <c r="B26" s="294" t="s">
        <v>754</v>
      </c>
      <c r="C26" s="21">
        <f ca="1">ROUND((C19+C20)*F26,0)</f>
        <v>191</v>
      </c>
      <c r="D26" s="315" t="s">
        <v>755</v>
      </c>
      <c r="E26" s="305" t="s">
        <v>756</v>
      </c>
      <c r="F26" s="304">
        <f ca="1">INDIRECT("'数据-取费表'!q"&amp;$G$1)</f>
        <v>7.0000000000000007E-2</v>
      </c>
      <c r="G26" s="1290"/>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1.4E-3</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3228</v>
      </c>
      <c r="D29" s="1028"/>
      <c r="E29" s="1026"/>
      <c r="F29" s="1029"/>
      <c r="G29" s="1301"/>
      <c r="H29" s="325" t="s">
        <v>396</v>
      </c>
      <c r="I29" s="326" t="s">
        <v>768</v>
      </c>
      <c r="J29" s="327">
        <f ca="1">ROUND(J26/(1+F40)^F41,0)</f>
        <v>0</v>
      </c>
      <c r="K29" s="328" t="s">
        <v>769</v>
      </c>
      <c r="L29" s="329"/>
      <c r="M29" s="330">
        <f ca="1">INDIRECT("'数据-取费表'!k"&amp;$G$1)</f>
        <v>7231.66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92</v>
      </c>
      <c r="D30" s="1023" t="s">
        <v>715</v>
      </c>
      <c r="E30" s="1024"/>
      <c r="F30" s="1008"/>
      <c r="G30" s="1290"/>
      <c r="H30" s="2469"/>
      <c r="I30" s="1303"/>
      <c r="J30" s="1304"/>
      <c r="K30" s="121"/>
      <c r="L30" s="2470"/>
      <c r="M30" s="2471"/>
    </row>
    <row r="31" spans="1:37" ht="18" customHeight="1">
      <c r="A31" s="927" t="s">
        <v>398</v>
      </c>
      <c r="B31" s="294" t="s">
        <v>719</v>
      </c>
      <c r="C31" s="2139">
        <f ca="1">ROUND(IF(AND(项目基本情况!B11="自然人",项目基本情况!B10="北京市"),C6*F31/(1+'数据-取费表'!C42),C32+C33+C34),2)</f>
        <v>75.17</v>
      </c>
      <c r="D31" s="1255" t="s">
        <v>720</v>
      </c>
      <c r="E31" s="1254" t="s">
        <v>770</v>
      </c>
      <c r="F31" s="2138" t="str">
        <f>IF(项目基本情况!B11="企业","——",IF(M47="住宅",IF(F6*F7*F8/12/(1+'数据-取费表'!F30)&gt;100000,4%,2.5%),IF(F6*F7*F8/12/(1+'数据-取费表'!F30)&gt;100000,12%,7%)))</f>
        <v>——</v>
      </c>
      <c r="G31" s="1290"/>
      <c r="H31" s="2568" t="s">
        <v>2306</v>
      </c>
      <c r="I31" s="1303"/>
      <c r="J31" s="1304"/>
      <c r="K31" s="121"/>
      <c r="L31" s="2470"/>
      <c r="M31" s="2471"/>
    </row>
    <row r="32" spans="1:37" ht="18" customHeight="1">
      <c r="A32" s="927" t="s">
        <v>397</v>
      </c>
      <c r="B32" s="294" t="s">
        <v>723</v>
      </c>
      <c r="C32" s="21">
        <f ca="1">IF(项目基本情况!B11="自然人","——",ROUND(C6*F32/(1+'数据-取费表'!C42),2))</f>
        <v>23.36</v>
      </c>
      <c r="D32" s="1254" t="s">
        <v>724</v>
      </c>
      <c r="E32" s="294" t="s">
        <v>712</v>
      </c>
      <c r="F32" s="322">
        <f>'数据-取费表'!B41</f>
        <v>5.5000000000000007E-2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50.97</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IF(项目基本情况!B11="自然人","——",ROUND(F34*F35/10000,2))</f>
        <v>0.84</v>
      </c>
      <c r="D34" s="316" t="s">
        <v>731</v>
      </c>
      <c r="E34" s="294" t="s">
        <v>732</v>
      </c>
      <c r="F34" s="317">
        <f>'数据-取费表'!B52</f>
        <v>1.5</v>
      </c>
      <c r="G34" s="1290"/>
      <c r="H34" s="2469"/>
      <c r="I34" s="1303"/>
      <c r="J34" s="1304"/>
      <c r="K34" s="2474"/>
      <c r="L34" s="2475"/>
      <c r="M34" s="2475"/>
    </row>
    <row r="35" spans="1:18" ht="18" customHeight="1">
      <c r="A35" s="1039"/>
      <c r="B35" s="1037"/>
      <c r="C35" s="26"/>
      <c r="D35" s="319"/>
      <c r="E35" s="294" t="s">
        <v>736</v>
      </c>
      <c r="F35" s="295">
        <f ca="1">INDIRECT("'数据-取费表'!r"&amp;$G$1)</f>
        <v>5606.11</v>
      </c>
      <c r="G35" s="1290"/>
      <c r="H35" s="2469"/>
      <c r="I35" s="1303"/>
      <c r="J35" s="1304"/>
      <c r="K35" s="2473"/>
      <c r="L35" s="2472"/>
      <c r="M35" s="2472"/>
    </row>
    <row r="36" spans="1:18" ht="18" customHeight="1">
      <c r="A36" s="1038" t="s">
        <v>402</v>
      </c>
      <c r="B36" s="294" t="s">
        <v>738</v>
      </c>
      <c r="C36" s="21">
        <f ca="1">ROUND(C29*F36,2)</f>
        <v>9.68</v>
      </c>
      <c r="D36" s="1254" t="s">
        <v>771</v>
      </c>
      <c r="E36" s="294" t="s">
        <v>712</v>
      </c>
      <c r="F36" s="320">
        <f ca="1">INDIRECT("'数据-取费表'!Ak"&amp;$G$1)</f>
        <v>3.0000000000000001E-3</v>
      </c>
      <c r="G36" s="1290"/>
      <c r="H36" s="2472"/>
      <c r="I36" s="1303"/>
      <c r="J36" s="1304"/>
      <c r="K36" s="2329"/>
      <c r="L36" s="2472"/>
      <c r="M36" s="2472"/>
    </row>
    <row r="37" spans="1:18" ht="18" customHeight="1">
      <c r="A37" s="927" t="s">
        <v>437</v>
      </c>
      <c r="B37" s="294" t="s">
        <v>742</v>
      </c>
      <c r="C37" s="21">
        <f ca="1">ROUND(C13*F37,2)</f>
        <v>2.52</v>
      </c>
      <c r="D37" s="1254" t="s">
        <v>743</v>
      </c>
      <c r="E37" s="294" t="s">
        <v>744</v>
      </c>
      <c r="F37" s="321">
        <f ca="1">INDIRECT("'数据-取费表'!Al"&amp;$G$1)</f>
        <v>1E-3</v>
      </c>
      <c r="G37" s="1290"/>
      <c r="H37" s="2472"/>
      <c r="I37" s="1303"/>
      <c r="J37" s="1304"/>
      <c r="K37" s="2329"/>
      <c r="L37" s="2472"/>
      <c r="M37" s="2472"/>
    </row>
    <row r="38" spans="1:18" ht="18" customHeight="1" thickBot="1">
      <c r="A38" s="1025" t="s">
        <v>684</v>
      </c>
      <c r="B38" s="1026" t="s">
        <v>728</v>
      </c>
      <c r="C38" s="1027">
        <f ca="1">ROUND(C5*F38,2)</f>
        <v>4.47</v>
      </c>
      <c r="D38" s="1028" t="s">
        <v>748</v>
      </c>
      <c r="E38" s="1026" t="s">
        <v>744</v>
      </c>
      <c r="F38" s="1022">
        <f ca="1">INDIRECT("'数据-取费表'!Am"&amp;$G$1)</f>
        <v>0.01</v>
      </c>
      <c r="G38" s="1290"/>
      <c r="H38" s="2472"/>
      <c r="I38" s="1303"/>
      <c r="J38" s="1304"/>
      <c r="K38" s="2470"/>
      <c r="L38" s="2472"/>
      <c r="M38" s="2472"/>
    </row>
    <row r="39" spans="1:18" ht="24.6" customHeight="1" thickTop="1">
      <c r="A39" s="1015" t="s">
        <v>394</v>
      </c>
      <c r="B39" s="1030" t="s">
        <v>752</v>
      </c>
      <c r="C39" s="302">
        <f ca="1">C5-C30</f>
        <v>355</v>
      </c>
      <c r="D39" s="1031" t="s">
        <v>773</v>
      </c>
      <c r="E39" s="1032"/>
      <c r="F39" s="1033"/>
      <c r="G39" s="1290"/>
      <c r="H39" s="2472"/>
      <c r="I39" s="1303">
        <f ca="1">C39/C6</f>
        <v>0.79596412556053808</v>
      </c>
      <c r="J39" s="1304"/>
      <c r="K39" s="2470"/>
      <c r="L39" s="2472"/>
      <c r="M39" s="2472"/>
    </row>
    <row r="40" spans="1:18" ht="18" customHeight="1">
      <c r="A40" s="291" t="s">
        <v>395</v>
      </c>
      <c r="B40" s="292" t="s">
        <v>774</v>
      </c>
      <c r="C40" s="293">
        <f ca="1">ROUND(C39*(1-((1+F42)/(1+F40))^F41)/(F40-F42),0)</f>
        <v>7274</v>
      </c>
      <c r="D40" s="316" t="s">
        <v>758</v>
      </c>
      <c r="E40" s="294" t="s">
        <v>759</v>
      </c>
      <c r="F40" s="304">
        <f ca="1">INDIRECT("'数据-取费表'!I"&amp;$G$1)</f>
        <v>0.05</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32.9</v>
      </c>
      <c r="G41" s="1290"/>
      <c r="H41" s="121"/>
      <c r="I41" s="1303"/>
      <c r="J41" s="1304"/>
      <c r="K41" s="2329"/>
      <c r="L41" s="121"/>
      <c r="M41" s="121"/>
    </row>
    <row r="42" spans="1:18" ht="18" customHeight="1">
      <c r="A42" s="300"/>
      <c r="B42" s="301"/>
      <c r="C42" s="302"/>
      <c r="D42" s="319"/>
      <c r="E42" s="294" t="s">
        <v>766</v>
      </c>
      <c r="F42" s="304">
        <f ca="1">INDIRECT("'数据-取费表'!v"&amp;$G$1)</f>
        <v>0.02</v>
      </c>
      <c r="G42" s="1290"/>
      <c r="H42" s="121"/>
      <c r="I42" s="1303"/>
      <c r="J42" s="1304"/>
      <c r="K42" s="2329"/>
      <c r="L42" s="121"/>
      <c r="M42" s="121"/>
    </row>
    <row r="43" spans="1:18" ht="18" customHeight="1" thickBot="1">
      <c r="A43" s="325" t="s">
        <v>396</v>
      </c>
      <c r="B43" s="326" t="s">
        <v>776</v>
      </c>
      <c r="C43" s="327">
        <f ca="1">ROUND(C40*10000/F43,0)</f>
        <v>10059</v>
      </c>
      <c r="D43" s="328" t="s">
        <v>777</v>
      </c>
      <c r="E43" s="329" t="s">
        <v>778</v>
      </c>
      <c r="F43" s="330">
        <f ca="1">INDIRECT("'数据-取费表'!k"&amp;$G$1)</f>
        <v>7231.66</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8" thickBot="1">
      <c r="A46" s="1309" t="s">
        <v>809</v>
      </c>
      <c r="C46" s="1310">
        <f ca="1">C68-C40</f>
        <v>-7482</v>
      </c>
      <c r="D46" s="1311" t="str">
        <f>C2</f>
        <v>万元</v>
      </c>
      <c r="E46" s="1305"/>
      <c r="F46" s="1305"/>
      <c r="I46" s="1312" t="s">
        <v>810</v>
      </c>
      <c r="J46" s="1313"/>
      <c r="K46" s="1314"/>
      <c r="L46" s="1315">
        <f ca="1">IF(M47="住宅",0,IF(L48&gt;J51,L60,J60))</f>
        <v>120</v>
      </c>
      <c r="O46" s="1316" t="s">
        <v>811</v>
      </c>
      <c r="P46" s="1317" t="s">
        <v>812</v>
      </c>
      <c r="Q46" s="1318" t="s">
        <v>813</v>
      </c>
      <c r="R46" s="1318" t="s">
        <v>814</v>
      </c>
    </row>
    <row r="47" spans="1:18" s="1290" customFormat="1" ht="13.8" thickBot="1">
      <c r="A47" s="891" t="s">
        <v>687</v>
      </c>
      <c r="B47" s="923" t="s">
        <v>688</v>
      </c>
      <c r="C47" s="1053" t="s">
        <v>689</v>
      </c>
      <c r="D47" s="923" t="s">
        <v>690</v>
      </c>
      <c r="E47" s="994" t="s">
        <v>691</v>
      </c>
      <c r="F47" s="995"/>
      <c r="G47" s="681"/>
      <c r="I47" s="1319" t="s">
        <v>815</v>
      </c>
      <c r="J47" s="1320" t="s">
        <v>3750</v>
      </c>
      <c r="K47" s="1321" t="s">
        <v>816</v>
      </c>
      <c r="L47" s="1322">
        <f ca="1">INDIRECT("'数据-取费表'!d"&amp;$G$1)</f>
        <v>50</v>
      </c>
      <c r="M47" s="1286" t="str">
        <f>IF(ISNUMBER(FIND("住宅",C1)),"住宅","非住宅")</f>
        <v>非住宅</v>
      </c>
      <c r="O47" s="1323" t="s">
        <v>403</v>
      </c>
      <c r="P47" s="1324" t="s">
        <v>817</v>
      </c>
      <c r="Q47" s="1325">
        <f ca="1">C40+J29</f>
        <v>7274</v>
      </c>
      <c r="R47" s="1325" t="s">
        <v>818</v>
      </c>
    </row>
    <row r="48" spans="1:18" s="1290" customFormat="1" ht="40.200000000000003" thickBot="1">
      <c r="A48" s="1046" t="s">
        <v>438</v>
      </c>
      <c r="B48" s="292" t="s">
        <v>692</v>
      </c>
      <c r="C48" s="1266">
        <f ca="1">C49+C53+C55</f>
        <v>0</v>
      </c>
      <c r="D48" s="1048"/>
      <c r="E48" s="1049"/>
      <c r="F48" s="907"/>
      <c r="G48" s="681"/>
      <c r="H48" s="682"/>
      <c r="I48" s="1326" t="s">
        <v>819</v>
      </c>
      <c r="J48" s="1327" t="s">
        <v>3768</v>
      </c>
      <c r="K48" s="1328" t="s">
        <v>820</v>
      </c>
      <c r="L48" s="1329">
        <f ca="1">INDIRECT("'数据-取费表'!f"&amp;$G$1)</f>
        <v>32.9</v>
      </c>
      <c r="O48" s="1323" t="s">
        <v>404</v>
      </c>
      <c r="P48" s="1324" t="s">
        <v>821</v>
      </c>
      <c r="Q48" s="1325">
        <f ca="1">J60</f>
        <v>120</v>
      </c>
      <c r="R48" s="1325" t="s">
        <v>822</v>
      </c>
    </row>
    <row r="49" spans="1:18" s="1290" customFormat="1" ht="13.8" thickBot="1">
      <c r="A49" s="920" t="s">
        <v>439</v>
      </c>
      <c r="B49" s="1277" t="s">
        <v>779</v>
      </c>
      <c r="C49" s="1050">
        <f ca="1">ROUND(F49*F51*F50*(1-F52)/10000,0)</f>
        <v>0</v>
      </c>
      <c r="D49" s="991" t="s">
        <v>2106</v>
      </c>
      <c r="E49" s="1278" t="s">
        <v>780</v>
      </c>
      <c r="F49" s="996"/>
      <c r="H49" s="682"/>
      <c r="I49" s="1326" t="s">
        <v>823</v>
      </c>
      <c r="J49" s="1330">
        <f>'数据-取费表'!Q22</f>
        <v>2010</v>
      </c>
      <c r="K49" s="1328" t="s">
        <v>824</v>
      </c>
      <c r="L49" s="1331"/>
      <c r="O49" s="1332" t="s">
        <v>405</v>
      </c>
      <c r="P49" s="1324" t="s">
        <v>825</v>
      </c>
      <c r="Q49" s="1325">
        <f ca="1">C29</f>
        <v>3228</v>
      </c>
      <c r="R49" s="1325" t="s">
        <v>818</v>
      </c>
    </row>
    <row r="50" spans="1:18" s="1290" customFormat="1" ht="13.8" thickBot="1">
      <c r="A50" s="921"/>
      <c r="B50" s="924"/>
      <c r="C50" s="1054"/>
      <c r="D50" s="898"/>
      <c r="E50" s="992" t="s">
        <v>697</v>
      </c>
      <c r="F50" s="993">
        <f ca="1">F7</f>
        <v>6465.86</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2"/>
      <c r="B51" s="924"/>
      <c r="C51" s="925"/>
      <c r="D51" s="898"/>
      <c r="E51" s="926" t="s">
        <v>698</v>
      </c>
      <c r="F51" s="295">
        <f ca="1">F8</f>
        <v>365</v>
      </c>
      <c r="I51" s="1336" t="s">
        <v>829</v>
      </c>
      <c r="J51" s="1329">
        <f>IF(J49="",J50,J49+J50-YEAR('数据-取费表'!B2))</f>
        <v>46</v>
      </c>
      <c r="K51" s="1337" t="s">
        <v>830</v>
      </c>
      <c r="L51" s="1338">
        <f ca="1">ROUND(-PV(INDIRECT("'数据-取费表'!h"&amp;$G$1),J51,(C39-C13*C76),0),0)</f>
        <v>3448</v>
      </c>
      <c r="M51" s="1339"/>
      <c r="O51" s="1332" t="s">
        <v>407</v>
      </c>
      <c r="P51" s="1324" t="s">
        <v>831</v>
      </c>
      <c r="Q51" s="1335">
        <f>J52</f>
        <v>7.5000000000000011E-2</v>
      </c>
      <c r="R51" s="1325"/>
    </row>
    <row r="52" spans="1:18" s="1290" customFormat="1" ht="13.8" thickBot="1">
      <c r="A52" s="922"/>
      <c r="B52" s="924"/>
      <c r="C52" s="925"/>
      <c r="D52" s="898"/>
      <c r="E52" s="926" t="s">
        <v>699</v>
      </c>
      <c r="F52" s="990"/>
      <c r="I52" s="1340" t="s">
        <v>832</v>
      </c>
      <c r="J52" s="1341">
        <f>'数据-取费表'!J6+0.5%</f>
        <v>7.5000000000000011E-2</v>
      </c>
      <c r="K52" s="1340" t="s">
        <v>833</v>
      </c>
      <c r="L52" s="1341"/>
      <c r="O52" s="1332" t="s">
        <v>408</v>
      </c>
      <c r="P52" s="1324" t="s">
        <v>834</v>
      </c>
      <c r="Q52" s="1325">
        <f ca="1">J53</f>
        <v>32.9</v>
      </c>
      <c r="R52" s="1325" t="s">
        <v>835</v>
      </c>
    </row>
    <row r="53" spans="1:18" s="1290" customFormat="1" ht="36.6" thickBot="1">
      <c r="A53" s="1078" t="s">
        <v>440</v>
      </c>
      <c r="B53" s="1279" t="s">
        <v>700</v>
      </c>
      <c r="C53" s="308">
        <f ca="1">ROUND(IF(F53="押一",C49/12*F11,IF(F53="押二",C49/12*2*F11,IF(F53="押三",C49/12*3*F11,C54*F11))),0)</f>
        <v>0</v>
      </c>
      <c r="D53" s="150" t="s">
        <v>2112</v>
      </c>
      <c r="E53" s="305" t="s">
        <v>701</v>
      </c>
      <c r="F53" s="1052"/>
      <c r="I53" s="1342" t="s">
        <v>836</v>
      </c>
      <c r="J53" s="2005">
        <f ca="1">IF(M47="住宅",IF(D1="——",MAX(J51,L48),MAX(J51,L48-'数据-取费表'!B24)),IF(D1="——",MIN(J51,L48),MIN(J51,L48-'数据-取费表'!B24)))</f>
        <v>32.9</v>
      </c>
      <c r="K53" s="3317" t="s">
        <v>837</v>
      </c>
      <c r="L53" s="3318"/>
      <c r="O53" s="1323" t="s">
        <v>409</v>
      </c>
      <c r="P53" s="1324" t="s">
        <v>838</v>
      </c>
      <c r="Q53" s="1325">
        <f ca="1">Q47+Q48</f>
        <v>7394</v>
      </c>
      <c r="R53" s="1325" t="s">
        <v>410</v>
      </c>
    </row>
    <row r="54" spans="1:18" s="1290" customFormat="1" ht="24.6" thickBot="1">
      <c r="A54" s="1079"/>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9" t="s">
        <v>437</v>
      </c>
      <c r="B55" s="1275" t="s">
        <v>703</v>
      </c>
      <c r="C55" s="1020"/>
      <c r="D55" s="150"/>
      <c r="E55" s="1280"/>
      <c r="F55" s="1343"/>
      <c r="I55" s="1346" t="s">
        <v>840</v>
      </c>
      <c r="J55" s="1347">
        <f ca="1">ROUND(IF(J47="钢混",J57/J50,1-(1-2%)*(J50-J57)/J50),3)</f>
        <v>0.218</v>
      </c>
      <c r="K55" s="1348" t="s">
        <v>841</v>
      </c>
      <c r="L55" s="1349"/>
      <c r="O55" s="1316" t="s">
        <v>811</v>
      </c>
      <c r="P55" s="1317" t="s">
        <v>812</v>
      </c>
      <c r="Q55" s="1318" t="s">
        <v>813</v>
      </c>
      <c r="R55" s="1318" t="s">
        <v>814</v>
      </c>
    </row>
    <row r="56" spans="1:18" s="1290" customFormat="1" ht="37.200000000000003" thickTop="1" thickBot="1">
      <c r="A56" s="902">
        <v>2</v>
      </c>
      <c r="B56" s="903" t="s">
        <v>704</v>
      </c>
      <c r="C56" s="224">
        <f ca="1">C13</f>
        <v>2518</v>
      </c>
      <c r="D56" s="1350"/>
      <c r="E56" s="1351"/>
      <c r="F56" s="1343"/>
      <c r="I56" s="1352" t="s">
        <v>842</v>
      </c>
      <c r="J56" s="1353" t="s">
        <v>3389</v>
      </c>
      <c r="K56" s="1326" t="s">
        <v>843</v>
      </c>
      <c r="L56" s="1329" t="str">
        <f ca="1">IF(L48&lt;J51,"——",L48-J53)</f>
        <v>——</v>
      </c>
      <c r="O56" s="1323" t="s">
        <v>403</v>
      </c>
      <c r="P56" s="1324" t="s">
        <v>817</v>
      </c>
      <c r="Q56" s="1325">
        <f ca="1">C40+J29</f>
        <v>7274</v>
      </c>
      <c r="R56" s="1325" t="s">
        <v>818</v>
      </c>
    </row>
    <row r="57" spans="1:18" s="1290" customFormat="1" ht="24.6" thickBot="1">
      <c r="A57" s="1354"/>
      <c r="B57" s="895" t="s">
        <v>767</v>
      </c>
      <c r="C57" s="230">
        <f ca="1">C29</f>
        <v>3228</v>
      </c>
      <c r="D57" s="1355"/>
      <c r="E57" s="1356"/>
      <c r="F57" s="1357"/>
      <c r="I57" s="1358" t="s">
        <v>844</v>
      </c>
      <c r="J57" s="1359">
        <f ca="1">IF(OR(M47="住宅",J51&lt;L48,J56="是"),"——",J51-L48)</f>
        <v>13.100000000000001</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3" t="s">
        <v>714</v>
      </c>
      <c r="C58" s="308">
        <f ca="1">ROUND(C59+C64+C65+C66,0)</f>
        <v>13</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8" t="s">
        <v>851</v>
      </c>
      <c r="J59" s="1359">
        <f ca="1">IF(OR(M47="住宅",J51&lt;L48,J56="是"),"——",ROUND(C29*J58,0))</f>
        <v>1291</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IF(项目基本情况!B11="自然人","——",ROUND(C48*F60/(1+'数据-取费表'!C42),2))</f>
        <v>0</v>
      </c>
      <c r="D60" s="909" t="s">
        <v>724</v>
      </c>
      <c r="E60" s="895" t="s">
        <v>712</v>
      </c>
      <c r="F60" s="322">
        <f t="shared" ref="F60:F66" si="0">F32</f>
        <v>5.5000000000000007E-2</v>
      </c>
      <c r="I60" s="1361" t="s">
        <v>853</v>
      </c>
      <c r="J60" s="1362">
        <f ca="1">IF(OR(M47="住宅",J51&lt;L48,J56="是"),"0",ROUND(J59/(1+J52)^J53,0))</f>
        <v>120</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727</v>
      </c>
      <c r="C61" s="21">
        <f ca="1">IF(项目基本情况!B11="自然人","——",IF(D61="按租金收入计税",ROUND(C49*F61/(1+'数据-取费表'!C42),2),IF(D61="按房产原值计税",ROUND(C57*F61*0.7,2),INDIRECT("'数据-取费表'!Aj"&amp;$G$1))))</f>
        <v>0</v>
      </c>
      <c r="D61" s="1276" t="s">
        <v>3336</v>
      </c>
      <c r="E61" s="895"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730</v>
      </c>
      <c r="C62" s="22">
        <f ca="1">IF(项目基本情况!B11="自然人","——",ROUND(F62*F63/10000,2))</f>
        <v>0.84</v>
      </c>
      <c r="D62" s="910" t="s">
        <v>731</v>
      </c>
      <c r="E62" s="895" t="s">
        <v>732</v>
      </c>
      <c r="F62" s="317">
        <f t="shared" si="0"/>
        <v>1.5</v>
      </c>
      <c r="I62" s="1365" t="s">
        <v>858</v>
      </c>
      <c r="J62" s="610" t="s">
        <v>859</v>
      </c>
      <c r="K62" s="610" t="s">
        <v>860</v>
      </c>
      <c r="L62" s="610" t="s">
        <v>861</v>
      </c>
      <c r="M62" s="1366" t="s">
        <v>862</v>
      </c>
      <c r="O62" s="1323" t="s">
        <v>409</v>
      </c>
      <c r="P62" s="1324" t="s">
        <v>838</v>
      </c>
      <c r="Q62" s="1325">
        <f ca="1">Q56+Q57</f>
        <v>7274</v>
      </c>
      <c r="R62" s="1325" t="s">
        <v>410</v>
      </c>
    </row>
    <row r="63" spans="1:18" s="1290" customFormat="1" ht="13.8" thickBot="1">
      <c r="A63" s="318"/>
      <c r="B63" s="901"/>
      <c r="C63" s="26"/>
      <c r="D63" s="911"/>
      <c r="E63" s="895" t="s">
        <v>736</v>
      </c>
      <c r="F63" s="295">
        <f t="shared" ca="1" si="0"/>
        <v>5606.11</v>
      </c>
      <c r="I63" s="1365" t="s">
        <v>864</v>
      </c>
      <c r="J63" s="610">
        <v>70</v>
      </c>
      <c r="K63" s="610">
        <v>50</v>
      </c>
      <c r="L63" s="610">
        <v>80</v>
      </c>
      <c r="M63" s="1367">
        <v>0.02</v>
      </c>
      <c r="O63" s="1308" t="s">
        <v>865</v>
      </c>
      <c r="P63" s="1287"/>
      <c r="Q63" s="1287"/>
      <c r="R63" s="1287"/>
    </row>
    <row r="64" spans="1:18" s="1290" customFormat="1" ht="13.8" thickBot="1">
      <c r="A64" s="927" t="s">
        <v>789</v>
      </c>
      <c r="B64" s="895" t="s">
        <v>790</v>
      </c>
      <c r="C64" s="21">
        <f ca="1">ROUND(C57*F64,2)</f>
        <v>9.68</v>
      </c>
      <c r="D64" s="909" t="s">
        <v>771</v>
      </c>
      <c r="E64" s="895" t="s">
        <v>712</v>
      </c>
      <c r="F64" s="320">
        <f t="shared" ca="1" si="0"/>
        <v>3.0000000000000001E-3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7" t="s">
        <v>792</v>
      </c>
      <c r="B65" s="895" t="s">
        <v>742</v>
      </c>
      <c r="C65" s="21">
        <f ca="1">ROUND(C56*F65,2)</f>
        <v>2.52</v>
      </c>
      <c r="D65" s="909" t="s">
        <v>743</v>
      </c>
      <c r="E65" s="895" t="s">
        <v>744</v>
      </c>
      <c r="F65" s="321">
        <f t="shared" ca="1" si="0"/>
        <v>1E-3</v>
      </c>
      <c r="I65" s="1365" t="s">
        <v>867</v>
      </c>
      <c r="J65" s="610">
        <v>40</v>
      </c>
      <c r="K65" s="610">
        <v>30</v>
      </c>
      <c r="L65" s="610">
        <v>50</v>
      </c>
      <c r="M65" s="1367">
        <v>0.02</v>
      </c>
      <c r="O65" s="1323" t="s">
        <v>403</v>
      </c>
      <c r="P65" s="1324" t="s">
        <v>817</v>
      </c>
      <c r="Q65" s="1325">
        <f ca="1">C40+J29</f>
        <v>7274</v>
      </c>
      <c r="R65" s="1325" t="s">
        <v>818</v>
      </c>
    </row>
    <row r="66" spans="1:18" s="1290" customFormat="1" ht="16.2" thickBot="1">
      <c r="A66" s="927" t="s">
        <v>793</v>
      </c>
      <c r="B66" s="895" t="s">
        <v>728</v>
      </c>
      <c r="C66" s="21">
        <f ca="1">ROUND(C48*F66,2)</f>
        <v>0</v>
      </c>
      <c r="D66" s="909" t="s">
        <v>748</v>
      </c>
      <c r="E66" s="895" t="s">
        <v>712</v>
      </c>
      <c r="F66" s="304">
        <f t="shared" ca="1" si="0"/>
        <v>0.01</v>
      </c>
      <c r="O66" s="1323" t="s">
        <v>404</v>
      </c>
      <c r="P66" s="1324" t="s">
        <v>846</v>
      </c>
      <c r="Q66" s="1325">
        <f ca="1">L60</f>
        <v>0</v>
      </c>
      <c r="R66" s="1325" t="s">
        <v>869</v>
      </c>
    </row>
    <row r="67" spans="1:18" s="1290" customFormat="1" ht="24.6" thickBot="1">
      <c r="A67" s="902" t="s">
        <v>394</v>
      </c>
      <c r="B67" s="912" t="s">
        <v>752</v>
      </c>
      <c r="C67" s="308">
        <f ca="1">C48-C58</f>
        <v>-13</v>
      </c>
      <c r="D67" s="908" t="s">
        <v>753</v>
      </c>
      <c r="E67" s="913"/>
      <c r="F67" s="914"/>
      <c r="O67" s="1332" t="s">
        <v>405</v>
      </c>
      <c r="P67" s="1324" t="s">
        <v>850</v>
      </c>
      <c r="Q67" s="1368">
        <f ca="1">L51</f>
        <v>3448</v>
      </c>
      <c r="R67" s="1325" t="s">
        <v>870</v>
      </c>
    </row>
    <row r="68" spans="1:18" s="1290" customFormat="1" ht="16.2" thickBot="1">
      <c r="A68" s="892" t="s">
        <v>395</v>
      </c>
      <c r="B68" s="893" t="s">
        <v>774</v>
      </c>
      <c r="C68" s="293">
        <f ca="1">ROUND(C67*(1-((1+F70)/(1+F68))^F69)/(F68-F70),0)</f>
        <v>-208</v>
      </c>
      <c r="D68" s="910" t="s">
        <v>758</v>
      </c>
      <c r="E68" s="895" t="s">
        <v>759</v>
      </c>
      <c r="F68" s="304">
        <f ca="1">F40</f>
        <v>0.05</v>
      </c>
      <c r="O68" s="1332" t="s">
        <v>406</v>
      </c>
      <c r="P68" s="1369" t="s">
        <v>871</v>
      </c>
      <c r="Q68" s="1325">
        <f ca="1">ROUND(Q69-Q70*Q71,0)</f>
        <v>179</v>
      </c>
      <c r="R68" s="1325" t="s">
        <v>414</v>
      </c>
    </row>
    <row r="69" spans="1:18" s="1290" customFormat="1" ht="13.8" thickBot="1">
      <c r="A69" s="896"/>
      <c r="B69" s="897"/>
      <c r="C69" s="298"/>
      <c r="D69" s="915" t="s">
        <v>762</v>
      </c>
      <c r="E69" s="895" t="s">
        <v>763</v>
      </c>
      <c r="F69" s="324">
        <f ca="1">F41</f>
        <v>32.9</v>
      </c>
      <c r="O69" s="1332" t="s">
        <v>411</v>
      </c>
      <c r="P69" s="1369" t="s">
        <v>872</v>
      </c>
      <c r="Q69" s="1325">
        <f ca="1">C39</f>
        <v>355</v>
      </c>
      <c r="R69" s="1325" t="s">
        <v>818</v>
      </c>
    </row>
    <row r="70" spans="1:18" s="1290" customFormat="1" ht="13.8" thickBot="1">
      <c r="A70" s="899"/>
      <c r="B70" s="900"/>
      <c r="C70" s="302"/>
      <c r="D70" s="911"/>
      <c r="E70" s="895" t="s">
        <v>766</v>
      </c>
      <c r="F70" s="990"/>
      <c r="O70" s="1332" t="s">
        <v>412</v>
      </c>
      <c r="P70" s="1369" t="s">
        <v>873</v>
      </c>
      <c r="Q70" s="1325">
        <f ca="1">C13</f>
        <v>2518</v>
      </c>
      <c r="R70" s="1325" t="s">
        <v>818</v>
      </c>
    </row>
    <row r="71" spans="1:18" s="1290" customFormat="1" ht="13.8" thickBot="1">
      <c r="A71" s="916" t="s">
        <v>396</v>
      </c>
      <c r="B71" s="917" t="s">
        <v>776</v>
      </c>
      <c r="C71" s="327">
        <f ca="1">ROUND(C68*10000/F71,0)</f>
        <v>-288</v>
      </c>
      <c r="D71" s="918" t="s">
        <v>777</v>
      </c>
      <c r="E71" s="919" t="s">
        <v>778</v>
      </c>
      <c r="F71" s="330">
        <f ca="1">F43</f>
        <v>7231.66</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176</v>
      </c>
      <c r="D75" s="1290"/>
      <c r="E75" s="1290"/>
      <c r="F75" s="1290"/>
      <c r="K75" s="1307"/>
      <c r="L75" s="1290"/>
      <c r="O75" s="1323" t="s">
        <v>409</v>
      </c>
      <c r="P75" s="1324" t="s">
        <v>838</v>
      </c>
      <c r="Q75" s="1325">
        <f ca="1">Q65+Q66</f>
        <v>7274</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0.504</v>
      </c>
    </row>
    <row r="80" spans="1:18">
      <c r="B80" s="331" t="s">
        <v>800</v>
      </c>
      <c r="C80" s="266">
        <f ca="1">ROUND(C75/C39,3)</f>
        <v>0.496</v>
      </c>
    </row>
    <row r="81" spans="2:3">
      <c r="B81" s="262" t="s">
        <v>801</v>
      </c>
      <c r="C81" s="230"/>
    </row>
    <row r="82" spans="2:3">
      <c r="B82" s="265" t="s">
        <v>802</v>
      </c>
      <c r="C82" s="267">
        <f ca="1">1-C83</f>
        <v>0.65400000000000003</v>
      </c>
    </row>
    <row r="83" spans="2:3">
      <c r="B83" s="265" t="s">
        <v>803</v>
      </c>
      <c r="C83" s="266">
        <f ca="1">ROUND(C13/C40,3)</f>
        <v>0.34599999999999997</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sheetPr>
  <dimension ref="A1:AK83"/>
  <sheetViews>
    <sheetView view="pageBreakPreview" zoomScale="80" zoomScaleNormal="70" zoomScaleSheetLayoutView="80" workbookViewId="0">
      <selection activeCell="I2" sqref="I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3903</v>
      </c>
      <c r="D1" s="1269" t="s">
        <v>43</v>
      </c>
      <c r="E1" s="1270" t="s">
        <v>678</v>
      </c>
      <c r="F1" s="998">
        <f ca="1">J53</f>
        <v>32.9</v>
      </c>
      <c r="G1" s="1284">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5225</v>
      </c>
      <c r="C2" s="1287" t="s">
        <v>805</v>
      </c>
      <c r="D2" s="1287"/>
      <c r="E2" s="1293"/>
      <c r="F2" s="1294"/>
      <c r="G2" s="2477"/>
      <c r="H2" s="2467"/>
      <c r="I2" s="2467"/>
      <c r="J2" s="2467"/>
      <c r="K2" s="2468"/>
      <c r="L2" s="2467"/>
      <c r="M2" s="2467"/>
    </row>
    <row r="3" spans="1:37" ht="18" customHeight="1" thickBot="1">
      <c r="A3" s="1295" t="s">
        <v>806</v>
      </c>
      <c r="B3" s="1296">
        <f ca="1">IF(ISERROR(B2*10000/F43),0,ROUND(B2*10000/F43,0))</f>
        <v>6614</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6">
        <f ca="1">C6+C10+C12</f>
        <v>317</v>
      </c>
      <c r="D5" s="1271" t="s">
        <v>693</v>
      </c>
      <c r="E5" s="1007"/>
      <c r="F5" s="1008"/>
      <c r="G5" s="1290"/>
      <c r="H5" s="291">
        <v>1</v>
      </c>
      <c r="I5" s="292" t="s">
        <v>692</v>
      </c>
      <c r="J5" s="1006">
        <f ca="1">J6+J10+J12</f>
        <v>363</v>
      </c>
      <c r="K5" s="1271" t="s">
        <v>693</v>
      </c>
      <c r="L5" s="1007"/>
      <c r="M5" s="1008"/>
    </row>
    <row r="6" spans="1:37" ht="18" customHeight="1">
      <c r="A6" s="1005" t="s">
        <v>398</v>
      </c>
      <c r="B6" s="3314" t="s">
        <v>694</v>
      </c>
      <c r="C6" s="1010">
        <f ca="1">ROUND(F6*F8*F7*(1-F9)/10000,0)</f>
        <v>317</v>
      </c>
      <c r="D6" s="147" t="s">
        <v>2105</v>
      </c>
      <c r="E6" s="294" t="s">
        <v>696</v>
      </c>
      <c r="F6" s="295">
        <f ca="1">INDIRECT("'数据-取费表'!u"&amp;$G$1)</f>
        <v>1.1000000000000001</v>
      </c>
      <c r="G6" s="1290"/>
      <c r="H6" s="1005" t="s">
        <v>398</v>
      </c>
      <c r="I6" s="3314" t="s">
        <v>694</v>
      </c>
      <c r="J6" s="293">
        <f ca="1">ROUND(M6*M8*M7*(1-M9)/10000,0)</f>
        <v>363</v>
      </c>
      <c r="K6" s="147" t="s">
        <v>2104</v>
      </c>
      <c r="L6" s="294" t="s">
        <v>696</v>
      </c>
      <c r="M6" s="295">
        <f ca="1">INDIRECT("'数据-取费表'!z"&amp;$G$1)</f>
        <v>1.4</v>
      </c>
    </row>
    <row r="7" spans="1:37" ht="18" customHeight="1">
      <c r="A7" s="1009"/>
      <c r="B7" s="3315"/>
      <c r="C7" s="1011"/>
      <c r="D7" s="299"/>
      <c r="E7" s="1012" t="s">
        <v>697</v>
      </c>
      <c r="F7" s="295">
        <f ca="1">IF(INDIRECT("'数据-取费表'!ah"&amp;$G$1)="",INDIRECT("'数据-取费表'!k"&amp;$G$1),INDIRECT("'数据-取费表'!ah"&amp;$G$1))</f>
        <v>7900</v>
      </c>
      <c r="G7" s="1290"/>
      <c r="H7" s="296"/>
      <c r="I7" s="3315"/>
      <c r="J7" s="298"/>
      <c r="K7" s="299"/>
      <c r="L7" s="294" t="s">
        <v>697</v>
      </c>
      <c r="M7" s="295">
        <f ca="1">F7</f>
        <v>7900</v>
      </c>
    </row>
    <row r="8" spans="1:37" ht="18" customHeight="1">
      <c r="A8" s="296"/>
      <c r="B8" s="3315"/>
      <c r="C8" s="298"/>
      <c r="D8" s="299"/>
      <c r="E8" s="294" t="s">
        <v>698</v>
      </c>
      <c r="F8" s="295">
        <f ca="1">INDIRECT("'数据-取费表'!ai"&amp;$G$1)</f>
        <v>365</v>
      </c>
      <c r="G8" s="1290"/>
      <c r="H8" s="296"/>
      <c r="I8" s="3315"/>
      <c r="J8" s="298"/>
      <c r="K8" s="299"/>
      <c r="L8" s="294" t="s">
        <v>698</v>
      </c>
      <c r="M8" s="295">
        <f ca="1">INDIRECT("'数据-取费表'!ai"&amp;$G$1)</f>
        <v>365</v>
      </c>
    </row>
    <row r="9" spans="1:37" ht="18" customHeight="1">
      <c r="A9" s="296"/>
      <c r="B9" s="3316"/>
      <c r="C9" s="298"/>
      <c r="D9" s="299"/>
      <c r="E9" s="294" t="s">
        <v>699</v>
      </c>
      <c r="F9" s="304">
        <f ca="1">INDIRECT("'数据-取费表'!w"&amp;$G$1)</f>
        <v>0</v>
      </c>
      <c r="G9" s="1290"/>
      <c r="H9" s="296"/>
      <c r="I9" s="3316"/>
      <c r="J9" s="298"/>
      <c r="K9" s="299"/>
      <c r="L9" s="305" t="s">
        <v>699</v>
      </c>
      <c r="M9" s="306">
        <f ca="1">INDIRECT("'数据-取费表'!ab"&amp;$G$1)</f>
        <v>0.1</v>
      </c>
    </row>
    <row r="10" spans="1:37" ht="18" customHeight="1">
      <c r="A10" s="1005" t="s">
        <v>402</v>
      </c>
      <c r="B10" s="1272" t="s">
        <v>700</v>
      </c>
      <c r="C10" s="308">
        <f ca="1">ROUND(IF(F10="押一",C6/12*F11,IF(F10="押二",C6/12*2*F11,IF(F10="押三",C6/12*3*F11,C11*F11))),0)</f>
        <v>0</v>
      </c>
      <c r="D10" s="150" t="s">
        <v>2113</v>
      </c>
      <c r="E10" s="305" t="s">
        <v>701</v>
      </c>
      <c r="F10" s="1052" t="s">
        <v>3758</v>
      </c>
      <c r="G10" s="1290"/>
      <c r="H10" s="1005" t="s">
        <v>402</v>
      </c>
      <c r="I10" s="1272" t="s">
        <v>700</v>
      </c>
      <c r="J10" s="293">
        <f ca="1">ROUND(IF(M10="押一",J6/12*M11,IF(M10="押二",J6/12*2*M11,IF(M10="押三",J6/12*3*M11,J11*M11))),0)</f>
        <v>0</v>
      </c>
      <c r="K10" s="150" t="s">
        <v>2112</v>
      </c>
      <c r="L10" s="305" t="s">
        <v>701</v>
      </c>
      <c r="M10" s="1052" t="s">
        <v>3758</v>
      </c>
    </row>
    <row r="11" spans="1:37" ht="18" customHeight="1">
      <c r="A11" s="300"/>
      <c r="B11" s="1273" t="s">
        <v>679</v>
      </c>
      <c r="C11" s="904"/>
      <c r="D11" s="1274"/>
      <c r="E11" s="305" t="s">
        <v>702</v>
      </c>
      <c r="F11" s="306">
        <f ca="1">'数据-取费表'!B39</f>
        <v>1.4999999999999999E-2</v>
      </c>
      <c r="G11" s="1290"/>
      <c r="H11" s="1013"/>
      <c r="I11" s="1273" t="s">
        <v>679</v>
      </c>
      <c r="J11" s="904"/>
      <c r="K11" s="646"/>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2175</v>
      </c>
      <c r="D13" s="1017" t="s">
        <v>705</v>
      </c>
      <c r="E13" s="1017" t="s">
        <v>706</v>
      </c>
      <c r="F13" s="1018">
        <f ca="1">INDIRECT("'数据-取费表'!y"&amp;$G$1)</f>
        <v>0.8</v>
      </c>
      <c r="G13" s="1290"/>
      <c r="H13" s="1015">
        <v>2</v>
      </c>
      <c r="I13" s="1016" t="s">
        <v>704</v>
      </c>
      <c r="J13" s="1004">
        <f ca="1">ROUND(J14*J15,0)</f>
        <v>1958</v>
      </c>
      <c r="K13" s="1023" t="s">
        <v>705</v>
      </c>
      <c r="L13" s="1297"/>
      <c r="M13" s="1298"/>
    </row>
    <row r="14" spans="1:37" ht="18" customHeight="1">
      <c r="A14" s="927" t="s">
        <v>397</v>
      </c>
      <c r="B14" s="294" t="s">
        <v>707</v>
      </c>
      <c r="C14" s="310">
        <f ca="1">INDIRECT("'数据-取费表'!m"&amp;$G$1)+INDIRECT("'数据-取费表'!t"&amp;$G$1)</f>
        <v>1975</v>
      </c>
      <c r="D14" s="1255" t="s">
        <v>708</v>
      </c>
      <c r="E14" s="1253"/>
      <c r="F14" s="311"/>
      <c r="G14" s="1290"/>
      <c r="H14" s="927" t="s">
        <v>398</v>
      </c>
      <c r="I14" s="294" t="s">
        <v>709</v>
      </c>
      <c r="J14" s="21">
        <f ca="1">C29</f>
        <v>2719</v>
      </c>
      <c r="K14" s="12"/>
      <c r="L14" s="758"/>
      <c r="M14" s="759"/>
    </row>
    <row r="15" spans="1:37" s="1302" customFormat="1" ht="18" customHeight="1" thickBot="1">
      <c r="A15" s="927" t="s">
        <v>399</v>
      </c>
      <c r="B15" s="294" t="s">
        <v>710</v>
      </c>
      <c r="C15" s="21">
        <f ca="1">ROUND(C14*F15,0)</f>
        <v>79</v>
      </c>
      <c r="D15" s="312" t="s">
        <v>711</v>
      </c>
      <c r="E15" s="312" t="s">
        <v>712</v>
      </c>
      <c r="F15" s="313">
        <f>'数据-取费表'!B33</f>
        <v>0.04</v>
      </c>
      <c r="G15" s="1301"/>
      <c r="H15" s="1025" t="s">
        <v>402</v>
      </c>
      <c r="I15" s="1026" t="s">
        <v>706</v>
      </c>
      <c r="J15" s="1035">
        <f ca="1">INDIRECT("'数据-取费表'!ad"&amp;$G$1)</f>
        <v>0.72</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5" t="s">
        <v>393</v>
      </c>
      <c r="I16" s="1016" t="s">
        <v>714</v>
      </c>
      <c r="J16" s="302">
        <f ca="1">ROUND(J17+J22+J23+J24,0)</f>
        <v>75</v>
      </c>
      <c r="K16" s="1023" t="s">
        <v>715</v>
      </c>
      <c r="L16" s="1024"/>
      <c r="M16" s="1008"/>
    </row>
    <row r="17" spans="1:37" s="1302" customFormat="1" ht="18" customHeight="1">
      <c r="A17" s="927" t="s">
        <v>681</v>
      </c>
      <c r="B17" s="294" t="s">
        <v>716</v>
      </c>
      <c r="C17" s="21">
        <f ca="1">ROUND(F17*(F43+INDIRECT("'数据-取费表'!S"&amp;$G$1))/10000,0)</f>
        <v>158</v>
      </c>
      <c r="D17" s="294" t="s">
        <v>717</v>
      </c>
      <c r="E17" s="294" t="s">
        <v>718</v>
      </c>
      <c r="F17" s="23">
        <f>'数据-取费表'!B35</f>
        <v>200</v>
      </c>
      <c r="G17" s="1301"/>
      <c r="H17" s="927" t="s">
        <v>398</v>
      </c>
      <c r="I17" s="294" t="s">
        <v>719</v>
      </c>
      <c r="J17" s="2139">
        <f ca="1">ROUND(IF(AND(项目基本情况!B11="自然人",项目基本情况!B10="北京市"),J6*M17/(1+'数据-取费表'!C42),J18+J19+J20),2)</f>
        <v>61.42</v>
      </c>
      <c r="K17" s="1255" t="s">
        <v>720</v>
      </c>
      <c r="L17" s="1254" t="s">
        <v>721</v>
      </c>
      <c r="M17" s="2138"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40</v>
      </c>
      <c r="D18" s="294" t="s">
        <v>711</v>
      </c>
      <c r="E18" s="294" t="s">
        <v>712</v>
      </c>
      <c r="F18" s="314">
        <f>'数据-取费表'!B36</f>
        <v>0.02</v>
      </c>
      <c r="G18" s="1301"/>
      <c r="H18" s="927" t="s">
        <v>397</v>
      </c>
      <c r="I18" s="294" t="s">
        <v>723</v>
      </c>
      <c r="J18" s="21">
        <f ca="1">ROUND(J6*M18/(1+'数据-取费表'!C42),2)</f>
        <v>19.010000000000002</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2252</v>
      </c>
      <c r="D19" s="123" t="s">
        <v>726</v>
      </c>
      <c r="E19" s="1267"/>
      <c r="F19" s="23"/>
      <c r="G19" s="1290"/>
      <c r="H19" s="927" t="s">
        <v>399</v>
      </c>
      <c r="I19" s="294" t="s">
        <v>727</v>
      </c>
      <c r="J19" s="21">
        <f ca="1">IF(K19="按租金收入计税",ROUND(J6*M19/(1+'数据-取费表'!C42),2),ROUND(C29*M19*0.7,2))</f>
        <v>41.49</v>
      </c>
      <c r="K19" s="1276" t="s">
        <v>3336</v>
      </c>
      <c r="L19" s="294" t="s">
        <v>712</v>
      </c>
      <c r="M19" s="314">
        <f>IF(K19="按租金收入计税",'数据-取费表'!B51,'数据-取费表'!B50)</f>
        <v>0.12</v>
      </c>
    </row>
    <row r="20" spans="1:37" s="1302" customFormat="1" ht="18" customHeight="1">
      <c r="A20" s="927" t="s">
        <v>402</v>
      </c>
      <c r="B20" s="294" t="s">
        <v>728</v>
      </c>
      <c r="C20" s="21">
        <f ca="1">ROUND(C19*F20,0)</f>
        <v>45</v>
      </c>
      <c r="D20" s="315" t="s">
        <v>729</v>
      </c>
      <c r="E20" s="294" t="s">
        <v>712</v>
      </c>
      <c r="F20" s="314">
        <f>'数据-取费表'!B37</f>
        <v>0.02</v>
      </c>
      <c r="G20" s="1301"/>
      <c r="H20" s="927" t="s">
        <v>680</v>
      </c>
      <c r="I20" s="147" t="s">
        <v>730</v>
      </c>
      <c r="J20" s="22">
        <f ca="1">ROUND(M20*M21/10000,2)</f>
        <v>0.92</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0.02</v>
      </c>
      <c r="G21" s="1301"/>
      <c r="H21" s="318"/>
      <c r="I21" s="303"/>
      <c r="J21" s="26"/>
      <c r="K21" s="319"/>
      <c r="L21" s="294" t="s">
        <v>736</v>
      </c>
      <c r="M21" s="295">
        <f ca="1">INDIRECT("'数据-取费表'!r"&amp;$G$1)</f>
        <v>6124.21</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ROUND(J14*M22,2)</f>
        <v>8.16</v>
      </c>
      <c r="K22" s="1254" t="s">
        <v>739</v>
      </c>
      <c r="L22" s="294" t="s">
        <v>712</v>
      </c>
      <c r="M22" s="320">
        <f ca="1">INDIRECT("'数据-取费表'!Ak"&amp;$G$1)</f>
        <v>3.0000000000000001E-3</v>
      </c>
    </row>
    <row r="23" spans="1:37" s="1302" customFormat="1" ht="18" customHeight="1">
      <c r="A23" s="927" t="s">
        <v>397</v>
      </c>
      <c r="B23" s="294" t="s">
        <v>740</v>
      </c>
      <c r="C23" s="21">
        <f ca="1">IF('数据-取费表'!B22&lt;=1,ROUND(C19*F24*F23/2,0)+ROUND(C20*F24*F23/2,0),ROUND(C19*(POWER((1+F24),F23/2)-1),0)+ROUND(C20*(POWER((1+F24),F23/2)-1),0))</f>
        <v>59</v>
      </c>
      <c r="D23" s="138" t="str">
        <f>IF(F23&lt;=1,"(建造成本+管理费用)×利率×(建设周期÷2)","(建造成本+管理费用)×((1+利率)^(建设周期÷2)-1)")</f>
        <v>(建造成本+管理费用)×((1+利率)^(建设周期÷2)-1)</v>
      </c>
      <c r="E23" s="294" t="s">
        <v>741</v>
      </c>
      <c r="F23" s="317">
        <f>'数据-取费表'!B20</f>
        <v>1.5</v>
      </c>
      <c r="G23" s="1301"/>
      <c r="H23" s="927" t="s">
        <v>437</v>
      </c>
      <c r="I23" s="294" t="s">
        <v>742</v>
      </c>
      <c r="J23" s="21">
        <f ca="1">ROUND(J13*M23,2)</f>
        <v>1.96</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1"/>
      <c r="H24" s="1025" t="s">
        <v>684</v>
      </c>
      <c r="I24" s="1026" t="s">
        <v>728</v>
      </c>
      <c r="J24" s="1027">
        <f ca="1">ROUND(J5*M24,2)</f>
        <v>3.63</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5" t="s">
        <v>394</v>
      </c>
      <c r="I25" s="1030" t="s">
        <v>752</v>
      </c>
      <c r="J25" s="302">
        <f ca="1">J5-J16</f>
        <v>288</v>
      </c>
      <c r="K25" s="1031" t="s">
        <v>753</v>
      </c>
      <c r="L25" s="1032"/>
      <c r="M25" s="1033"/>
    </row>
    <row r="26" spans="1:37">
      <c r="A26" s="927" t="s">
        <v>397</v>
      </c>
      <c r="B26" s="294" t="s">
        <v>754</v>
      </c>
      <c r="C26" s="21">
        <f ca="1">ROUND((C19+C20)*F26,0)</f>
        <v>161</v>
      </c>
      <c r="D26" s="315" t="s">
        <v>755</v>
      </c>
      <c r="E26" s="305" t="s">
        <v>756</v>
      </c>
      <c r="F26" s="304">
        <f ca="1">INDIRECT("'数据-取费表'!q"&amp;$G$1)</f>
        <v>7.0000000000000007E-2</v>
      </c>
      <c r="G26" s="1290"/>
      <c r="H26" s="291" t="s">
        <v>395</v>
      </c>
      <c r="I26" s="292" t="s">
        <v>757</v>
      </c>
      <c r="J26" s="293">
        <f ca="1">IF(J5&lt;&gt;0,ROUND(J25*(1-((1+M28)/(1+M26))^M27)/(M26-M28),0),0)</f>
        <v>5168</v>
      </c>
      <c r="K26" s="316" t="s">
        <v>758</v>
      </c>
      <c r="L26" s="294" t="s">
        <v>759</v>
      </c>
      <c r="M26" s="304">
        <f ca="1">INDIRECT("'数据-取费表'!I"&amp;$G$1)</f>
        <v>0.05</v>
      </c>
    </row>
    <row r="27" spans="1:37" ht="18" customHeight="1">
      <c r="A27" s="927" t="s">
        <v>399</v>
      </c>
      <c r="B27" s="294" t="s">
        <v>760</v>
      </c>
      <c r="C27" s="21">
        <f ca="1">ROUND(F21*F26,4)</f>
        <v>1.4E-3</v>
      </c>
      <c r="D27" s="315" t="s">
        <v>761</v>
      </c>
      <c r="E27" s="312"/>
      <c r="F27" s="313"/>
      <c r="G27" s="1290"/>
      <c r="H27" s="296"/>
      <c r="I27" s="297"/>
      <c r="J27" s="298"/>
      <c r="K27" s="323" t="s">
        <v>762</v>
      </c>
      <c r="L27" s="294" t="s">
        <v>763</v>
      </c>
      <c r="M27" s="324">
        <f ca="1">INDIRECT("'数据-取费表'!ag"&amp;$G$1)</f>
        <v>26.659999999999997</v>
      </c>
    </row>
    <row r="28" spans="1:37" s="1302" customFormat="1" ht="18" customHeight="1">
      <c r="A28" s="927"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2719</v>
      </c>
      <c r="D29" s="1028"/>
      <c r="E29" s="1026"/>
      <c r="F29" s="1029"/>
      <c r="G29" s="1301"/>
      <c r="H29" s="325" t="s">
        <v>396</v>
      </c>
      <c r="I29" s="326" t="s">
        <v>768</v>
      </c>
      <c r="J29" s="327">
        <f ca="1">ROUND(J26/(1+F40)^F41,0)</f>
        <v>3812</v>
      </c>
      <c r="K29" s="328" t="s">
        <v>769</v>
      </c>
      <c r="L29" s="329"/>
      <c r="M29" s="330">
        <f ca="1">INDIRECT("'数据-取费表'!k"&amp;$G$1)</f>
        <v>7900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67</v>
      </c>
      <c r="D30" s="1023" t="s">
        <v>715</v>
      </c>
      <c r="E30" s="1024"/>
      <c r="F30" s="1008"/>
      <c r="G30" s="1290"/>
      <c r="H30" s="2469"/>
      <c r="I30" s="1303"/>
      <c r="J30" s="1304"/>
      <c r="K30" s="121"/>
      <c r="L30" s="2470"/>
      <c r="M30" s="2471"/>
    </row>
    <row r="31" spans="1:37" ht="18" customHeight="1">
      <c r="A31" s="927" t="s">
        <v>398</v>
      </c>
      <c r="B31" s="294" t="s">
        <v>719</v>
      </c>
      <c r="C31" s="2139">
        <f ca="1">ROUND(IF(AND(项目基本情况!B11="自然人",项目基本情况!B10="北京市"),C6*F31/(1+'数据-取费表'!C42),C32+C33+C34),2)</f>
        <v>53.75</v>
      </c>
      <c r="D31" s="1255" t="s">
        <v>720</v>
      </c>
      <c r="E31" s="1254" t="s">
        <v>770</v>
      </c>
      <c r="F31" s="2138" t="str">
        <f>IF(项目基本情况!B11="企业","——",IF(M47="住宅",IF(F6*F7*F8/12/(1+'数据-取费表'!F30)&gt;100000,4%,2.5%),IF(F6*F7*F8/12/(1+'数据-取费表'!F30)&gt;100000,12%,7%)))</f>
        <v>——</v>
      </c>
      <c r="G31" s="1290"/>
      <c r="H31" s="2568" t="s">
        <v>2306</v>
      </c>
      <c r="I31" s="1303"/>
      <c r="J31" s="1304"/>
      <c r="K31" s="121"/>
      <c r="L31" s="2470"/>
      <c r="M31" s="2471"/>
    </row>
    <row r="32" spans="1:37" ht="18" customHeight="1">
      <c r="A32" s="927" t="s">
        <v>397</v>
      </c>
      <c r="B32" s="294" t="s">
        <v>723</v>
      </c>
      <c r="C32" s="21">
        <f ca="1">IF(项目基本情况!B11="自然人","——",ROUND(C6*F32/(1+'数据-取费表'!C42),2))</f>
        <v>16.600000000000001</v>
      </c>
      <c r="D32" s="1254" t="s">
        <v>724</v>
      </c>
      <c r="E32" s="294" t="s">
        <v>712</v>
      </c>
      <c r="F32" s="322">
        <f>'数据-取费表'!B41</f>
        <v>5.5000000000000007E-2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36.229999999999997</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IF(项目基本情况!B11="自然人","——",ROUND(F34*F35/10000,2))</f>
        <v>0.92</v>
      </c>
      <c r="D34" s="316" t="s">
        <v>731</v>
      </c>
      <c r="E34" s="294" t="s">
        <v>732</v>
      </c>
      <c r="F34" s="317">
        <f>'数据-取费表'!B52</f>
        <v>1.5</v>
      </c>
      <c r="G34" s="1290"/>
      <c r="H34" s="2469"/>
      <c r="I34" s="1303"/>
      <c r="J34" s="1304"/>
      <c r="K34" s="2474"/>
      <c r="L34" s="2475"/>
      <c r="M34" s="2475"/>
    </row>
    <row r="35" spans="1:18" ht="18" customHeight="1">
      <c r="A35" s="1039"/>
      <c r="B35" s="1037"/>
      <c r="C35" s="26"/>
      <c r="D35" s="319"/>
      <c r="E35" s="294" t="s">
        <v>736</v>
      </c>
      <c r="F35" s="295">
        <f ca="1">INDIRECT("'数据-取费表'!r"&amp;$G$1)</f>
        <v>6124.21</v>
      </c>
      <c r="G35" s="1290"/>
      <c r="H35" s="2469"/>
      <c r="I35" s="1303"/>
      <c r="J35" s="1304"/>
      <c r="K35" s="2473"/>
      <c r="L35" s="2472"/>
      <c r="M35" s="2472"/>
    </row>
    <row r="36" spans="1:18" ht="18" customHeight="1">
      <c r="A36" s="1038" t="s">
        <v>402</v>
      </c>
      <c r="B36" s="294" t="s">
        <v>738</v>
      </c>
      <c r="C36" s="21">
        <f ca="1">ROUND(C29*F36,2)</f>
        <v>8.16</v>
      </c>
      <c r="D36" s="1254" t="s">
        <v>771</v>
      </c>
      <c r="E36" s="294" t="s">
        <v>712</v>
      </c>
      <c r="F36" s="320">
        <f ca="1">INDIRECT("'数据-取费表'!Ak"&amp;$G$1)</f>
        <v>3.0000000000000001E-3</v>
      </c>
      <c r="G36" s="1290"/>
      <c r="H36" s="2472"/>
      <c r="I36" s="1303"/>
      <c r="J36" s="1304"/>
      <c r="K36" s="2329"/>
      <c r="L36" s="2472"/>
      <c r="M36" s="2472"/>
    </row>
    <row r="37" spans="1:18" ht="18" customHeight="1">
      <c r="A37" s="927" t="s">
        <v>437</v>
      </c>
      <c r="B37" s="294" t="s">
        <v>742</v>
      </c>
      <c r="C37" s="21">
        <f ca="1">ROUND(C13*F37,2)</f>
        <v>2.1800000000000002</v>
      </c>
      <c r="D37" s="1254" t="s">
        <v>743</v>
      </c>
      <c r="E37" s="294" t="s">
        <v>744</v>
      </c>
      <c r="F37" s="321">
        <f ca="1">INDIRECT("'数据-取费表'!Al"&amp;$G$1)</f>
        <v>1E-3</v>
      </c>
      <c r="G37" s="1290"/>
      <c r="H37" s="2472"/>
      <c r="I37" s="1303"/>
      <c r="J37" s="1304"/>
      <c r="K37" s="2329"/>
      <c r="L37" s="2472"/>
      <c r="M37" s="2472"/>
    </row>
    <row r="38" spans="1:18" ht="18" customHeight="1" thickBot="1">
      <c r="A38" s="1025" t="s">
        <v>684</v>
      </c>
      <c r="B38" s="1026" t="s">
        <v>728</v>
      </c>
      <c r="C38" s="1027">
        <f ca="1">ROUND(C5*F38,2)</f>
        <v>3.17</v>
      </c>
      <c r="D38" s="1028" t="s">
        <v>748</v>
      </c>
      <c r="E38" s="1026" t="s">
        <v>744</v>
      </c>
      <c r="F38" s="1022">
        <f ca="1">INDIRECT("'数据-取费表'!Am"&amp;$G$1)</f>
        <v>0.01</v>
      </c>
      <c r="G38" s="1290"/>
      <c r="H38" s="2472"/>
      <c r="I38" s="1303"/>
      <c r="J38" s="1304"/>
      <c r="K38" s="2470"/>
      <c r="L38" s="2472"/>
      <c r="M38" s="2472"/>
    </row>
    <row r="39" spans="1:18" ht="24.6" customHeight="1" thickTop="1">
      <c r="A39" s="1015" t="s">
        <v>394</v>
      </c>
      <c r="B39" s="1030" t="s">
        <v>772</v>
      </c>
      <c r="C39" s="302">
        <f ca="1">C5-C30</f>
        <v>250</v>
      </c>
      <c r="D39" s="1031" t="s">
        <v>773</v>
      </c>
      <c r="E39" s="1032"/>
      <c r="F39" s="1033"/>
      <c r="G39" s="1290"/>
      <c r="H39" s="2472"/>
      <c r="I39" s="1303">
        <f ca="1">C39/C6</f>
        <v>0.78864353312302837</v>
      </c>
      <c r="J39" s="1304"/>
      <c r="K39" s="2470"/>
      <c r="L39" s="2472"/>
      <c r="M39" s="2472"/>
    </row>
    <row r="40" spans="1:18" ht="18" customHeight="1">
      <c r="A40" s="291" t="s">
        <v>395</v>
      </c>
      <c r="B40" s="292" t="s">
        <v>774</v>
      </c>
      <c r="C40" s="293">
        <f ca="1">ROUND(C39*(1-((1+F42)/(1+F40))^F41)/(F40-F42),0)</f>
        <v>1312</v>
      </c>
      <c r="D40" s="316" t="s">
        <v>758</v>
      </c>
      <c r="E40" s="294" t="s">
        <v>759</v>
      </c>
      <c r="F40" s="304">
        <f ca="1">INDIRECT("'数据-取费表'!I"&amp;$G$1)</f>
        <v>0.05</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6.24</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f ca="1">ROUND(C40*10000/F43,0)</f>
        <v>1661</v>
      </c>
      <c r="D43" s="328" t="s">
        <v>777</v>
      </c>
      <c r="E43" s="329" t="s">
        <v>778</v>
      </c>
      <c r="F43" s="330">
        <f ca="1">INDIRECT("'数据-取费表'!k"&amp;$G$1)</f>
        <v>7900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8" thickBot="1">
      <c r="A46" s="1309" t="s">
        <v>809</v>
      </c>
      <c r="C46" s="1310">
        <f ca="1">C68-C40</f>
        <v>39</v>
      </c>
      <c r="D46" s="1311" t="str">
        <f>C2</f>
        <v>万元</v>
      </c>
      <c r="E46" s="1305"/>
      <c r="F46" s="1305"/>
      <c r="I46" s="1312" t="s">
        <v>810</v>
      </c>
      <c r="J46" s="1313"/>
      <c r="K46" s="1314"/>
      <c r="L46" s="1315">
        <f ca="1">IF(M47="住宅",0,IF(L48&gt;J51,L60,J60))</f>
        <v>101</v>
      </c>
      <c r="O46" s="1316" t="s">
        <v>811</v>
      </c>
      <c r="P46" s="1317" t="s">
        <v>812</v>
      </c>
      <c r="Q46" s="1318" t="s">
        <v>813</v>
      </c>
      <c r="R46" s="1318" t="s">
        <v>814</v>
      </c>
    </row>
    <row r="47" spans="1:18" s="1290" customFormat="1" ht="13.8" thickBot="1">
      <c r="A47" s="891" t="s">
        <v>687</v>
      </c>
      <c r="B47" s="923" t="s">
        <v>688</v>
      </c>
      <c r="C47" s="1053" t="s">
        <v>689</v>
      </c>
      <c r="D47" s="923" t="s">
        <v>690</v>
      </c>
      <c r="E47" s="994" t="s">
        <v>691</v>
      </c>
      <c r="F47" s="995"/>
      <c r="G47" s="681"/>
      <c r="I47" s="1319" t="s">
        <v>815</v>
      </c>
      <c r="J47" s="1320" t="s">
        <v>3748</v>
      </c>
      <c r="K47" s="1321" t="s">
        <v>816</v>
      </c>
      <c r="L47" s="1322">
        <f ca="1">INDIRECT("'数据-取费表'!d"&amp;$G$1)</f>
        <v>50</v>
      </c>
      <c r="M47" s="1286" t="str">
        <f>IF(ISNUMBER(FIND("住宅",C1)),"住宅","非住宅")</f>
        <v>非住宅</v>
      </c>
      <c r="O47" s="1323" t="s">
        <v>403</v>
      </c>
      <c r="P47" s="1324" t="s">
        <v>817</v>
      </c>
      <c r="Q47" s="1325">
        <f ca="1">C40+J29</f>
        <v>5124</v>
      </c>
      <c r="R47" s="1325" t="s">
        <v>818</v>
      </c>
    </row>
    <row r="48" spans="1:18" s="1290" customFormat="1" ht="40.200000000000003" thickBot="1">
      <c r="A48" s="1046" t="s">
        <v>438</v>
      </c>
      <c r="B48" s="292" t="s">
        <v>692</v>
      </c>
      <c r="C48" s="1266">
        <f ca="1">C49+C53+C55</f>
        <v>311</v>
      </c>
      <c r="D48" s="1048"/>
      <c r="E48" s="1049"/>
      <c r="F48" s="907"/>
      <c r="G48" s="681"/>
      <c r="H48" s="682"/>
      <c r="I48" s="1326" t="s">
        <v>819</v>
      </c>
      <c r="J48" s="1327" t="s">
        <v>3759</v>
      </c>
      <c r="K48" s="1328" t="s">
        <v>820</v>
      </c>
      <c r="L48" s="1329">
        <f ca="1">INDIRECT("'数据-取费表'!f"&amp;$G$1)</f>
        <v>32.9</v>
      </c>
      <c r="O48" s="1323" t="s">
        <v>404</v>
      </c>
      <c r="P48" s="1324" t="s">
        <v>821</v>
      </c>
      <c r="Q48" s="1325">
        <f ca="1">J60</f>
        <v>101</v>
      </c>
      <c r="R48" s="1325" t="s">
        <v>822</v>
      </c>
    </row>
    <row r="49" spans="1:18" s="1290" customFormat="1" ht="13.8" thickBot="1">
      <c r="A49" s="920" t="s">
        <v>439</v>
      </c>
      <c r="B49" s="1277" t="s">
        <v>779</v>
      </c>
      <c r="C49" s="1050">
        <f ca="1">ROUND(F49*F51*F50*(1-F52)/10000,0)</f>
        <v>311</v>
      </c>
      <c r="D49" s="991" t="s">
        <v>2106</v>
      </c>
      <c r="E49" s="1278" t="s">
        <v>780</v>
      </c>
      <c r="F49" s="996">
        <f>租赁合同整理!B88</f>
        <v>1.2</v>
      </c>
      <c r="H49" s="682"/>
      <c r="I49" s="1326" t="s">
        <v>823</v>
      </c>
      <c r="J49" s="1330">
        <f>'数据-取费表'!Q22</f>
        <v>2010</v>
      </c>
      <c r="K49" s="1328" t="s">
        <v>824</v>
      </c>
      <c r="L49" s="1331"/>
      <c r="O49" s="1332" t="s">
        <v>405</v>
      </c>
      <c r="P49" s="1324" t="s">
        <v>825</v>
      </c>
      <c r="Q49" s="1325">
        <f ca="1">C29</f>
        <v>2719</v>
      </c>
      <c r="R49" s="1325" t="s">
        <v>818</v>
      </c>
    </row>
    <row r="50" spans="1:18" s="1290" customFormat="1" ht="13.8" thickBot="1">
      <c r="A50" s="921"/>
      <c r="B50" s="924"/>
      <c r="C50" s="1054"/>
      <c r="D50" s="898"/>
      <c r="E50" s="992" t="s">
        <v>697</v>
      </c>
      <c r="F50" s="993">
        <f ca="1">F7</f>
        <v>7900</v>
      </c>
      <c r="H50" s="682"/>
      <c r="I50" s="1326" t="s">
        <v>826</v>
      </c>
      <c r="J50" s="1333">
        <f>SUMPRODUCT((I63:I65=J47)*(J62:L62=J48)*(J63:L65))</f>
        <v>70</v>
      </c>
      <c r="K50" s="1328" t="s">
        <v>827</v>
      </c>
      <c r="L50" s="1331"/>
      <c r="M50" s="1334"/>
      <c r="O50" s="1332" t="s">
        <v>406</v>
      </c>
      <c r="P50" s="1324" t="s">
        <v>828</v>
      </c>
      <c r="Q50" s="1335">
        <f ca="1">J58</f>
        <v>0.4</v>
      </c>
      <c r="R50" s="1325"/>
    </row>
    <row r="51" spans="1:18" s="1290" customFormat="1" ht="13.8" thickBot="1">
      <c r="A51" s="922"/>
      <c r="B51" s="924"/>
      <c r="C51" s="925"/>
      <c r="D51" s="898"/>
      <c r="E51" s="926" t="s">
        <v>698</v>
      </c>
      <c r="F51" s="295">
        <f ca="1">F8</f>
        <v>365</v>
      </c>
      <c r="I51" s="1336" t="s">
        <v>829</v>
      </c>
      <c r="J51" s="1329">
        <f>IF(J49="",J50,J49+J50-YEAR('数据-取费表'!B2))</f>
        <v>56</v>
      </c>
      <c r="K51" s="1337" t="s">
        <v>830</v>
      </c>
      <c r="L51" s="1338">
        <f ca="1">ROUND(-PV(INDIRECT("'数据-取费表'!h"&amp;$G$1),J51,(C39-C13*C76),0),0)</f>
        <v>1988</v>
      </c>
      <c r="M51" s="1339"/>
      <c r="O51" s="1332" t="s">
        <v>407</v>
      </c>
      <c r="P51" s="1324" t="s">
        <v>831</v>
      </c>
      <c r="Q51" s="1335">
        <f>J52</f>
        <v>7.5000000000000011E-2</v>
      </c>
      <c r="R51" s="1325"/>
    </row>
    <row r="52" spans="1:18" s="1290" customFormat="1" ht="13.8" thickBot="1">
      <c r="A52" s="922"/>
      <c r="B52" s="924"/>
      <c r="C52" s="925"/>
      <c r="D52" s="898"/>
      <c r="E52" s="926" t="s">
        <v>699</v>
      </c>
      <c r="F52" s="990">
        <f>'数据-取费表'!AB6</f>
        <v>0.1</v>
      </c>
      <c r="I52" s="1340" t="s">
        <v>832</v>
      </c>
      <c r="J52" s="1341">
        <f>'数据-取费表'!J6+0.5%</f>
        <v>7.5000000000000011E-2</v>
      </c>
      <c r="K52" s="1340" t="s">
        <v>833</v>
      </c>
      <c r="L52" s="1341"/>
      <c r="O52" s="1332" t="s">
        <v>408</v>
      </c>
      <c r="P52" s="1324" t="s">
        <v>834</v>
      </c>
      <c r="Q52" s="1325">
        <f ca="1">J53</f>
        <v>32.9</v>
      </c>
      <c r="R52" s="1325" t="s">
        <v>835</v>
      </c>
    </row>
    <row r="53" spans="1:18" s="1290" customFormat="1" ht="36.6" thickBot="1">
      <c r="A53" s="1078" t="s">
        <v>440</v>
      </c>
      <c r="B53" s="1279" t="s">
        <v>700</v>
      </c>
      <c r="C53" s="308">
        <f ca="1">ROUND(IF(F53="押一",C49/12*F11,IF(F53="押二",C49/12*2*F11,IF(F53="押三",C49/12*3*F11,C54*F11))),0)</f>
        <v>0</v>
      </c>
      <c r="D53" s="150" t="s">
        <v>2112</v>
      </c>
      <c r="E53" s="305" t="s">
        <v>701</v>
      </c>
      <c r="F53" s="1052" t="s">
        <v>3758</v>
      </c>
      <c r="I53" s="1342" t="s">
        <v>836</v>
      </c>
      <c r="J53" s="2005">
        <f ca="1">IF(M47="住宅",IF(D1="——",MAX(J51,L48),MAX(J51,L48-'数据-取费表'!B24)),IF(D1="——",MIN(J51,L48),MIN(J51,L48-'数据-取费表'!B24)))</f>
        <v>32.9</v>
      </c>
      <c r="K53" s="3317" t="s">
        <v>837</v>
      </c>
      <c r="L53" s="3318"/>
      <c r="O53" s="1323" t="s">
        <v>409</v>
      </c>
      <c r="P53" s="1324" t="s">
        <v>838</v>
      </c>
      <c r="Q53" s="1325">
        <f ca="1">Q47+Q48</f>
        <v>5225</v>
      </c>
      <c r="R53" s="1325" t="s">
        <v>410</v>
      </c>
    </row>
    <row r="54" spans="1:18" s="1290" customFormat="1" ht="24.6" thickBot="1">
      <c r="A54" s="1079"/>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9" t="s">
        <v>437</v>
      </c>
      <c r="B55" s="1275" t="s">
        <v>703</v>
      </c>
      <c r="C55" s="1020"/>
      <c r="D55" s="150"/>
      <c r="E55" s="1280"/>
      <c r="F55" s="1343"/>
      <c r="I55" s="1346" t="s">
        <v>840</v>
      </c>
      <c r="J55" s="1347">
        <f ca="1">ROUND(IF(J47="钢混",J57/J50,1-(1-2%)*(J50-J57)/J50),3)</f>
        <v>0.34300000000000003</v>
      </c>
      <c r="K55" s="1348" t="s">
        <v>841</v>
      </c>
      <c r="L55" s="1349"/>
      <c r="O55" s="1316" t="s">
        <v>811</v>
      </c>
      <c r="P55" s="1317" t="s">
        <v>812</v>
      </c>
      <c r="Q55" s="1318" t="s">
        <v>813</v>
      </c>
      <c r="R55" s="1318" t="s">
        <v>814</v>
      </c>
    </row>
    <row r="56" spans="1:18" s="1290" customFormat="1" ht="37.200000000000003" thickTop="1" thickBot="1">
      <c r="A56" s="902">
        <v>2</v>
      </c>
      <c r="B56" s="903" t="s">
        <v>704</v>
      </c>
      <c r="C56" s="224">
        <f ca="1">C13</f>
        <v>2175</v>
      </c>
      <c r="D56" s="1350"/>
      <c r="E56" s="1351"/>
      <c r="F56" s="1343"/>
      <c r="I56" s="1352" t="s">
        <v>842</v>
      </c>
      <c r="J56" s="1353" t="s">
        <v>3389</v>
      </c>
      <c r="K56" s="1326" t="s">
        <v>843</v>
      </c>
      <c r="L56" s="1329" t="str">
        <f ca="1">IF(L48&lt;J51,"——",L48-J53)</f>
        <v>——</v>
      </c>
      <c r="O56" s="1323" t="s">
        <v>403</v>
      </c>
      <c r="P56" s="1324" t="s">
        <v>817</v>
      </c>
      <c r="Q56" s="1325">
        <f ca="1">C40+J29</f>
        <v>5124</v>
      </c>
      <c r="R56" s="1325" t="s">
        <v>818</v>
      </c>
    </row>
    <row r="57" spans="1:18" s="1290" customFormat="1" ht="24.6" thickBot="1">
      <c r="A57" s="1354"/>
      <c r="B57" s="895" t="s">
        <v>767</v>
      </c>
      <c r="C57" s="230">
        <f ca="1">C29</f>
        <v>2719</v>
      </c>
      <c r="D57" s="1355"/>
      <c r="E57" s="1356"/>
      <c r="F57" s="1357"/>
      <c r="I57" s="1358" t="s">
        <v>844</v>
      </c>
      <c r="J57" s="1359">
        <f ca="1">IF(OR(M47="住宅",J51&lt;L48,J56="是"),"——",J51-L48)</f>
        <v>23.1</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3" t="s">
        <v>714</v>
      </c>
      <c r="C58" s="308">
        <f ca="1">ROUND(C59+C64+C65+C66,0)</f>
        <v>66</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9">
        <f ca="1">ROUND(IF(AND(项目基本情况!B11="自然人",项目基本情况!B10="北京市"),C49*F59/(1+'数据-取费表'!C42),C60+C61+C62),0)</f>
        <v>53</v>
      </c>
      <c r="D59" s="908" t="s">
        <v>720</v>
      </c>
      <c r="E59" s="909" t="s">
        <v>721</v>
      </c>
      <c r="F59" s="2138" t="str">
        <f>IF(项目基本情况!B11="企业","——",IF('数据-取费表'!B10="住宅",IF(F49*F50*F51/12/(1+'数据-取费表'!F30)&gt;100000,4%,2.5%),IF(F49*F50*F51/12/(1+'数据-取费表'!F30)&gt;100000,12%,7%)))</f>
        <v>——</v>
      </c>
      <c r="I59" s="1358" t="s">
        <v>851</v>
      </c>
      <c r="J59" s="1359">
        <f ca="1">IF(OR(M47="住宅",J51&lt;L48,J56="是"),"——",ROUND(C29*J58,0))</f>
        <v>1088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IF(项目基本情况!B11="自然人","——",ROUND(C48*F60/(1+'数据-取费表'!C42),2))</f>
        <v>16.29</v>
      </c>
      <c r="D60" s="909" t="s">
        <v>724</v>
      </c>
      <c r="E60" s="895" t="s">
        <v>712</v>
      </c>
      <c r="F60" s="322">
        <f t="shared" ref="F60:F66" si="0">F32</f>
        <v>5.5000000000000007E-2</v>
      </c>
      <c r="I60" s="1361" t="s">
        <v>853</v>
      </c>
      <c r="J60" s="1362">
        <f ca="1">IF(OR(M47="住宅",J51&lt;L48,J56="是"),"0",ROUND(J59/(1+J52)^J53,0))</f>
        <v>101</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782</v>
      </c>
      <c r="C61" s="21">
        <f ca="1">IF(项目基本情况!B11="自然人","——",IF(D61="按租金收入计税",ROUND(C49*F61/(1+'数据-取费表'!C42),2),IF(D61="按房产原值计税",ROUND(C57*F61*0.7,2),INDIRECT("'数据-取费表'!Aj"&amp;$G$1))))</f>
        <v>35.54</v>
      </c>
      <c r="D61" s="1276" t="s">
        <v>3336</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f ca="1">IF(项目基本情况!B11="自然人","——",ROUND(F62*F63/10000,2))</f>
        <v>0.92</v>
      </c>
      <c r="D62" s="910" t="s">
        <v>786</v>
      </c>
      <c r="E62" s="895" t="s">
        <v>787</v>
      </c>
      <c r="F62" s="317">
        <f t="shared" si="0"/>
        <v>1.5</v>
      </c>
      <c r="I62" s="1365" t="s">
        <v>858</v>
      </c>
      <c r="J62" s="610" t="s">
        <v>859</v>
      </c>
      <c r="K62" s="610" t="s">
        <v>860</v>
      </c>
      <c r="L62" s="610" t="s">
        <v>861</v>
      </c>
      <c r="M62" s="1366" t="s">
        <v>862</v>
      </c>
      <c r="O62" s="1323" t="s">
        <v>409</v>
      </c>
      <c r="P62" s="1324" t="s">
        <v>863</v>
      </c>
      <c r="Q62" s="1325">
        <f ca="1">Q56+Q57</f>
        <v>5124</v>
      </c>
      <c r="R62" s="1325" t="s">
        <v>410</v>
      </c>
    </row>
    <row r="63" spans="1:18" s="1290" customFormat="1" ht="13.8" thickBot="1">
      <c r="A63" s="318"/>
      <c r="B63" s="901"/>
      <c r="C63" s="26"/>
      <c r="D63" s="911"/>
      <c r="E63" s="895" t="s">
        <v>788</v>
      </c>
      <c r="F63" s="295">
        <f t="shared" ca="1" si="0"/>
        <v>6124.21</v>
      </c>
      <c r="I63" s="1365" t="s">
        <v>864</v>
      </c>
      <c r="J63" s="610">
        <v>70</v>
      </c>
      <c r="K63" s="610">
        <v>50</v>
      </c>
      <c r="L63" s="610">
        <v>80</v>
      </c>
      <c r="M63" s="1367">
        <v>0.02</v>
      </c>
      <c r="O63" s="1308" t="s">
        <v>865</v>
      </c>
      <c r="P63" s="1287"/>
      <c r="Q63" s="1287"/>
      <c r="R63" s="1287"/>
    </row>
    <row r="64" spans="1:18" s="1290" customFormat="1" ht="13.8" thickBot="1">
      <c r="A64" s="927" t="s">
        <v>789</v>
      </c>
      <c r="B64" s="895" t="s">
        <v>790</v>
      </c>
      <c r="C64" s="21">
        <f ca="1">ROUND(C57*F64,2)</f>
        <v>8.16</v>
      </c>
      <c r="D64" s="909" t="s">
        <v>791</v>
      </c>
      <c r="E64" s="895" t="s">
        <v>783</v>
      </c>
      <c r="F64" s="320">
        <f t="shared" ca="1" si="0"/>
        <v>3.0000000000000001E-3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7" t="s">
        <v>792</v>
      </c>
      <c r="B65" s="895" t="s">
        <v>742</v>
      </c>
      <c r="C65" s="21">
        <f ca="1">ROUND(C56*F65,2)</f>
        <v>2.1800000000000002</v>
      </c>
      <c r="D65" s="909" t="s">
        <v>743</v>
      </c>
      <c r="E65" s="895" t="s">
        <v>744</v>
      </c>
      <c r="F65" s="321">
        <f t="shared" ca="1" si="0"/>
        <v>1E-3</v>
      </c>
      <c r="I65" s="1365" t="s">
        <v>867</v>
      </c>
      <c r="J65" s="610">
        <v>40</v>
      </c>
      <c r="K65" s="610">
        <v>30</v>
      </c>
      <c r="L65" s="610">
        <v>50</v>
      </c>
      <c r="M65" s="1367">
        <v>0.02</v>
      </c>
      <c r="O65" s="1323" t="s">
        <v>403</v>
      </c>
      <c r="P65" s="1324" t="s">
        <v>868</v>
      </c>
      <c r="Q65" s="1325">
        <f ca="1">C40+J29</f>
        <v>5124</v>
      </c>
      <c r="R65" s="1325" t="s">
        <v>818</v>
      </c>
    </row>
    <row r="66" spans="1:18" s="1290" customFormat="1" ht="16.2" thickBot="1">
      <c r="A66" s="927" t="s">
        <v>793</v>
      </c>
      <c r="B66" s="895" t="s">
        <v>728</v>
      </c>
      <c r="C66" s="21">
        <f ca="1">ROUND(C48*F66,2)</f>
        <v>3.11</v>
      </c>
      <c r="D66" s="909" t="s">
        <v>794</v>
      </c>
      <c r="E66" s="895" t="s">
        <v>712</v>
      </c>
      <c r="F66" s="304">
        <f t="shared" ca="1" si="0"/>
        <v>0.01</v>
      </c>
      <c r="O66" s="1323" t="s">
        <v>404</v>
      </c>
      <c r="P66" s="1324" t="s">
        <v>846</v>
      </c>
      <c r="Q66" s="1325">
        <f ca="1">L60</f>
        <v>0</v>
      </c>
      <c r="R66" s="1325" t="s">
        <v>869</v>
      </c>
    </row>
    <row r="67" spans="1:18" s="1290" customFormat="1" ht="24.6" thickBot="1">
      <c r="A67" s="902" t="s">
        <v>394</v>
      </c>
      <c r="B67" s="912" t="s">
        <v>752</v>
      </c>
      <c r="C67" s="308">
        <f ca="1">C48-C58</f>
        <v>245</v>
      </c>
      <c r="D67" s="908" t="s">
        <v>753</v>
      </c>
      <c r="E67" s="913"/>
      <c r="F67" s="914"/>
      <c r="O67" s="1332" t="s">
        <v>405</v>
      </c>
      <c r="P67" s="1324" t="s">
        <v>850</v>
      </c>
      <c r="Q67" s="1368">
        <f ca="1">L51</f>
        <v>1988</v>
      </c>
      <c r="R67" s="1325" t="s">
        <v>870</v>
      </c>
    </row>
    <row r="68" spans="1:18" s="1290" customFormat="1" ht="16.2" thickBot="1">
      <c r="A68" s="892" t="s">
        <v>395</v>
      </c>
      <c r="B68" s="893" t="s">
        <v>774</v>
      </c>
      <c r="C68" s="293">
        <f ca="1">ROUND(C67*(1-((1+F70)/(1+F68))^F69)/(F68-F70),0)</f>
        <v>1351</v>
      </c>
      <c r="D68" s="910" t="s">
        <v>758</v>
      </c>
      <c r="E68" s="895" t="s">
        <v>759</v>
      </c>
      <c r="F68" s="304">
        <f ca="1">F40</f>
        <v>0.05</v>
      </c>
      <c r="O68" s="1332" t="s">
        <v>406</v>
      </c>
      <c r="P68" s="1369" t="s">
        <v>871</v>
      </c>
      <c r="Q68" s="1325">
        <f ca="1">ROUND(Q69-Q70*Q71,0)</f>
        <v>98</v>
      </c>
      <c r="R68" s="1325" t="s">
        <v>414</v>
      </c>
    </row>
    <row r="69" spans="1:18" s="1290" customFormat="1" ht="13.8" thickBot="1">
      <c r="A69" s="896"/>
      <c r="B69" s="897"/>
      <c r="C69" s="298"/>
      <c r="D69" s="915" t="s">
        <v>762</v>
      </c>
      <c r="E69" s="895" t="s">
        <v>763</v>
      </c>
      <c r="F69" s="324">
        <f ca="1">F41</f>
        <v>6.24</v>
      </c>
      <c r="O69" s="1332" t="s">
        <v>411</v>
      </c>
      <c r="P69" s="1369" t="s">
        <v>872</v>
      </c>
      <c r="Q69" s="1325">
        <f ca="1">C39</f>
        <v>250</v>
      </c>
      <c r="R69" s="1325" t="s">
        <v>818</v>
      </c>
    </row>
    <row r="70" spans="1:18" s="1290" customFormat="1" ht="13.8" thickBot="1">
      <c r="A70" s="899"/>
      <c r="B70" s="900"/>
      <c r="C70" s="302"/>
      <c r="D70" s="911"/>
      <c r="E70" s="895" t="s">
        <v>766</v>
      </c>
      <c r="F70" s="990">
        <f>'数据-取费表'!AA6</f>
        <v>0.02</v>
      </c>
      <c r="O70" s="1332" t="s">
        <v>412</v>
      </c>
      <c r="P70" s="1369" t="s">
        <v>873</v>
      </c>
      <c r="Q70" s="1325">
        <f ca="1">C13</f>
        <v>2175</v>
      </c>
      <c r="R70" s="1325" t="s">
        <v>818</v>
      </c>
    </row>
    <row r="71" spans="1:18" s="1290" customFormat="1" ht="13.8" thickBot="1">
      <c r="A71" s="916" t="s">
        <v>396</v>
      </c>
      <c r="B71" s="917" t="s">
        <v>776</v>
      </c>
      <c r="C71" s="327">
        <f ca="1">ROUND(C68*10000/F71,0)</f>
        <v>1710</v>
      </c>
      <c r="D71" s="918" t="s">
        <v>777</v>
      </c>
      <c r="E71" s="919" t="s">
        <v>778</v>
      </c>
      <c r="F71" s="330">
        <f ca="1">F43</f>
        <v>7900</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152</v>
      </c>
      <c r="D75" s="1290"/>
      <c r="E75" s="1290"/>
      <c r="F75" s="1290"/>
      <c r="K75" s="1307"/>
      <c r="L75" s="1290"/>
      <c r="O75" s="1323" t="s">
        <v>409</v>
      </c>
      <c r="P75" s="1324" t="s">
        <v>838</v>
      </c>
      <c r="Q75" s="1325">
        <f ca="1">Q65+Q66</f>
        <v>5124</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0.39200000000000002</v>
      </c>
    </row>
    <row r="80" spans="1:18">
      <c r="B80" s="331" t="s">
        <v>800</v>
      </c>
      <c r="C80" s="266">
        <f ca="1">ROUND(C75/C39,3)</f>
        <v>0.60799999999999998</v>
      </c>
    </row>
    <row r="81" spans="2:3">
      <c r="B81" s="262" t="s">
        <v>801</v>
      </c>
      <c r="C81" s="230"/>
    </row>
    <row r="82" spans="2:3">
      <c r="B82" s="265" t="s">
        <v>802</v>
      </c>
      <c r="C82" s="267">
        <f ca="1">1-C83</f>
        <v>-0.65799999999999992</v>
      </c>
    </row>
    <row r="83" spans="2:3">
      <c r="B83" s="265" t="s">
        <v>803</v>
      </c>
      <c r="C83" s="266">
        <f ca="1">ROUND(C13/C40,3)</f>
        <v>1.6579999999999999</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C00-000000000000}">
      <formula1>"按租金收入计税,按房产原值计税"</formula1>
    </dataValidation>
    <dataValidation type="list" allowBlank="1" showInputMessage="1" showErrorMessage="1" sqref="D33 D61" xr:uid="{00000000-0002-0000-1C00-000001000000}">
      <formula1>"按租金收入计税,按房产原值计税,按票据"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47" xr:uid="{00000000-0002-0000-1C00-000003000000}">
      <formula1>"钢,钢混,砖混"</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56" xr:uid="{00000000-0002-0000-1C00-000005000000}">
      <formula1>估价范围判定</formula1>
    </dataValidation>
    <dataValidation type="list" allowBlank="1" showInputMessage="1" showErrorMessage="1" sqref="L55" xr:uid="{00000000-0002-0000-1C00-000006000000}">
      <formula1>"比较法,基准地价,收益还原"</formula1>
    </dataValidation>
    <dataValidation type="list" allowBlank="1" showInputMessage="1" showErrorMessage="1" sqref="M10 F10 F53"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10" zoomScale="80" zoomScaleNormal="70" zoomScaleSheetLayoutView="8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3901</v>
      </c>
      <c r="D1" s="1269" t="s">
        <v>43</v>
      </c>
      <c r="E1" s="1270" t="s">
        <v>678</v>
      </c>
      <c r="F1" s="998">
        <f ca="1">J53</f>
        <v>32.9</v>
      </c>
      <c r="G1" s="1284">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3177</v>
      </c>
      <c r="C2" s="1287" t="s">
        <v>805</v>
      </c>
      <c r="D2" s="1287"/>
      <c r="E2" s="1293"/>
      <c r="F2" s="1294"/>
      <c r="G2" s="2477"/>
      <c r="H2" s="2467"/>
      <c r="I2" s="2467"/>
      <c r="J2" s="2467"/>
      <c r="K2" s="2468"/>
      <c r="L2" s="2467"/>
      <c r="M2" s="2467"/>
    </row>
    <row r="3" spans="1:37" ht="18" customHeight="1" thickBot="1">
      <c r="A3" s="1295" t="s">
        <v>806</v>
      </c>
      <c r="B3" s="1296">
        <f ca="1">IF(ISERROR(B2*10000/F43),0,ROUND(B2*10000/F43,0))</f>
        <v>6480</v>
      </c>
      <c r="C3" s="1287" t="s">
        <v>807</v>
      </c>
      <c r="D3" s="1287"/>
      <c r="E3" s="1293"/>
      <c r="F3" s="1294"/>
      <c r="G3" s="2477"/>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6">
        <f ca="1">C6+C10+C12</f>
        <v>193</v>
      </c>
      <c r="D5" s="1271" t="s">
        <v>693</v>
      </c>
      <c r="E5" s="1007"/>
      <c r="F5" s="1008"/>
      <c r="G5" s="1290"/>
      <c r="H5" s="291">
        <v>1</v>
      </c>
      <c r="I5" s="292" t="s">
        <v>692</v>
      </c>
      <c r="J5" s="1006">
        <f ca="1">J6+J10+J12</f>
        <v>0</v>
      </c>
      <c r="K5" s="1271" t="s">
        <v>693</v>
      </c>
      <c r="L5" s="1007"/>
      <c r="M5" s="1008"/>
    </row>
    <row r="6" spans="1:37" ht="18" customHeight="1">
      <c r="A6" s="1005" t="s">
        <v>398</v>
      </c>
      <c r="B6" s="3314" t="s">
        <v>694</v>
      </c>
      <c r="C6" s="1010">
        <f ca="1">ROUND(F6*F8*F7*(1-F9)/10000,0)</f>
        <v>193</v>
      </c>
      <c r="D6" s="147" t="s">
        <v>2105</v>
      </c>
      <c r="E6" s="294" t="s">
        <v>696</v>
      </c>
      <c r="F6" s="295">
        <f ca="1">INDIRECT("'数据-取费表'!u"&amp;$G$1)</f>
        <v>1.2</v>
      </c>
      <c r="G6" s="1290"/>
      <c r="H6" s="1005" t="s">
        <v>398</v>
      </c>
      <c r="I6" s="3314" t="s">
        <v>694</v>
      </c>
      <c r="J6" s="293">
        <f ca="1">ROUND(M6*M8*M7*(1-M9)/10000,0)</f>
        <v>0</v>
      </c>
      <c r="K6" s="147" t="s">
        <v>2104</v>
      </c>
      <c r="L6" s="294" t="s">
        <v>696</v>
      </c>
      <c r="M6" s="295">
        <f ca="1">INDIRECT("'数据-取费表'!z"&amp;$G$1)</f>
        <v>0</v>
      </c>
    </row>
    <row r="7" spans="1:37" ht="18" customHeight="1">
      <c r="A7" s="1009"/>
      <c r="B7" s="3315"/>
      <c r="C7" s="1011"/>
      <c r="D7" s="299"/>
      <c r="E7" s="1012" t="s">
        <v>697</v>
      </c>
      <c r="F7" s="295">
        <f ca="1">IF(INDIRECT("'数据-取费表'!ah"&amp;$G$1)="",INDIRECT("'数据-取费表'!k"&amp;$G$1),INDIRECT("'数据-取费表'!ah"&amp;$G$1))</f>
        <v>4902.5</v>
      </c>
      <c r="G7" s="1290"/>
      <c r="H7" s="296"/>
      <c r="I7" s="3315"/>
      <c r="J7" s="298"/>
      <c r="K7" s="299"/>
      <c r="L7" s="294" t="s">
        <v>697</v>
      </c>
      <c r="M7" s="295">
        <f ca="1">F7</f>
        <v>4902.5</v>
      </c>
    </row>
    <row r="8" spans="1:37" ht="18" customHeight="1">
      <c r="A8" s="296"/>
      <c r="B8" s="3315"/>
      <c r="C8" s="298"/>
      <c r="D8" s="299"/>
      <c r="E8" s="294" t="s">
        <v>698</v>
      </c>
      <c r="F8" s="295">
        <f ca="1">INDIRECT("'数据-取费表'!ai"&amp;$G$1)</f>
        <v>365</v>
      </c>
      <c r="G8" s="1290"/>
      <c r="H8" s="296"/>
      <c r="I8" s="3315"/>
      <c r="J8" s="298"/>
      <c r="K8" s="299"/>
      <c r="L8" s="294" t="s">
        <v>698</v>
      </c>
      <c r="M8" s="295">
        <f ca="1">INDIRECT("'数据-取费表'!ai"&amp;$G$1)</f>
        <v>365</v>
      </c>
    </row>
    <row r="9" spans="1:37" ht="18" customHeight="1">
      <c r="A9" s="296"/>
      <c r="B9" s="3316"/>
      <c r="C9" s="298"/>
      <c r="D9" s="299"/>
      <c r="E9" s="294" t="s">
        <v>699</v>
      </c>
      <c r="F9" s="304">
        <f ca="1">INDIRECT("'数据-取费表'!w"&amp;$G$1)</f>
        <v>0.1</v>
      </c>
      <c r="G9" s="1290"/>
      <c r="H9" s="296"/>
      <c r="I9" s="3316"/>
      <c r="J9" s="298"/>
      <c r="K9" s="299"/>
      <c r="L9" s="305" t="s">
        <v>699</v>
      </c>
      <c r="M9" s="306">
        <f ca="1">INDIRECT("'数据-取费表'!ab"&amp;$G$1)</f>
        <v>0</v>
      </c>
    </row>
    <row r="10" spans="1:37" ht="18" customHeight="1">
      <c r="A10" s="1005" t="s">
        <v>402</v>
      </c>
      <c r="B10" s="1272" t="s">
        <v>700</v>
      </c>
      <c r="C10" s="308">
        <f ca="1">ROUND(IF(F10="押一",C6/12*F11,IF(F10="押二",C6/12*2*F11,IF(F10="押三",C6/12*3*F11,C11*F11))),0)</f>
        <v>0</v>
      </c>
      <c r="D10" s="150" t="s">
        <v>2112</v>
      </c>
      <c r="E10" s="305" t="s">
        <v>701</v>
      </c>
      <c r="F10" s="1052" t="s">
        <v>3758</v>
      </c>
      <c r="G10" s="1290"/>
      <c r="H10" s="1005" t="s">
        <v>402</v>
      </c>
      <c r="I10" s="1272" t="s">
        <v>700</v>
      </c>
      <c r="J10" s="293">
        <f ca="1">ROUND(IF(M10="押一",J6/12*M11,IF(M10="押二",J6/12*2*M11,IF(M10="押三",J6/12*3*M11,J11*M11))),0)</f>
        <v>0</v>
      </c>
      <c r="K10" s="150" t="s">
        <v>2112</v>
      </c>
      <c r="L10" s="305" t="s">
        <v>701</v>
      </c>
      <c r="M10" s="1052"/>
    </row>
    <row r="11" spans="1:37" ht="18" customHeight="1">
      <c r="A11" s="300"/>
      <c r="B11" s="1273" t="s">
        <v>679</v>
      </c>
      <c r="C11" s="904"/>
      <c r="D11" s="1274"/>
      <c r="E11" s="305" t="s">
        <v>702</v>
      </c>
      <c r="F11" s="306">
        <f ca="1">'数据-取费表'!B39</f>
        <v>1.4999999999999999E-2</v>
      </c>
      <c r="G11" s="1290"/>
      <c r="H11" s="1013"/>
      <c r="I11" s="1273" t="s">
        <v>679</v>
      </c>
      <c r="J11" s="904"/>
      <c r="K11" s="646"/>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1350</v>
      </c>
      <c r="D13" s="1017" t="s">
        <v>705</v>
      </c>
      <c r="E13" s="1017" t="s">
        <v>706</v>
      </c>
      <c r="F13" s="1018">
        <f ca="1">INDIRECT("'数据-取费表'!y"&amp;$G$1)</f>
        <v>0.8</v>
      </c>
      <c r="G13" s="1290"/>
      <c r="H13" s="1015">
        <v>2</v>
      </c>
      <c r="I13" s="1016" t="s">
        <v>704</v>
      </c>
      <c r="J13" s="1004">
        <f ca="1">ROUND(J14*J15,0)</f>
        <v>0</v>
      </c>
      <c r="K13" s="1023" t="s">
        <v>705</v>
      </c>
      <c r="L13" s="1297"/>
      <c r="M13" s="1298"/>
    </row>
    <row r="14" spans="1:37" ht="18" customHeight="1">
      <c r="A14" s="927" t="s">
        <v>397</v>
      </c>
      <c r="B14" s="294" t="s">
        <v>707</v>
      </c>
      <c r="C14" s="310">
        <f ca="1">INDIRECT("'数据-取费表'!m"&amp;$G$1)+INDIRECT("'数据-取费表'!t"&amp;$G$1)</f>
        <v>1226</v>
      </c>
      <c r="D14" s="1255" t="s">
        <v>708</v>
      </c>
      <c r="E14" s="1253"/>
      <c r="F14" s="311"/>
      <c r="G14" s="1290"/>
      <c r="H14" s="927" t="s">
        <v>398</v>
      </c>
      <c r="I14" s="294" t="s">
        <v>709</v>
      </c>
      <c r="J14" s="21">
        <f ca="1">C29</f>
        <v>1688</v>
      </c>
      <c r="K14" s="12"/>
      <c r="L14" s="758"/>
      <c r="M14" s="759"/>
    </row>
    <row r="15" spans="1:37" s="1302" customFormat="1" ht="18" customHeight="1" thickBot="1">
      <c r="A15" s="927" t="s">
        <v>399</v>
      </c>
      <c r="B15" s="294" t="s">
        <v>710</v>
      </c>
      <c r="C15" s="21">
        <f ca="1">ROUND(C14*F15,0)</f>
        <v>49</v>
      </c>
      <c r="D15" s="312" t="s">
        <v>711</v>
      </c>
      <c r="E15" s="312" t="s">
        <v>712</v>
      </c>
      <c r="F15" s="313">
        <f>'数据-取费表'!B33</f>
        <v>0.04</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5" t="s">
        <v>393</v>
      </c>
      <c r="I16" s="1016" t="s">
        <v>714</v>
      </c>
      <c r="J16" s="302">
        <f ca="1">ROUND(J17+J22+J23+J24,0)</f>
        <v>6</v>
      </c>
      <c r="K16" s="1023" t="s">
        <v>715</v>
      </c>
      <c r="L16" s="1024"/>
      <c r="M16" s="1008"/>
    </row>
    <row r="17" spans="1:37" s="1302" customFormat="1" ht="18" customHeight="1">
      <c r="A17" s="927" t="s">
        <v>681</v>
      </c>
      <c r="B17" s="294" t="s">
        <v>716</v>
      </c>
      <c r="C17" s="21">
        <f ca="1">ROUND(F17*(F43+INDIRECT("'数据-取费表'!S"&amp;$G$1))/10000,0)</f>
        <v>98</v>
      </c>
      <c r="D17" s="294" t="s">
        <v>717</v>
      </c>
      <c r="E17" s="294" t="s">
        <v>718</v>
      </c>
      <c r="F17" s="23">
        <f>'数据-取费表'!B35</f>
        <v>200</v>
      </c>
      <c r="G17" s="1301"/>
      <c r="H17" s="927" t="s">
        <v>398</v>
      </c>
      <c r="I17" s="294" t="s">
        <v>719</v>
      </c>
      <c r="J17" s="2139">
        <f ca="1">ROUND(IF(AND(项目基本情况!B11="自然人",项目基本情况!B10="北京市"),J6*M17/(1+'数据-取费表'!C42),J18+J19+J20),2)</f>
        <v>0.56999999999999995</v>
      </c>
      <c r="K17" s="1255" t="s">
        <v>720</v>
      </c>
      <c r="L17" s="1254" t="s">
        <v>721</v>
      </c>
      <c r="M17" s="2138"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25</v>
      </c>
      <c r="D18" s="294" t="s">
        <v>711</v>
      </c>
      <c r="E18" s="294" t="s">
        <v>712</v>
      </c>
      <c r="F18" s="314">
        <f>'数据-取费表'!B36</f>
        <v>0.02</v>
      </c>
      <c r="G18" s="1301"/>
      <c r="H18" s="927"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1398</v>
      </c>
      <c r="D19" s="123" t="s">
        <v>726</v>
      </c>
      <c r="E19" s="1267"/>
      <c r="F19" s="23"/>
      <c r="G19" s="1290"/>
      <c r="H19" s="927" t="s">
        <v>399</v>
      </c>
      <c r="I19" s="294" t="s">
        <v>727</v>
      </c>
      <c r="J19" s="21">
        <f ca="1">IF(K19="按租金收入计税",ROUND(J6*M19/(1+'数据-取费表'!C42),2),ROUND(C29*M19*0.7,2))</f>
        <v>0</v>
      </c>
      <c r="K19" s="1276" t="s">
        <v>3336</v>
      </c>
      <c r="L19" s="294" t="s">
        <v>712</v>
      </c>
      <c r="M19" s="314">
        <f>IF(K19="按租金收入计税",'数据-取费表'!B51,'数据-取费表'!B50)</f>
        <v>0.12</v>
      </c>
    </row>
    <row r="20" spans="1:37" s="1302" customFormat="1" ht="18" customHeight="1">
      <c r="A20" s="927" t="s">
        <v>402</v>
      </c>
      <c r="B20" s="294" t="s">
        <v>728</v>
      </c>
      <c r="C20" s="21">
        <f ca="1">ROUND(C19*F20,0)</f>
        <v>28</v>
      </c>
      <c r="D20" s="315" t="s">
        <v>729</v>
      </c>
      <c r="E20" s="294" t="s">
        <v>712</v>
      </c>
      <c r="F20" s="314">
        <f>'数据-取费表'!B37</f>
        <v>0.02</v>
      </c>
      <c r="G20" s="1301"/>
      <c r="H20" s="927" t="s">
        <v>680</v>
      </c>
      <c r="I20" s="147" t="s">
        <v>730</v>
      </c>
      <c r="J20" s="22">
        <f ca="1">ROUND(M20*M21/10000,2)</f>
        <v>0.56999999999999995</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0.02</v>
      </c>
      <c r="G21" s="1301"/>
      <c r="H21" s="318"/>
      <c r="I21" s="303"/>
      <c r="J21" s="26"/>
      <c r="K21" s="319"/>
      <c r="L21" s="294" t="s">
        <v>736</v>
      </c>
      <c r="M21" s="295">
        <f ca="1">INDIRECT("'数据-取费表'!r"&amp;$G$1)</f>
        <v>3800.5</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ROUND(J14*M22,2)</f>
        <v>5.0599999999999996</v>
      </c>
      <c r="K22" s="1254" t="s">
        <v>739</v>
      </c>
      <c r="L22" s="294" t="s">
        <v>712</v>
      </c>
      <c r="M22" s="320">
        <f ca="1">INDIRECT("'数据-取费表'!Ak"&amp;$G$1)</f>
        <v>3.0000000000000001E-3</v>
      </c>
    </row>
    <row r="23" spans="1:37" s="1302" customFormat="1" ht="18" customHeight="1">
      <c r="A23" s="927" t="s">
        <v>397</v>
      </c>
      <c r="B23" s="294" t="s">
        <v>740</v>
      </c>
      <c r="C23" s="21">
        <f ca="1">IF('数据-取费表'!B22&lt;=1,ROUND(C19*F24*F23/2,0)+ROUND(C20*F24*F23/2,0),ROUND(C19*(POWER((1+F24),F23/2)-1),0)+ROUND(C20*(POWER((1+F24),F23/2)-1),0))</f>
        <v>37</v>
      </c>
      <c r="D23" s="138" t="str">
        <f>IF(F23&lt;=1,"(建造成本+管理费用)×利率×(建设周期÷2)","(建造成本+管理费用)×((1+利率)^(建设周期÷2)-1)")</f>
        <v>(建造成本+管理费用)×((1+利率)^(建设周期÷2)-1)</v>
      </c>
      <c r="E23" s="294" t="s">
        <v>741</v>
      </c>
      <c r="F23" s="317">
        <f>'数据-取费表'!B20</f>
        <v>1.5</v>
      </c>
      <c r="G23" s="1301"/>
      <c r="H23" s="927" t="s">
        <v>437</v>
      </c>
      <c r="I23" s="294" t="s">
        <v>742</v>
      </c>
      <c r="J23" s="21">
        <f ca="1">ROUND(J13*M23,2)</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1"/>
      <c r="H24" s="1025" t="s">
        <v>684</v>
      </c>
      <c r="I24" s="1026" t="s">
        <v>728</v>
      </c>
      <c r="J24" s="1027">
        <f ca="1">ROUND(J5*M24,2)</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5" t="s">
        <v>394</v>
      </c>
      <c r="I25" s="1030" t="s">
        <v>752</v>
      </c>
      <c r="J25" s="302">
        <f ca="1">J5-J16</f>
        <v>-6</v>
      </c>
      <c r="K25" s="1031" t="s">
        <v>753</v>
      </c>
      <c r="L25" s="1032"/>
      <c r="M25" s="1033"/>
    </row>
    <row r="26" spans="1:37">
      <c r="A26" s="927" t="s">
        <v>397</v>
      </c>
      <c r="B26" s="294" t="s">
        <v>754</v>
      </c>
      <c r="C26" s="21">
        <f ca="1">ROUND((C19+C20)*F26,0)</f>
        <v>100</v>
      </c>
      <c r="D26" s="315" t="s">
        <v>755</v>
      </c>
      <c r="E26" s="305" t="s">
        <v>756</v>
      </c>
      <c r="F26" s="304">
        <f ca="1">INDIRECT("'数据-取费表'!q"&amp;$G$1)</f>
        <v>7.0000000000000007E-2</v>
      </c>
      <c r="G26" s="1290"/>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1.4E-3</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1688</v>
      </c>
      <c r="D29" s="1028"/>
      <c r="E29" s="1026"/>
      <c r="F29" s="1029"/>
      <c r="G29" s="1301"/>
      <c r="H29" s="325" t="s">
        <v>396</v>
      </c>
      <c r="I29" s="326" t="s">
        <v>768</v>
      </c>
      <c r="J29" s="327">
        <f ca="1">ROUND(J26/(1+F40)^F41,0)</f>
        <v>0</v>
      </c>
      <c r="K29" s="328" t="s">
        <v>769</v>
      </c>
      <c r="L29" s="329"/>
      <c r="M29" s="330">
        <f ca="1">INDIRECT("'数据-取费表'!k"&amp;$G$1)</f>
        <v>4902.5</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41</v>
      </c>
      <c r="D30" s="1023" t="s">
        <v>715</v>
      </c>
      <c r="E30" s="1024"/>
      <c r="F30" s="1008"/>
      <c r="G30" s="1290"/>
      <c r="H30" s="2469"/>
      <c r="I30" s="1303"/>
      <c r="J30" s="1304"/>
      <c r="K30" s="121"/>
      <c r="L30" s="2470"/>
      <c r="M30" s="2471"/>
    </row>
    <row r="31" spans="1:37" ht="18" customHeight="1">
      <c r="A31" s="927" t="s">
        <v>398</v>
      </c>
      <c r="B31" s="294" t="s">
        <v>719</v>
      </c>
      <c r="C31" s="2139">
        <f ca="1">ROUND(IF(AND(项目基本情况!B11="自然人",项目基本情况!B10="北京市"),C6*F31/(1+'数据-取费表'!C42),C32+C33+C34),2)</f>
        <v>32.74</v>
      </c>
      <c r="D31" s="1255" t="s">
        <v>720</v>
      </c>
      <c r="E31" s="1254" t="s">
        <v>770</v>
      </c>
      <c r="F31" s="2138" t="str">
        <f>IF(项目基本情况!B11="企业","——",IF(M47="住宅",IF(F6*F7*F8/12/(1+'数据-取费表'!F30)&gt;100000,4%,2.5%),IF(F6*F7*F8/12/(1+'数据-取费表'!F30)&gt;100000,12%,7%)))</f>
        <v>——</v>
      </c>
      <c r="G31" s="1290"/>
      <c r="H31" s="2568" t="s">
        <v>2306</v>
      </c>
      <c r="I31" s="1303"/>
      <c r="J31" s="1304"/>
      <c r="K31" s="121"/>
      <c r="L31" s="2470"/>
      <c r="M31" s="2471"/>
    </row>
    <row r="32" spans="1:37" ht="18" customHeight="1">
      <c r="A32" s="927" t="s">
        <v>397</v>
      </c>
      <c r="B32" s="294" t="s">
        <v>723</v>
      </c>
      <c r="C32" s="21">
        <f ca="1">IF(项目基本情况!B11="自然人","——",ROUND(C6*F32/(1+'数据-取费表'!C42),2))</f>
        <v>10.11</v>
      </c>
      <c r="D32" s="1254" t="s">
        <v>724</v>
      </c>
      <c r="E32" s="294" t="s">
        <v>712</v>
      </c>
      <c r="F32" s="322">
        <f>'数据-取费表'!B41</f>
        <v>5.5000000000000007E-2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22.06</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IF(项目基本情况!B11="自然人","——",ROUND(F34*F35/10000,2))</f>
        <v>0.56999999999999995</v>
      </c>
      <c r="D34" s="316" t="s">
        <v>731</v>
      </c>
      <c r="E34" s="294" t="s">
        <v>732</v>
      </c>
      <c r="F34" s="317">
        <f>'数据-取费表'!B52</f>
        <v>1.5</v>
      </c>
      <c r="G34" s="1290"/>
      <c r="H34" s="2469"/>
      <c r="I34" s="1303"/>
      <c r="J34" s="1304"/>
      <c r="K34" s="2474"/>
      <c r="L34" s="2475"/>
      <c r="M34" s="2475"/>
    </row>
    <row r="35" spans="1:18" ht="18" customHeight="1">
      <c r="A35" s="1039"/>
      <c r="B35" s="1037"/>
      <c r="C35" s="26"/>
      <c r="D35" s="319"/>
      <c r="E35" s="294" t="s">
        <v>736</v>
      </c>
      <c r="F35" s="295">
        <f ca="1">INDIRECT("'数据-取费表'!r"&amp;$G$1)</f>
        <v>3800.5</v>
      </c>
      <c r="G35" s="1290"/>
      <c r="H35" s="2469"/>
      <c r="I35" s="1303"/>
      <c r="J35" s="1304"/>
      <c r="K35" s="2473"/>
      <c r="L35" s="2472"/>
      <c r="M35" s="2472"/>
    </row>
    <row r="36" spans="1:18" ht="18" customHeight="1">
      <c r="A36" s="1038" t="s">
        <v>402</v>
      </c>
      <c r="B36" s="294" t="s">
        <v>738</v>
      </c>
      <c r="C36" s="21">
        <f ca="1">ROUND(C29*F36,2)</f>
        <v>5.0599999999999996</v>
      </c>
      <c r="D36" s="1254" t="s">
        <v>771</v>
      </c>
      <c r="E36" s="294" t="s">
        <v>712</v>
      </c>
      <c r="F36" s="320">
        <f ca="1">INDIRECT("'数据-取费表'!Ak"&amp;$G$1)</f>
        <v>3.0000000000000001E-3</v>
      </c>
      <c r="G36" s="1290"/>
      <c r="H36" s="2472"/>
      <c r="I36" s="1303"/>
      <c r="J36" s="1304"/>
      <c r="K36" s="2329"/>
      <c r="L36" s="2472"/>
      <c r="M36" s="2472"/>
    </row>
    <row r="37" spans="1:18" ht="18" customHeight="1">
      <c r="A37" s="927" t="s">
        <v>437</v>
      </c>
      <c r="B37" s="294" t="s">
        <v>742</v>
      </c>
      <c r="C37" s="21">
        <f ca="1">ROUND(C13*F37,2)</f>
        <v>1.35</v>
      </c>
      <c r="D37" s="1254" t="s">
        <v>743</v>
      </c>
      <c r="E37" s="294" t="s">
        <v>744</v>
      </c>
      <c r="F37" s="321">
        <f ca="1">INDIRECT("'数据-取费表'!Al"&amp;$G$1)</f>
        <v>1E-3</v>
      </c>
      <c r="G37" s="1290"/>
      <c r="H37" s="2472"/>
      <c r="I37" s="1303"/>
      <c r="J37" s="1304"/>
      <c r="K37" s="2329"/>
      <c r="L37" s="2472"/>
      <c r="M37" s="2472"/>
    </row>
    <row r="38" spans="1:18" ht="18" customHeight="1" thickBot="1">
      <c r="A38" s="1025" t="s">
        <v>684</v>
      </c>
      <c r="B38" s="1026" t="s">
        <v>728</v>
      </c>
      <c r="C38" s="1027">
        <f ca="1">ROUND(C5*F38,2)</f>
        <v>1.93</v>
      </c>
      <c r="D38" s="1028" t="s">
        <v>748</v>
      </c>
      <c r="E38" s="1026" t="s">
        <v>744</v>
      </c>
      <c r="F38" s="1022">
        <f ca="1">INDIRECT("'数据-取费表'!Am"&amp;$G$1)</f>
        <v>0.01</v>
      </c>
      <c r="G38" s="1290"/>
      <c r="H38" s="2472"/>
      <c r="I38" s="1303"/>
      <c r="J38" s="1304"/>
      <c r="K38" s="2470"/>
      <c r="L38" s="2472"/>
      <c r="M38" s="2472"/>
    </row>
    <row r="39" spans="1:18" ht="24.6" customHeight="1" thickTop="1">
      <c r="A39" s="1015" t="s">
        <v>394</v>
      </c>
      <c r="B39" s="1030" t="s">
        <v>772</v>
      </c>
      <c r="C39" s="302">
        <f ca="1">C5-C30</f>
        <v>152</v>
      </c>
      <c r="D39" s="1031" t="s">
        <v>773</v>
      </c>
      <c r="E39" s="1032"/>
      <c r="F39" s="1033"/>
      <c r="G39" s="1290"/>
      <c r="H39" s="2472"/>
      <c r="I39" s="1303">
        <f ca="1">C39/C6</f>
        <v>0.78756476683937826</v>
      </c>
      <c r="J39" s="1304"/>
      <c r="K39" s="2470"/>
      <c r="L39" s="2472"/>
      <c r="M39" s="2472"/>
    </row>
    <row r="40" spans="1:18" ht="18" customHeight="1">
      <c r="A40" s="291" t="s">
        <v>395</v>
      </c>
      <c r="B40" s="292" t="s">
        <v>774</v>
      </c>
      <c r="C40" s="293">
        <f ca="1">ROUND(C39*(1-((1+F42)/(1+F40))^F41)/(F40-F42),0)</f>
        <v>3114</v>
      </c>
      <c r="D40" s="316" t="s">
        <v>758</v>
      </c>
      <c r="E40" s="294" t="s">
        <v>759</v>
      </c>
      <c r="F40" s="304">
        <f ca="1">INDIRECT("'数据-取费表'!I"&amp;$G$1)</f>
        <v>0.05</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32.9</v>
      </c>
      <c r="G41" s="1290"/>
      <c r="H41" s="121"/>
      <c r="I41" s="1303"/>
      <c r="J41" s="1304"/>
      <c r="K41" s="2329"/>
      <c r="L41" s="121"/>
      <c r="M41" s="121"/>
    </row>
    <row r="42" spans="1:18" ht="18" customHeight="1">
      <c r="A42" s="300"/>
      <c r="B42" s="301"/>
      <c r="C42" s="302"/>
      <c r="D42" s="319"/>
      <c r="E42" s="294" t="s">
        <v>766</v>
      </c>
      <c r="F42" s="304">
        <f ca="1">INDIRECT("'数据-取费表'!v"&amp;$G$1)</f>
        <v>0.02</v>
      </c>
      <c r="G42" s="1290"/>
      <c r="H42" s="121"/>
      <c r="I42" s="1303"/>
      <c r="J42" s="1304"/>
      <c r="K42" s="2329"/>
      <c r="L42" s="121"/>
      <c r="M42" s="121"/>
    </row>
    <row r="43" spans="1:18" ht="18" customHeight="1" thickBot="1">
      <c r="A43" s="325" t="s">
        <v>396</v>
      </c>
      <c r="B43" s="326" t="s">
        <v>776</v>
      </c>
      <c r="C43" s="327">
        <f ca="1">ROUND(C40*10000/F43,0)</f>
        <v>6352</v>
      </c>
      <c r="D43" s="328" t="s">
        <v>777</v>
      </c>
      <c r="E43" s="329" t="s">
        <v>778</v>
      </c>
      <c r="F43" s="330">
        <f ca="1">INDIRECT("'数据-取费表'!k"&amp;$G$1)</f>
        <v>4902.5</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6" t="s">
        <v>808</v>
      </c>
      <c r="P45" s="1364"/>
      <c r="Q45" s="1364"/>
      <c r="R45" s="1364"/>
    </row>
    <row r="46" spans="1:18" s="1290" customFormat="1" ht="13.8" thickBot="1">
      <c r="A46" s="1309" t="s">
        <v>809</v>
      </c>
      <c r="C46" s="1310">
        <f ca="1">C68-C40</f>
        <v>-3226</v>
      </c>
      <c r="D46" s="1311" t="str">
        <f>C2</f>
        <v>万元</v>
      </c>
      <c r="E46" s="1305"/>
      <c r="F46" s="1305"/>
      <c r="I46" s="1312" t="s">
        <v>810</v>
      </c>
      <c r="J46" s="1313"/>
      <c r="K46" s="1314"/>
      <c r="L46" s="1315">
        <f ca="1">IF(M47="住宅",0,IF(L48&gt;J51,L60,J60))</f>
        <v>63</v>
      </c>
      <c r="O46" s="1316" t="s">
        <v>811</v>
      </c>
      <c r="P46" s="1317" t="s">
        <v>812</v>
      </c>
      <c r="Q46" s="1318" t="s">
        <v>813</v>
      </c>
      <c r="R46" s="1318" t="s">
        <v>814</v>
      </c>
    </row>
    <row r="47" spans="1:18" s="1290" customFormat="1" ht="13.8" thickBot="1">
      <c r="A47" s="891" t="s">
        <v>687</v>
      </c>
      <c r="B47" s="923" t="s">
        <v>688</v>
      </c>
      <c r="C47" s="1053" t="s">
        <v>689</v>
      </c>
      <c r="D47" s="923" t="s">
        <v>690</v>
      </c>
      <c r="E47" s="994" t="s">
        <v>691</v>
      </c>
      <c r="F47" s="995"/>
      <c r="G47" s="681"/>
      <c r="I47" s="1319" t="s">
        <v>815</v>
      </c>
      <c r="J47" s="1320" t="s">
        <v>3748</v>
      </c>
      <c r="K47" s="1321" t="s">
        <v>816</v>
      </c>
      <c r="L47" s="1322">
        <f ca="1">INDIRECT("'数据-取费表'!d"&amp;$G$1)</f>
        <v>50</v>
      </c>
      <c r="M47" s="1286" t="str">
        <f>IF(ISNUMBER(FIND("住宅",C1)),"住宅","非住宅")</f>
        <v>非住宅</v>
      </c>
      <c r="O47" s="1323" t="s">
        <v>403</v>
      </c>
      <c r="P47" s="1324" t="s">
        <v>817</v>
      </c>
      <c r="Q47" s="1325">
        <f ca="1">C40+J29</f>
        <v>3114</v>
      </c>
      <c r="R47" s="1325" t="s">
        <v>818</v>
      </c>
    </row>
    <row r="48" spans="1:18" s="1290" customFormat="1" ht="40.200000000000003" thickBot="1">
      <c r="A48" s="1046" t="s">
        <v>438</v>
      </c>
      <c r="B48" s="292" t="s">
        <v>692</v>
      </c>
      <c r="C48" s="1266">
        <f ca="1">C49+C53+C55</f>
        <v>0</v>
      </c>
      <c r="D48" s="1048"/>
      <c r="E48" s="1049"/>
      <c r="F48" s="907"/>
      <c r="G48" s="681"/>
      <c r="H48" s="682"/>
      <c r="I48" s="1326" t="s">
        <v>819</v>
      </c>
      <c r="J48" s="1327" t="s">
        <v>3759</v>
      </c>
      <c r="K48" s="1328" t="s">
        <v>820</v>
      </c>
      <c r="L48" s="1329">
        <f ca="1">INDIRECT("'数据-取费表'!f"&amp;$G$1)</f>
        <v>32.9</v>
      </c>
      <c r="O48" s="1323" t="s">
        <v>404</v>
      </c>
      <c r="P48" s="1324" t="s">
        <v>821</v>
      </c>
      <c r="Q48" s="1325">
        <f ca="1">J60</f>
        <v>63</v>
      </c>
      <c r="R48" s="1325" t="s">
        <v>822</v>
      </c>
    </row>
    <row r="49" spans="1:18" s="1290" customFormat="1" ht="13.8" thickBot="1">
      <c r="A49" s="920" t="s">
        <v>439</v>
      </c>
      <c r="B49" s="1277" t="s">
        <v>779</v>
      </c>
      <c r="C49" s="1050">
        <f ca="1">ROUND(F49*F51*F50*(1-F52)/10000,0)</f>
        <v>0</v>
      </c>
      <c r="D49" s="991" t="s">
        <v>2104</v>
      </c>
      <c r="E49" s="1278" t="s">
        <v>780</v>
      </c>
      <c r="F49" s="996"/>
      <c r="H49" s="682"/>
      <c r="I49" s="1326" t="s">
        <v>823</v>
      </c>
      <c r="J49" s="1330">
        <f>'数据-取费表'!Q22</f>
        <v>2010</v>
      </c>
      <c r="K49" s="1328" t="s">
        <v>824</v>
      </c>
      <c r="L49" s="1331"/>
      <c r="O49" s="1332" t="s">
        <v>405</v>
      </c>
      <c r="P49" s="1324" t="s">
        <v>825</v>
      </c>
      <c r="Q49" s="1325">
        <f ca="1">C29</f>
        <v>1688</v>
      </c>
      <c r="R49" s="1325" t="s">
        <v>818</v>
      </c>
    </row>
    <row r="50" spans="1:18" s="1290" customFormat="1" ht="13.8" thickBot="1">
      <c r="A50" s="921"/>
      <c r="B50" s="924"/>
      <c r="C50" s="1054"/>
      <c r="D50" s="898"/>
      <c r="E50" s="992" t="s">
        <v>697</v>
      </c>
      <c r="F50" s="993">
        <f ca="1">F7</f>
        <v>4902.5</v>
      </c>
      <c r="H50" s="682"/>
      <c r="I50" s="1326" t="s">
        <v>826</v>
      </c>
      <c r="J50" s="1333">
        <f>SUMPRODUCT((I63:I65=J47)*(J62:L62=J48)*(J63:L65))</f>
        <v>70</v>
      </c>
      <c r="K50" s="1328" t="s">
        <v>827</v>
      </c>
      <c r="L50" s="1331"/>
      <c r="M50" s="1334"/>
      <c r="O50" s="1332" t="s">
        <v>406</v>
      </c>
      <c r="P50" s="1324" t="s">
        <v>828</v>
      </c>
      <c r="Q50" s="1335">
        <f ca="1">J58</f>
        <v>0.4</v>
      </c>
      <c r="R50" s="1325"/>
    </row>
    <row r="51" spans="1:18" s="1290" customFormat="1" ht="13.8" thickBot="1">
      <c r="A51" s="922"/>
      <c r="B51" s="924"/>
      <c r="C51" s="925"/>
      <c r="D51" s="898"/>
      <c r="E51" s="926" t="s">
        <v>698</v>
      </c>
      <c r="F51" s="295">
        <f ca="1">F8</f>
        <v>365</v>
      </c>
      <c r="I51" s="1336" t="s">
        <v>829</v>
      </c>
      <c r="J51" s="1329">
        <f>IF(J49="",J50,J49+J50-YEAR('数据-取费表'!B2))</f>
        <v>56</v>
      </c>
      <c r="K51" s="1337" t="s">
        <v>830</v>
      </c>
      <c r="L51" s="1338">
        <f ca="1">ROUND(-PV(INDIRECT("'数据-取费表'!h"&amp;$G$1),J51,(C39-C13*C76),0),0)</f>
        <v>1169</v>
      </c>
      <c r="M51" s="1339"/>
      <c r="O51" s="1332" t="s">
        <v>407</v>
      </c>
      <c r="P51" s="1324" t="s">
        <v>831</v>
      </c>
      <c r="Q51" s="1335">
        <f>J52</f>
        <v>7.5000000000000011E-2</v>
      </c>
      <c r="R51" s="1325"/>
    </row>
    <row r="52" spans="1:18" s="1290" customFormat="1" ht="13.8" thickBot="1">
      <c r="A52" s="922"/>
      <c r="B52" s="924"/>
      <c r="C52" s="925"/>
      <c r="D52" s="898"/>
      <c r="E52" s="926" t="s">
        <v>699</v>
      </c>
      <c r="F52" s="990"/>
      <c r="I52" s="1340" t="s">
        <v>832</v>
      </c>
      <c r="J52" s="1341">
        <f>'数据-取费表'!J6+0.5%</f>
        <v>7.5000000000000011E-2</v>
      </c>
      <c r="K52" s="1340" t="s">
        <v>833</v>
      </c>
      <c r="L52" s="1341"/>
      <c r="O52" s="1332" t="s">
        <v>408</v>
      </c>
      <c r="P52" s="1324" t="s">
        <v>834</v>
      </c>
      <c r="Q52" s="1325">
        <f ca="1">J53</f>
        <v>32.9</v>
      </c>
      <c r="R52" s="1325" t="s">
        <v>835</v>
      </c>
    </row>
    <row r="53" spans="1:18" s="1290" customFormat="1" ht="36.6" thickBot="1">
      <c r="A53" s="1078" t="s">
        <v>440</v>
      </c>
      <c r="B53" s="1279" t="s">
        <v>700</v>
      </c>
      <c r="C53" s="308">
        <f ca="1">ROUND(IF(F53="押一",C49/12*F11,IF(F53="押二",C49/12*2*F11,IF(F53="押三",C49/12*3*F11,C54*F11))),0)</f>
        <v>0</v>
      </c>
      <c r="D53" s="150" t="s">
        <v>2112</v>
      </c>
      <c r="E53" s="305" t="s">
        <v>701</v>
      </c>
      <c r="F53" s="1052"/>
      <c r="I53" s="1342" t="s">
        <v>836</v>
      </c>
      <c r="J53" s="2005">
        <f ca="1">IF(M47="住宅",IF(D1="——",MAX(J51,L48),MAX(J51,L48-'数据-取费表'!B24)),IF(D1="——",MIN(J51,L48),MIN(J51,L48-'数据-取费表'!B24)))</f>
        <v>32.9</v>
      </c>
      <c r="K53" s="3317" t="s">
        <v>837</v>
      </c>
      <c r="L53" s="3318"/>
      <c r="O53" s="1323" t="s">
        <v>409</v>
      </c>
      <c r="P53" s="1324" t="s">
        <v>838</v>
      </c>
      <c r="Q53" s="1325">
        <f ca="1">Q47+Q48</f>
        <v>3177</v>
      </c>
      <c r="R53" s="1325" t="s">
        <v>410</v>
      </c>
    </row>
    <row r="54" spans="1:18" s="1290" customFormat="1" ht="24.6" thickBot="1">
      <c r="A54" s="1079"/>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9" t="s">
        <v>437</v>
      </c>
      <c r="B55" s="1275" t="s">
        <v>703</v>
      </c>
      <c r="C55" s="1020"/>
      <c r="D55" s="150"/>
      <c r="E55" s="1280"/>
      <c r="F55" s="1343"/>
      <c r="I55" s="1346" t="s">
        <v>840</v>
      </c>
      <c r="J55" s="1347">
        <f ca="1">ROUND(IF(J47="钢混",J57/J50,1-(1-2%)*(J50-J57)/J50),3)</f>
        <v>0.34300000000000003</v>
      </c>
      <c r="K55" s="1348" t="s">
        <v>841</v>
      </c>
      <c r="L55" s="1349"/>
      <c r="O55" s="1316" t="s">
        <v>811</v>
      </c>
      <c r="P55" s="1317" t="s">
        <v>812</v>
      </c>
      <c r="Q55" s="1318" t="s">
        <v>813</v>
      </c>
      <c r="R55" s="1318" t="s">
        <v>814</v>
      </c>
    </row>
    <row r="56" spans="1:18" s="1290" customFormat="1" ht="37.200000000000003" thickTop="1" thickBot="1">
      <c r="A56" s="902">
        <v>2</v>
      </c>
      <c r="B56" s="903" t="s">
        <v>704</v>
      </c>
      <c r="C56" s="224">
        <f ca="1">C13</f>
        <v>1350</v>
      </c>
      <c r="D56" s="1350"/>
      <c r="E56" s="1351"/>
      <c r="F56" s="1343"/>
      <c r="I56" s="1352" t="s">
        <v>842</v>
      </c>
      <c r="J56" s="1353" t="s">
        <v>3389</v>
      </c>
      <c r="K56" s="1326" t="s">
        <v>843</v>
      </c>
      <c r="L56" s="1329" t="str">
        <f ca="1">IF(L48&lt;J51,"——",L48-J53)</f>
        <v>——</v>
      </c>
      <c r="O56" s="1323" t="s">
        <v>403</v>
      </c>
      <c r="P56" s="1324" t="s">
        <v>817</v>
      </c>
      <c r="Q56" s="1325">
        <f ca="1">C40+J29</f>
        <v>3114</v>
      </c>
      <c r="R56" s="1325" t="s">
        <v>818</v>
      </c>
    </row>
    <row r="57" spans="1:18" s="1290" customFormat="1" ht="24.6" thickBot="1">
      <c r="A57" s="1354"/>
      <c r="B57" s="895" t="s">
        <v>767</v>
      </c>
      <c r="C57" s="230">
        <f ca="1">C29</f>
        <v>1688</v>
      </c>
      <c r="D57" s="1355"/>
      <c r="E57" s="1356"/>
      <c r="F57" s="1357"/>
      <c r="I57" s="1358" t="s">
        <v>844</v>
      </c>
      <c r="J57" s="1359">
        <f ca="1">IF(OR(M47="住宅",J51&lt;L48,J56="是"),"——",J51-L48)</f>
        <v>23.1</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3" t="s">
        <v>714</v>
      </c>
      <c r="C58" s="308">
        <f ca="1">ROUND(C59+C64+C65+C66,0)</f>
        <v>7</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8" t="s">
        <v>851</v>
      </c>
      <c r="J59" s="1359">
        <f ca="1">IF(OR(M47="住宅",J51&lt;L48,J56="是"),"——",ROUND(C29*J58,0))</f>
        <v>675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IF(项目基本情况!B11="自然人","——",ROUND(C48*F60/(1+'数据-取费表'!C42),2))</f>
        <v>0</v>
      </c>
      <c r="D60" s="909" t="s">
        <v>724</v>
      </c>
      <c r="E60" s="895" t="s">
        <v>712</v>
      </c>
      <c r="F60" s="322">
        <f t="shared" ref="F60:F66" si="0">F32</f>
        <v>5.5000000000000007E-2</v>
      </c>
      <c r="I60" s="1361" t="s">
        <v>853</v>
      </c>
      <c r="J60" s="1362">
        <f ca="1">IF(OR(M47="住宅",J51&lt;L48,J56="是"),"0",ROUND(J59/(1+J52)^J53,0))</f>
        <v>63</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782</v>
      </c>
      <c r="C61" s="21">
        <f ca="1">IF(项目基本情况!B11="自然人","——",IF(D61="按租金收入计税",ROUND(C49*F61/(1+'数据-取费表'!C42),2),IF(D61="按房产原值计税",ROUND(C57*F61*0.7,2),INDIRECT("'数据-取费表'!Aj"&amp;$G$1))))</f>
        <v>0</v>
      </c>
      <c r="D61" s="1276" t="s">
        <v>3336</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f ca="1">IF(项目基本情况!B11="自然人","——",ROUND(F62*F63/10000,2))</f>
        <v>0.56999999999999995</v>
      </c>
      <c r="D62" s="910" t="s">
        <v>786</v>
      </c>
      <c r="E62" s="895" t="s">
        <v>787</v>
      </c>
      <c r="F62" s="317">
        <f t="shared" si="0"/>
        <v>1.5</v>
      </c>
      <c r="I62" s="1365" t="s">
        <v>858</v>
      </c>
      <c r="J62" s="610" t="s">
        <v>859</v>
      </c>
      <c r="K62" s="610" t="s">
        <v>860</v>
      </c>
      <c r="L62" s="610" t="s">
        <v>861</v>
      </c>
      <c r="M62" s="1366" t="s">
        <v>862</v>
      </c>
      <c r="O62" s="1323" t="s">
        <v>409</v>
      </c>
      <c r="P62" s="1324" t="s">
        <v>863</v>
      </c>
      <c r="Q62" s="1325">
        <f ca="1">Q56+Q57</f>
        <v>3114</v>
      </c>
      <c r="R62" s="1325" t="s">
        <v>410</v>
      </c>
    </row>
    <row r="63" spans="1:18" s="1290" customFormat="1" ht="13.8" thickBot="1">
      <c r="A63" s="318"/>
      <c r="B63" s="901"/>
      <c r="C63" s="26"/>
      <c r="D63" s="911"/>
      <c r="E63" s="895" t="s">
        <v>788</v>
      </c>
      <c r="F63" s="295">
        <f t="shared" ca="1" si="0"/>
        <v>3800.5</v>
      </c>
      <c r="I63" s="1365" t="s">
        <v>864</v>
      </c>
      <c r="J63" s="610">
        <v>70</v>
      </c>
      <c r="K63" s="610">
        <v>50</v>
      </c>
      <c r="L63" s="610">
        <v>80</v>
      </c>
      <c r="M63" s="1367">
        <v>0.02</v>
      </c>
      <c r="O63" s="1308" t="s">
        <v>865</v>
      </c>
      <c r="P63" s="1287"/>
      <c r="Q63" s="1287"/>
      <c r="R63" s="1287"/>
    </row>
    <row r="64" spans="1:18" s="1290" customFormat="1" ht="13.8" thickBot="1">
      <c r="A64" s="927" t="s">
        <v>789</v>
      </c>
      <c r="B64" s="895" t="s">
        <v>790</v>
      </c>
      <c r="C64" s="21">
        <f ca="1">ROUND(C57*F64,2)</f>
        <v>5.0599999999999996</v>
      </c>
      <c r="D64" s="909" t="s">
        <v>791</v>
      </c>
      <c r="E64" s="895" t="s">
        <v>783</v>
      </c>
      <c r="F64" s="320">
        <f t="shared" ca="1" si="0"/>
        <v>3.0000000000000001E-3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7" t="s">
        <v>792</v>
      </c>
      <c r="B65" s="895" t="s">
        <v>742</v>
      </c>
      <c r="C65" s="21">
        <f ca="1">ROUND(C56*F65,2)</f>
        <v>1.35</v>
      </c>
      <c r="D65" s="909" t="s">
        <v>743</v>
      </c>
      <c r="E65" s="895" t="s">
        <v>744</v>
      </c>
      <c r="F65" s="321">
        <f t="shared" ca="1" si="0"/>
        <v>1E-3</v>
      </c>
      <c r="I65" s="1365" t="s">
        <v>867</v>
      </c>
      <c r="J65" s="610">
        <v>40</v>
      </c>
      <c r="K65" s="610">
        <v>30</v>
      </c>
      <c r="L65" s="610">
        <v>50</v>
      </c>
      <c r="M65" s="1367">
        <v>0.02</v>
      </c>
      <c r="O65" s="1323" t="s">
        <v>403</v>
      </c>
      <c r="P65" s="1324" t="s">
        <v>868</v>
      </c>
      <c r="Q65" s="1325">
        <f ca="1">C40+J29</f>
        <v>3114</v>
      </c>
      <c r="R65" s="1325" t="s">
        <v>818</v>
      </c>
    </row>
    <row r="66" spans="1:18" s="1290" customFormat="1" ht="16.2" thickBot="1">
      <c r="A66" s="927" t="s">
        <v>793</v>
      </c>
      <c r="B66" s="895" t="s">
        <v>728</v>
      </c>
      <c r="C66" s="21">
        <f ca="1">ROUND(C48*F66,2)</f>
        <v>0</v>
      </c>
      <c r="D66" s="909" t="s">
        <v>794</v>
      </c>
      <c r="E66" s="895" t="s">
        <v>712</v>
      </c>
      <c r="F66" s="304">
        <f t="shared" ca="1" si="0"/>
        <v>0.01</v>
      </c>
      <c r="O66" s="1323" t="s">
        <v>404</v>
      </c>
      <c r="P66" s="1324" t="s">
        <v>846</v>
      </c>
      <c r="Q66" s="1325">
        <f ca="1">L60</f>
        <v>0</v>
      </c>
      <c r="R66" s="1325" t="s">
        <v>869</v>
      </c>
    </row>
    <row r="67" spans="1:18" s="1290" customFormat="1" ht="24.6" thickBot="1">
      <c r="A67" s="902" t="s">
        <v>394</v>
      </c>
      <c r="B67" s="912" t="s">
        <v>752</v>
      </c>
      <c r="C67" s="308">
        <f ca="1">C48-C58</f>
        <v>-7</v>
      </c>
      <c r="D67" s="908" t="s">
        <v>753</v>
      </c>
      <c r="E67" s="913"/>
      <c r="F67" s="914"/>
      <c r="O67" s="1332" t="s">
        <v>405</v>
      </c>
      <c r="P67" s="1324" t="s">
        <v>850</v>
      </c>
      <c r="Q67" s="1368">
        <f ca="1">L51</f>
        <v>1169</v>
      </c>
      <c r="R67" s="1325" t="s">
        <v>870</v>
      </c>
    </row>
    <row r="68" spans="1:18" s="1290" customFormat="1" ht="16.2" thickBot="1">
      <c r="A68" s="892" t="s">
        <v>395</v>
      </c>
      <c r="B68" s="893" t="s">
        <v>774</v>
      </c>
      <c r="C68" s="293">
        <f ca="1">ROUND(C67*(1-((1+F70)/(1+F68))^F69)/(F68-F70),0)</f>
        <v>-112</v>
      </c>
      <c r="D68" s="910" t="s">
        <v>758</v>
      </c>
      <c r="E68" s="895" t="s">
        <v>759</v>
      </c>
      <c r="F68" s="304">
        <f ca="1">F40</f>
        <v>0.05</v>
      </c>
      <c r="O68" s="1332" t="s">
        <v>406</v>
      </c>
      <c r="P68" s="1369" t="s">
        <v>871</v>
      </c>
      <c r="Q68" s="1325">
        <f ca="1">ROUND(Q69-Q70*Q71,0)</f>
        <v>58</v>
      </c>
      <c r="R68" s="1325" t="s">
        <v>414</v>
      </c>
    </row>
    <row r="69" spans="1:18" s="1290" customFormat="1" ht="13.8" thickBot="1">
      <c r="A69" s="896"/>
      <c r="B69" s="897"/>
      <c r="C69" s="298"/>
      <c r="D69" s="915" t="s">
        <v>762</v>
      </c>
      <c r="E69" s="895" t="s">
        <v>763</v>
      </c>
      <c r="F69" s="324">
        <f ca="1">F41</f>
        <v>32.9</v>
      </c>
      <c r="O69" s="1332" t="s">
        <v>411</v>
      </c>
      <c r="P69" s="1369" t="s">
        <v>872</v>
      </c>
      <c r="Q69" s="1325">
        <f ca="1">C39</f>
        <v>152</v>
      </c>
      <c r="R69" s="1325" t="s">
        <v>818</v>
      </c>
    </row>
    <row r="70" spans="1:18" s="1290" customFormat="1" ht="13.8" thickBot="1">
      <c r="A70" s="899"/>
      <c r="B70" s="900"/>
      <c r="C70" s="302"/>
      <c r="D70" s="911"/>
      <c r="E70" s="895" t="s">
        <v>766</v>
      </c>
      <c r="F70" s="990"/>
      <c r="O70" s="1332" t="s">
        <v>412</v>
      </c>
      <c r="P70" s="1369" t="s">
        <v>873</v>
      </c>
      <c r="Q70" s="1325">
        <f ca="1">C13</f>
        <v>1350</v>
      </c>
      <c r="R70" s="1325" t="s">
        <v>818</v>
      </c>
    </row>
    <row r="71" spans="1:18" s="1290" customFormat="1" ht="13.8" thickBot="1">
      <c r="A71" s="916" t="s">
        <v>396</v>
      </c>
      <c r="B71" s="917" t="s">
        <v>776</v>
      </c>
      <c r="C71" s="327">
        <f ca="1">ROUND(C68*10000/F71,0)</f>
        <v>-228</v>
      </c>
      <c r="D71" s="918" t="s">
        <v>777</v>
      </c>
      <c r="E71" s="919" t="s">
        <v>778</v>
      </c>
      <c r="F71" s="330">
        <f ca="1">F43</f>
        <v>4902.5</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95</v>
      </c>
      <c r="D75" s="1290"/>
      <c r="E75" s="1290"/>
      <c r="F75" s="1290"/>
      <c r="K75" s="1307"/>
      <c r="L75" s="1290"/>
      <c r="O75" s="1323" t="s">
        <v>409</v>
      </c>
      <c r="P75" s="1324" t="s">
        <v>838</v>
      </c>
      <c r="Q75" s="1325">
        <f ca="1">Q65+Q66</f>
        <v>3114</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0.375</v>
      </c>
    </row>
    <row r="80" spans="1:18">
      <c r="B80" s="331" t="s">
        <v>800</v>
      </c>
      <c r="C80" s="266">
        <f ca="1">ROUND(C75/C39,3)</f>
        <v>0.625</v>
      </c>
    </row>
    <row r="81" spans="2:3">
      <c r="B81" s="262" t="s">
        <v>801</v>
      </c>
      <c r="C81" s="230"/>
    </row>
    <row r="82" spans="2:3">
      <c r="B82" s="265" t="s">
        <v>802</v>
      </c>
      <c r="C82" s="267">
        <f ca="1">1-C83</f>
        <v>0.56600000000000006</v>
      </c>
    </row>
    <row r="83" spans="2:3">
      <c r="B83" s="265" t="s">
        <v>803</v>
      </c>
      <c r="C83" s="266">
        <f ca="1">ROUND(C13/C40,3)</f>
        <v>0.434</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估价范围判定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新韩银行：</v>
      </c>
    </row>
    <row r="4" spans="1:1" ht="17.399999999999999">
      <c r="A4" s="1380" t="str">
        <f>"受贵公司委托，我公司对"&amp;项目基本情况!S1&amp;"进行了预评估。"</f>
        <v>受贵公司委托，我公司对北京市房地产抵押价值进行了预评估。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估价对象为北京市房地产，为所有。根据《国有土地使用证》[]，估价对象（分摊）出让国有建设用地使用权面积为15530.82平方米，建筑面积为20034.16平方米。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估价对象为北京市房地产,属开发建设的工业项目，该项目尚在开发建设中。根据《国有土地使用证》[]，估价对象（分摊）出让国有建设用地使用权面积为15530.82平方米，规划建筑面积为20034.16平方米。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2024年6月27日（评估专业人员实地查勘之日）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P94"/>
  <sheetViews>
    <sheetView workbookViewId="0">
      <pane xSplit="5" ySplit="3" topLeftCell="F4" activePane="bottomRight" state="frozen"/>
      <selection activeCell="H36" sqref="H36"/>
      <selection pane="topRight" activeCell="H36" sqref="H36"/>
      <selection pane="bottomLeft" activeCell="H36" sqref="H36"/>
      <selection pane="bottomRight" activeCell="H36" sqref="H36"/>
    </sheetView>
  </sheetViews>
  <sheetFormatPr defaultColWidth="9" defaultRowHeight="14.4"/>
  <cols>
    <col min="1" max="1" width="18.6640625" style="2812" customWidth="1"/>
    <col min="2" max="2" width="10.44140625" style="2812" bestFit="1" customWidth="1"/>
    <col min="3" max="3" width="9" style="2812"/>
    <col min="4" max="4" width="10.44140625" style="2812" customWidth="1"/>
    <col min="5" max="5" width="15.6640625" style="2812" customWidth="1"/>
    <col min="6" max="6" width="14.33203125" style="2812" customWidth="1"/>
    <col min="7" max="7" width="14.77734375" style="2812" customWidth="1"/>
    <col min="8" max="8" width="10.33203125" style="2812" customWidth="1"/>
    <col min="9" max="9" width="12.44140625" style="2812" customWidth="1"/>
    <col min="10" max="10" width="10.44140625" style="2812" bestFit="1" customWidth="1"/>
    <col min="11" max="11" width="9.44140625" style="2812" bestFit="1" customWidth="1"/>
    <col min="12" max="12" width="9" style="2812"/>
    <col min="13" max="13" width="9.88671875" style="2812" customWidth="1"/>
    <col min="14" max="16384" width="9" style="2812"/>
  </cols>
  <sheetData>
    <row r="2" spans="1:15">
      <c r="A2" s="1419"/>
    </row>
    <row r="3" spans="1:15">
      <c r="A3" s="1427" t="s">
        <v>3815</v>
      </c>
      <c r="B3" s="1427" t="s">
        <v>3806</v>
      </c>
      <c r="C3" s="1427" t="s">
        <v>3807</v>
      </c>
      <c r="D3" s="1427" t="s">
        <v>3813</v>
      </c>
      <c r="E3" s="1427" t="s">
        <v>3808</v>
      </c>
      <c r="F3" s="1427" t="s">
        <v>3810</v>
      </c>
      <c r="G3" s="1427" t="s">
        <v>3811</v>
      </c>
      <c r="H3" s="1427" t="s">
        <v>3812</v>
      </c>
      <c r="I3" s="1427" t="s">
        <v>3820</v>
      </c>
      <c r="K3" s="1419" t="s">
        <v>3861</v>
      </c>
      <c r="L3" s="1419" t="s">
        <v>3863</v>
      </c>
      <c r="M3" s="1419"/>
    </row>
    <row r="4" spans="1:15">
      <c r="A4" s="3301" t="s">
        <v>3805</v>
      </c>
      <c r="B4" s="3302">
        <v>2</v>
      </c>
      <c r="C4" s="3302">
        <v>172</v>
      </c>
      <c r="D4" s="3305" t="s">
        <v>3814</v>
      </c>
      <c r="E4" s="3305" t="s">
        <v>3895</v>
      </c>
      <c r="F4" s="3175">
        <v>45017</v>
      </c>
      <c r="G4" s="3175">
        <v>45382</v>
      </c>
      <c r="H4" s="3174">
        <v>2.8</v>
      </c>
      <c r="I4" s="3174">
        <f>H4*365*$C$4</f>
        <v>175783.99999999997</v>
      </c>
    </row>
    <row r="5" spans="1:15">
      <c r="A5" s="3301"/>
      <c r="B5" s="3303"/>
      <c r="C5" s="3303"/>
      <c r="D5" s="3306"/>
      <c r="E5" s="3306"/>
      <c r="F5" s="3175">
        <v>45383</v>
      </c>
      <c r="G5" s="3175">
        <v>45747</v>
      </c>
      <c r="H5" s="3174">
        <v>2.8</v>
      </c>
      <c r="I5" s="3174">
        <f t="shared" ref="I5:I7" si="0">H5*365*$C$4</f>
        <v>175783.99999999997</v>
      </c>
    </row>
    <row r="6" spans="1:15">
      <c r="A6" s="3301"/>
      <c r="B6" s="3303"/>
      <c r="C6" s="3303"/>
      <c r="D6" s="3306"/>
      <c r="E6" s="3306"/>
      <c r="F6" s="3175">
        <v>45748</v>
      </c>
      <c r="G6" s="3175">
        <v>46112</v>
      </c>
      <c r="H6" s="3174">
        <f>ROUND(H5*(1+5%),1)</f>
        <v>2.9</v>
      </c>
      <c r="I6" s="3174">
        <f t="shared" si="0"/>
        <v>182062</v>
      </c>
    </row>
    <row r="7" spans="1:15">
      <c r="A7" s="3301"/>
      <c r="B7" s="3304"/>
      <c r="C7" s="3304"/>
      <c r="D7" s="3307"/>
      <c r="E7" s="3307"/>
      <c r="F7" s="3175">
        <v>46113</v>
      </c>
      <c r="G7" s="3175">
        <v>46477</v>
      </c>
      <c r="H7" s="3174">
        <f>H6</f>
        <v>2.9</v>
      </c>
      <c r="I7" s="3174">
        <f t="shared" si="0"/>
        <v>182062</v>
      </c>
    </row>
    <row r="8" spans="1:15">
      <c r="A8" s="3301"/>
      <c r="B8" s="3174"/>
      <c r="C8" s="3174"/>
      <c r="D8" s="3174"/>
      <c r="E8" s="3174">
        <f>G7-F4</f>
        <v>1460</v>
      </c>
      <c r="F8" s="3175"/>
      <c r="G8" s="3175"/>
      <c r="H8" s="3177">
        <f>I8/C4/E8</f>
        <v>2.85</v>
      </c>
      <c r="I8" s="3177">
        <f>SUM(I4:I7)</f>
        <v>715692</v>
      </c>
      <c r="K8" s="2812">
        <f>H8*C4</f>
        <v>490.2</v>
      </c>
      <c r="L8" s="2812">
        <f>K8*O9</f>
        <v>475.85454306406194</v>
      </c>
      <c r="M8" s="1419" t="s">
        <v>3832</v>
      </c>
      <c r="N8" s="1419" t="s">
        <v>3807</v>
      </c>
      <c r="O8" s="1419" t="s">
        <v>3900</v>
      </c>
    </row>
    <row r="9" spans="1:15">
      <c r="A9" s="3301"/>
      <c r="B9" s="3302">
        <v>2</v>
      </c>
      <c r="C9" s="3302">
        <v>714</v>
      </c>
      <c r="D9" s="3305" t="s">
        <v>3814</v>
      </c>
      <c r="E9" s="3305" t="s">
        <v>3895</v>
      </c>
      <c r="F9" s="3175">
        <v>45017</v>
      </c>
      <c r="G9" s="3175">
        <v>45382</v>
      </c>
      <c r="H9" s="3174">
        <v>2.8</v>
      </c>
      <c r="I9" s="3174">
        <f>H9*365*$C$9</f>
        <v>729707.99999999988</v>
      </c>
      <c r="M9" s="2812">
        <v>912.71</v>
      </c>
      <c r="N9" s="2812">
        <f>C4+C9</f>
        <v>886</v>
      </c>
      <c r="O9" s="3207">
        <f>N9/M9</f>
        <v>0.97073550196667069</v>
      </c>
    </row>
    <row r="10" spans="1:15">
      <c r="A10" s="3301"/>
      <c r="B10" s="3303"/>
      <c r="C10" s="3303"/>
      <c r="D10" s="3306"/>
      <c r="E10" s="3306"/>
      <c r="F10" s="3175">
        <v>45383</v>
      </c>
      <c r="G10" s="3175">
        <v>45747</v>
      </c>
      <c r="H10" s="3174">
        <v>2.8</v>
      </c>
      <c r="I10" s="3174">
        <f t="shared" ref="I10:I12" si="1">H10*365*$C$9</f>
        <v>729707.99999999988</v>
      </c>
    </row>
    <row r="11" spans="1:15">
      <c r="A11" s="3301"/>
      <c r="B11" s="3303"/>
      <c r="C11" s="3303"/>
      <c r="D11" s="3306"/>
      <c r="E11" s="3306"/>
      <c r="F11" s="3175">
        <v>45748</v>
      </c>
      <c r="G11" s="3175">
        <v>46112</v>
      </c>
      <c r="H11" s="3174">
        <f>ROUND(H10*(1+5%),1)</f>
        <v>2.9</v>
      </c>
      <c r="I11" s="3174">
        <f t="shared" si="1"/>
        <v>755769</v>
      </c>
    </row>
    <row r="12" spans="1:15">
      <c r="A12" s="3301"/>
      <c r="B12" s="3304"/>
      <c r="C12" s="3304"/>
      <c r="D12" s="3307"/>
      <c r="E12" s="3307"/>
      <c r="F12" s="3175">
        <v>46113</v>
      </c>
      <c r="G12" s="3175">
        <v>46477</v>
      </c>
      <c r="H12" s="3174">
        <f>H11</f>
        <v>2.9</v>
      </c>
      <c r="I12" s="3174">
        <f t="shared" si="1"/>
        <v>755769</v>
      </c>
    </row>
    <row r="13" spans="1:15">
      <c r="A13" s="3301"/>
      <c r="B13" s="3174"/>
      <c r="C13" s="3174"/>
      <c r="D13" s="3174"/>
      <c r="E13" s="3174">
        <f>G12-F9</f>
        <v>1460</v>
      </c>
      <c r="F13" s="3175"/>
      <c r="G13" s="3175"/>
      <c r="H13" s="3177">
        <f>I13/C9/E13</f>
        <v>2.85</v>
      </c>
      <c r="I13" s="3177">
        <f>SUM(I9:I12)</f>
        <v>2970954</v>
      </c>
      <c r="K13" s="2812">
        <f>H13*C9</f>
        <v>2034.9</v>
      </c>
      <c r="L13" s="2812">
        <f>K13*O9</f>
        <v>1975.3496729519782</v>
      </c>
    </row>
    <row r="14" spans="1:15">
      <c r="A14" s="3301" t="s">
        <v>3818</v>
      </c>
      <c r="B14" s="3302">
        <v>1</v>
      </c>
      <c r="C14" s="3302">
        <v>165</v>
      </c>
      <c r="D14" s="3305" t="s">
        <v>3819</v>
      </c>
      <c r="E14" s="3305" t="s">
        <v>3896</v>
      </c>
      <c r="F14" s="3175">
        <v>43364</v>
      </c>
      <c r="G14" s="3175">
        <v>43728</v>
      </c>
      <c r="H14" s="3174">
        <v>2.2000000000000002</v>
      </c>
      <c r="I14" s="3174">
        <f>H14*365*$C$14</f>
        <v>132495.00000000003</v>
      </c>
    </row>
    <row r="15" spans="1:15">
      <c r="A15" s="3301"/>
      <c r="B15" s="3303"/>
      <c r="C15" s="3303"/>
      <c r="D15" s="3306"/>
      <c r="E15" s="3306"/>
      <c r="F15" s="3175">
        <v>43729</v>
      </c>
      <c r="G15" s="3175">
        <v>44094</v>
      </c>
      <c r="H15" s="3174">
        <v>2.2000000000000002</v>
      </c>
      <c r="I15" s="3174">
        <f>H15*365*$C$14</f>
        <v>132495.00000000003</v>
      </c>
    </row>
    <row r="16" spans="1:15">
      <c r="A16" s="3301"/>
      <c r="B16" s="3303"/>
      <c r="C16" s="3303"/>
      <c r="D16" s="3306"/>
      <c r="E16" s="3306"/>
      <c r="F16" s="3175">
        <v>44095</v>
      </c>
      <c r="G16" s="3175">
        <v>44459</v>
      </c>
      <c r="H16" s="3174">
        <f>2.2+0.1</f>
        <v>2.3000000000000003</v>
      </c>
      <c r="I16" s="3174">
        <f>H16*365*$C$14</f>
        <v>138517.50000000003</v>
      </c>
      <c r="M16" s="1419" t="s">
        <v>3832</v>
      </c>
      <c r="N16" s="1419" t="s">
        <v>3807</v>
      </c>
      <c r="O16" s="1419" t="s">
        <v>3900</v>
      </c>
    </row>
    <row r="17" spans="1:16">
      <c r="A17" s="3301"/>
      <c r="B17" s="3303"/>
      <c r="C17" s="3303"/>
      <c r="D17" s="3306"/>
      <c r="E17" s="3306"/>
      <c r="F17" s="3175">
        <v>44460</v>
      </c>
      <c r="G17" s="3175">
        <v>44824</v>
      </c>
      <c r="H17" s="3174">
        <f>H16</f>
        <v>2.3000000000000003</v>
      </c>
      <c r="I17" s="3174">
        <f>H17*365*$C$14</f>
        <v>138517.50000000003</v>
      </c>
      <c r="M17" s="2812">
        <v>331.39</v>
      </c>
      <c r="N17" s="2812">
        <f>C14</f>
        <v>165</v>
      </c>
      <c r="O17" s="3207">
        <f>N17/M17</f>
        <v>0.49790277316756693</v>
      </c>
      <c r="P17" s="1419" t="s">
        <v>3910</v>
      </c>
    </row>
    <row r="18" spans="1:16">
      <c r="A18" s="3301"/>
      <c r="B18" s="3303"/>
      <c r="C18" s="3303"/>
      <c r="D18" s="3306"/>
      <c r="E18" s="3306"/>
      <c r="F18" s="3175">
        <v>44825</v>
      </c>
      <c r="G18" s="3175">
        <v>45005</v>
      </c>
      <c r="H18" s="3174">
        <f>H16</f>
        <v>2.3000000000000003</v>
      </c>
      <c r="I18" s="3174">
        <f>H18*180*$C$14</f>
        <v>68310.000000000015</v>
      </c>
      <c r="J18" s="2812">
        <f>G18-F18</f>
        <v>180</v>
      </c>
    </row>
    <row r="19" spans="1:16">
      <c r="A19" s="3301"/>
      <c r="B19" s="3303"/>
      <c r="C19" s="3303"/>
      <c r="D19" s="3306"/>
      <c r="E19" s="3306"/>
      <c r="F19" s="3175">
        <v>45006</v>
      </c>
      <c r="G19" s="3175">
        <v>45371</v>
      </c>
      <c r="H19" s="3174">
        <v>2.4</v>
      </c>
      <c r="I19" s="3174">
        <f>H19*365*$C$14</f>
        <v>144540</v>
      </c>
    </row>
    <row r="20" spans="1:16">
      <c r="A20" s="3301"/>
      <c r="B20" s="3303"/>
      <c r="C20" s="3303"/>
      <c r="D20" s="3306"/>
      <c r="E20" s="3306"/>
      <c r="F20" s="3175">
        <v>45372</v>
      </c>
      <c r="G20" s="3175">
        <v>45736</v>
      </c>
      <c r="H20" s="3174">
        <v>2.4</v>
      </c>
      <c r="I20" s="3174">
        <f>H20*365*$C$14</f>
        <v>144540</v>
      </c>
    </row>
    <row r="21" spans="1:16">
      <c r="A21" s="3301"/>
      <c r="B21" s="3303"/>
      <c r="C21" s="3303"/>
      <c r="D21" s="3306"/>
      <c r="E21" s="3306"/>
      <c r="F21" s="3176">
        <v>45737</v>
      </c>
      <c r="G21" s="3176">
        <v>46101</v>
      </c>
      <c r="H21" s="3174">
        <v>2.5</v>
      </c>
      <c r="I21" s="3174">
        <f>H21*365*$C$14</f>
        <v>150562.5</v>
      </c>
    </row>
    <row r="22" spans="1:16">
      <c r="A22" s="3301"/>
      <c r="B22" s="3303"/>
      <c r="C22" s="3303"/>
      <c r="D22" s="3306"/>
      <c r="E22" s="3306"/>
      <c r="F22" s="3176">
        <v>46102</v>
      </c>
      <c r="G22" s="3176">
        <v>46466</v>
      </c>
      <c r="H22" s="3174">
        <v>2.5</v>
      </c>
      <c r="I22" s="3174">
        <f>H22*365*$C$14</f>
        <v>150562.5</v>
      </c>
    </row>
    <row r="23" spans="1:16">
      <c r="A23" s="3301"/>
      <c r="B23" s="3304"/>
      <c r="C23" s="3304"/>
      <c r="D23" s="3307"/>
      <c r="E23" s="3307"/>
      <c r="F23" s="3176">
        <v>46467</v>
      </c>
      <c r="G23" s="3176">
        <v>46650</v>
      </c>
      <c r="H23" s="3174">
        <v>2.6</v>
      </c>
      <c r="I23" s="3174">
        <f>H23*183*$C$14</f>
        <v>78507</v>
      </c>
      <c r="J23" s="2812">
        <f>G23-F23</f>
        <v>183</v>
      </c>
    </row>
    <row r="24" spans="1:16">
      <c r="A24" s="3301"/>
      <c r="B24" s="3174"/>
      <c r="C24" s="3174"/>
      <c r="D24" s="3174"/>
      <c r="E24" s="3174">
        <f>G23-F14</f>
        <v>3286</v>
      </c>
      <c r="F24" s="3176"/>
      <c r="G24" s="3176"/>
      <c r="H24" s="3178">
        <f>I24/C14/E24</f>
        <v>2.3590383444917835</v>
      </c>
      <c r="I24" s="3177">
        <f>SUM(I14:I23)</f>
        <v>1279047</v>
      </c>
      <c r="K24" s="2812">
        <f>H24*C14</f>
        <v>389.24132684114426</v>
      </c>
      <c r="L24" s="2812">
        <f>K24</f>
        <v>389.24132684114426</v>
      </c>
    </row>
    <row r="25" spans="1:16">
      <c r="A25" s="3301"/>
      <c r="B25" s="3302">
        <v>2</v>
      </c>
      <c r="C25" s="3302">
        <v>210</v>
      </c>
      <c r="D25" s="3305" t="s">
        <v>3819</v>
      </c>
      <c r="E25" s="3305" t="s">
        <v>3879</v>
      </c>
      <c r="F25" s="3176">
        <v>44276</v>
      </c>
      <c r="G25" s="3176">
        <v>44640</v>
      </c>
      <c r="H25" s="3174">
        <v>2.2999999999999998</v>
      </c>
      <c r="I25" s="3174">
        <f>H25*365*$C$25</f>
        <v>176294.99999999997</v>
      </c>
    </row>
    <row r="26" spans="1:16">
      <c r="A26" s="3301"/>
      <c r="B26" s="3303"/>
      <c r="C26" s="3303"/>
      <c r="D26" s="3306"/>
      <c r="E26" s="3306"/>
      <c r="F26" s="3176">
        <v>44641</v>
      </c>
      <c r="G26" s="3176">
        <v>45005</v>
      </c>
      <c r="H26" s="3174">
        <v>2.2999999999999998</v>
      </c>
      <c r="I26" s="3174">
        <f t="shared" ref="I26:I30" si="2">H26*365*$C$25</f>
        <v>176294.99999999997</v>
      </c>
      <c r="M26" s="1419" t="s">
        <v>3898</v>
      </c>
      <c r="N26" s="1419" t="s">
        <v>3899</v>
      </c>
      <c r="O26" s="1419" t="s">
        <v>3900</v>
      </c>
    </row>
    <row r="27" spans="1:16">
      <c r="A27" s="3301"/>
      <c r="B27" s="3303"/>
      <c r="C27" s="3303"/>
      <c r="D27" s="3306"/>
      <c r="E27" s="3306"/>
      <c r="F27" s="3176">
        <v>45006</v>
      </c>
      <c r="G27" s="3176">
        <v>45371</v>
      </c>
      <c r="H27" s="3174">
        <v>2.4</v>
      </c>
      <c r="I27" s="3174">
        <f t="shared" si="2"/>
        <v>183960</v>
      </c>
      <c r="M27" s="2812">
        <v>335</v>
      </c>
      <c r="N27" s="2812">
        <v>277</v>
      </c>
      <c r="O27" s="3207">
        <f>N27/M27</f>
        <v>0.82686567164179103</v>
      </c>
      <c r="P27" s="3204">
        <f>H24*0.83</f>
        <v>1.9580018259281802</v>
      </c>
    </row>
    <row r="28" spans="1:16">
      <c r="A28" s="3301"/>
      <c r="B28" s="3303"/>
      <c r="C28" s="3303"/>
      <c r="D28" s="3306"/>
      <c r="E28" s="3306"/>
      <c r="F28" s="3176">
        <v>45372</v>
      </c>
      <c r="G28" s="3176">
        <v>45736</v>
      </c>
      <c r="H28" s="3174">
        <v>2.4</v>
      </c>
      <c r="I28" s="3174">
        <f t="shared" si="2"/>
        <v>183960</v>
      </c>
    </row>
    <row r="29" spans="1:16">
      <c r="A29" s="3301"/>
      <c r="B29" s="3303"/>
      <c r="C29" s="3303"/>
      <c r="D29" s="3306"/>
      <c r="E29" s="3306"/>
      <c r="F29" s="3176">
        <v>45737</v>
      </c>
      <c r="G29" s="3176">
        <v>46101</v>
      </c>
      <c r="H29" s="3174">
        <v>2.5</v>
      </c>
      <c r="I29" s="3174">
        <f t="shared" si="2"/>
        <v>191625</v>
      </c>
    </row>
    <row r="30" spans="1:16">
      <c r="A30" s="3301"/>
      <c r="B30" s="3303"/>
      <c r="C30" s="3303"/>
      <c r="D30" s="3306"/>
      <c r="E30" s="3306"/>
      <c r="F30" s="3176">
        <v>46102</v>
      </c>
      <c r="G30" s="3176">
        <v>46466</v>
      </c>
      <c r="H30" s="3174">
        <v>2.5</v>
      </c>
      <c r="I30" s="3174">
        <f t="shared" si="2"/>
        <v>191625</v>
      </c>
    </row>
    <row r="31" spans="1:16">
      <c r="A31" s="3301"/>
      <c r="B31" s="3304"/>
      <c r="C31" s="3304"/>
      <c r="D31" s="3307"/>
      <c r="E31" s="3307"/>
      <c r="F31" s="3176">
        <v>46467</v>
      </c>
      <c r="G31" s="3175">
        <v>46650</v>
      </c>
      <c r="H31" s="3174">
        <v>2.6</v>
      </c>
      <c r="I31" s="3174">
        <f>H31*183*$C$25</f>
        <v>99918</v>
      </c>
      <c r="J31" s="2812">
        <f>G31-F31</f>
        <v>183</v>
      </c>
    </row>
    <row r="32" spans="1:16">
      <c r="A32" s="3301"/>
      <c r="B32" s="3174"/>
      <c r="C32" s="3174"/>
      <c r="D32" s="3174"/>
      <c r="E32" s="3174">
        <f>G31-F25</f>
        <v>2374</v>
      </c>
      <c r="F32" s="3176"/>
      <c r="G32" s="3175"/>
      <c r="H32" s="3178">
        <f>I32/C25/E32</f>
        <v>2.4144060657118787</v>
      </c>
      <c r="I32" s="3177">
        <f>SUM(I25:I31)</f>
        <v>1203678</v>
      </c>
      <c r="K32" s="2812">
        <f>H32*C25</f>
        <v>507.02527379949453</v>
      </c>
      <c r="L32" s="2812">
        <f>K32*O27</f>
        <v>419.24179355958205</v>
      </c>
    </row>
    <row r="33" spans="1:14">
      <c r="A33" s="3301"/>
      <c r="B33" s="3302">
        <v>2</v>
      </c>
      <c r="C33" s="3302">
        <v>67</v>
      </c>
      <c r="D33" s="3305" t="s">
        <v>3819</v>
      </c>
      <c r="E33" s="3305" t="s">
        <v>3809</v>
      </c>
      <c r="F33" s="3176">
        <v>44276</v>
      </c>
      <c r="G33" s="3176">
        <v>44640</v>
      </c>
      <c r="H33" s="3174">
        <v>1.1499999999999999</v>
      </c>
      <c r="I33" s="3174">
        <f>H33*365*$C$33</f>
        <v>28123.249999999996</v>
      </c>
    </row>
    <row r="34" spans="1:14">
      <c r="A34" s="3301"/>
      <c r="B34" s="3303"/>
      <c r="C34" s="3303"/>
      <c r="D34" s="3306"/>
      <c r="E34" s="3306"/>
      <c r="F34" s="3176">
        <v>44641</v>
      </c>
      <c r="G34" s="3176">
        <v>45005</v>
      </c>
      <c r="H34" s="3174">
        <v>1.1499999999999999</v>
      </c>
      <c r="I34" s="3174">
        <f t="shared" ref="I34:I39" si="3">H34*365*$C$33</f>
        <v>28123.249999999996</v>
      </c>
    </row>
    <row r="35" spans="1:14">
      <c r="A35" s="3301"/>
      <c r="B35" s="3303"/>
      <c r="C35" s="3303"/>
      <c r="D35" s="3306"/>
      <c r="E35" s="3306"/>
      <c r="F35" s="3176">
        <v>45006</v>
      </c>
      <c r="G35" s="3176">
        <v>45371</v>
      </c>
      <c r="H35" s="3174">
        <v>1.1499999999999999</v>
      </c>
      <c r="I35" s="3174">
        <f t="shared" si="3"/>
        <v>28123.249999999996</v>
      </c>
    </row>
    <row r="36" spans="1:14">
      <c r="A36" s="3301"/>
      <c r="B36" s="3303"/>
      <c r="C36" s="3303"/>
      <c r="D36" s="3306"/>
      <c r="E36" s="3306"/>
      <c r="F36" s="3176">
        <v>45372</v>
      </c>
      <c r="G36" s="3176">
        <v>45736</v>
      </c>
      <c r="H36" s="3174">
        <v>1.1499999999999999</v>
      </c>
      <c r="I36" s="3174">
        <f t="shared" si="3"/>
        <v>28123.249999999996</v>
      </c>
    </row>
    <row r="37" spans="1:14">
      <c r="A37" s="3301"/>
      <c r="B37" s="3303"/>
      <c r="C37" s="3303"/>
      <c r="D37" s="3306"/>
      <c r="E37" s="3306"/>
      <c r="F37" s="3176">
        <v>45737</v>
      </c>
      <c r="G37" s="3176">
        <v>46101</v>
      </c>
      <c r="H37" s="3174">
        <v>1.1499999999999999</v>
      </c>
      <c r="I37" s="3174">
        <f t="shared" si="3"/>
        <v>28123.249999999996</v>
      </c>
    </row>
    <row r="38" spans="1:14">
      <c r="A38" s="3301"/>
      <c r="B38" s="3303"/>
      <c r="C38" s="3303"/>
      <c r="D38" s="3306"/>
      <c r="E38" s="3306"/>
      <c r="F38" s="3176">
        <v>46102</v>
      </c>
      <c r="G38" s="3176">
        <v>46466</v>
      </c>
      <c r="H38" s="3174">
        <v>1.1499999999999999</v>
      </c>
      <c r="I38" s="3174">
        <f t="shared" si="3"/>
        <v>28123.249999999996</v>
      </c>
    </row>
    <row r="39" spans="1:14">
      <c r="A39" s="3301"/>
      <c r="B39" s="3304"/>
      <c r="C39" s="3304"/>
      <c r="D39" s="3307"/>
      <c r="E39" s="3307"/>
      <c r="F39" s="3176">
        <v>46467</v>
      </c>
      <c r="G39" s="3175">
        <v>46650</v>
      </c>
      <c r="H39" s="3174">
        <v>1.1499999999999999</v>
      </c>
      <c r="I39" s="3174">
        <f t="shared" si="3"/>
        <v>28123.249999999996</v>
      </c>
    </row>
    <row r="40" spans="1:14">
      <c r="A40" s="3301"/>
      <c r="B40" s="3174"/>
      <c r="C40" s="3174"/>
      <c r="D40" s="3174"/>
      <c r="E40" s="3174">
        <f>G39-F33</f>
        <v>2374</v>
      </c>
      <c r="F40" s="3174"/>
      <c r="G40" s="3174"/>
      <c r="H40" s="3178">
        <f>I40/C33/E40</f>
        <v>1.2376790227464194</v>
      </c>
      <c r="I40" s="3177">
        <f>SUM(I33:I39)</f>
        <v>196862.74999999997</v>
      </c>
      <c r="K40" s="2812">
        <f>H40*C33</f>
        <v>82.9244945240101</v>
      </c>
      <c r="L40" s="2812">
        <f>K40*O27</f>
        <v>68.567417860151636</v>
      </c>
      <c r="N40" s="1419"/>
    </row>
    <row r="41" spans="1:14" s="3182" customFormat="1">
      <c r="A41" s="3311" t="s">
        <v>3822</v>
      </c>
      <c r="B41" s="3308">
        <v>2</v>
      </c>
      <c r="C41" s="3308">
        <v>3950</v>
      </c>
      <c r="D41" s="3179" t="s">
        <v>3819</v>
      </c>
      <c r="E41" s="3179" t="s">
        <v>3823</v>
      </c>
      <c r="F41" s="3180">
        <v>42309</v>
      </c>
      <c r="G41" s="3180">
        <v>42998</v>
      </c>
      <c r="H41" s="3181">
        <v>0.75</v>
      </c>
      <c r="I41" s="3181">
        <f>H41*J41*$C$41</f>
        <v>2041162.5</v>
      </c>
      <c r="J41" s="3182">
        <f>G41-F41</f>
        <v>689</v>
      </c>
    </row>
    <row r="42" spans="1:14" s="3182" customFormat="1">
      <c r="A42" s="3312"/>
      <c r="B42" s="3309"/>
      <c r="C42" s="3309"/>
      <c r="D42" s="3179" t="s">
        <v>3824</v>
      </c>
      <c r="E42" s="3181">
        <f>G42-F42</f>
        <v>729</v>
      </c>
      <c r="F42" s="3180">
        <v>42999</v>
      </c>
      <c r="G42" s="3180">
        <v>43728</v>
      </c>
      <c r="H42" s="3181">
        <v>0.8</v>
      </c>
      <c r="I42" s="3181">
        <f t="shared" ref="I42:I47" si="4">H42*E42*$C$41</f>
        <v>2303640</v>
      </c>
      <c r="M42" s="3198"/>
    </row>
    <row r="43" spans="1:14" s="3182" customFormat="1">
      <c r="A43" s="3312"/>
      <c r="B43" s="3309"/>
      <c r="C43" s="3309"/>
      <c r="D43" s="3179" t="s">
        <v>3825</v>
      </c>
      <c r="E43" s="3181">
        <f>G43-F43</f>
        <v>730</v>
      </c>
      <c r="F43" s="3180">
        <v>43729</v>
      </c>
      <c r="G43" s="3180">
        <v>44459</v>
      </c>
      <c r="H43" s="3181">
        <v>0.85</v>
      </c>
      <c r="I43" s="3181">
        <f t="shared" si="4"/>
        <v>2450975</v>
      </c>
    </row>
    <row r="44" spans="1:14" s="3182" customFormat="1">
      <c r="A44" s="3312"/>
      <c r="B44" s="3309"/>
      <c r="C44" s="3309"/>
      <c r="D44" s="3179" t="s">
        <v>3826</v>
      </c>
      <c r="E44" s="3181">
        <f>G44-F44</f>
        <v>729</v>
      </c>
      <c r="F44" s="3180">
        <v>44460</v>
      </c>
      <c r="G44" s="3180">
        <v>45189</v>
      </c>
      <c r="H44" s="3181">
        <v>0.91</v>
      </c>
      <c r="I44" s="3181">
        <f t="shared" si="4"/>
        <v>2620390.5</v>
      </c>
    </row>
    <row r="45" spans="1:14" s="3182" customFormat="1">
      <c r="A45" s="3312"/>
      <c r="B45" s="3309"/>
      <c r="C45" s="3309"/>
      <c r="D45" s="3179" t="s">
        <v>3827</v>
      </c>
      <c r="E45" s="3181">
        <f t="shared" ref="E45:E47" si="5">G45-F45</f>
        <v>730</v>
      </c>
      <c r="F45" s="3180">
        <v>45190</v>
      </c>
      <c r="G45" s="3180">
        <v>45920</v>
      </c>
      <c r="H45" s="3181">
        <v>0.98</v>
      </c>
      <c r="I45" s="3181">
        <f t="shared" si="4"/>
        <v>2825830</v>
      </c>
      <c r="M45" s="3198"/>
    </row>
    <row r="46" spans="1:14" s="3182" customFormat="1">
      <c r="A46" s="3312"/>
      <c r="B46" s="3309"/>
      <c r="C46" s="3309"/>
      <c r="D46" s="3179" t="s">
        <v>3828</v>
      </c>
      <c r="E46" s="3181">
        <f t="shared" si="5"/>
        <v>729</v>
      </c>
      <c r="F46" s="3180">
        <v>45921</v>
      </c>
      <c r="G46" s="3180">
        <v>46650</v>
      </c>
      <c r="H46" s="3181">
        <v>1.06</v>
      </c>
      <c r="I46" s="3181">
        <f t="shared" si="4"/>
        <v>3052323</v>
      </c>
    </row>
    <row r="47" spans="1:14" s="3182" customFormat="1">
      <c r="A47" s="3312"/>
      <c r="B47" s="3310"/>
      <c r="C47" s="3310"/>
      <c r="D47" s="3179" t="s">
        <v>3829</v>
      </c>
      <c r="E47" s="3181">
        <f t="shared" si="5"/>
        <v>1095</v>
      </c>
      <c r="F47" s="3180">
        <v>46651</v>
      </c>
      <c r="G47" s="3180">
        <v>47746</v>
      </c>
      <c r="H47" s="3181">
        <v>1.1499999999999999</v>
      </c>
      <c r="I47" s="3181">
        <f t="shared" si="4"/>
        <v>4974037.5</v>
      </c>
    </row>
    <row r="48" spans="1:14" s="3182" customFormat="1">
      <c r="A48" s="3312"/>
      <c r="B48" s="3181"/>
      <c r="C48" s="3181"/>
      <c r="D48" s="3179"/>
      <c r="E48" s="3181">
        <f>G47-F41</f>
        <v>5437</v>
      </c>
      <c r="F48" s="3181"/>
      <c r="G48" s="3181"/>
      <c r="H48" s="3184">
        <f>I48/C41/E48</f>
        <v>0.94376126540371519</v>
      </c>
      <c r="I48" s="3183">
        <f>SUM(I41:I47)</f>
        <v>20268358.5</v>
      </c>
    </row>
    <row r="49" spans="1:9" s="3182" customFormat="1">
      <c r="A49" s="3312"/>
      <c r="B49" s="3308">
        <v>1</v>
      </c>
      <c r="C49" s="3308">
        <v>3950</v>
      </c>
      <c r="D49" s="3311" t="s">
        <v>3830</v>
      </c>
      <c r="E49" s="3311" t="s">
        <v>3897</v>
      </c>
      <c r="F49" s="3180">
        <v>42074</v>
      </c>
      <c r="G49" s="3180">
        <v>42439</v>
      </c>
      <c r="H49" s="3181">
        <v>0.85</v>
      </c>
      <c r="I49" s="3181">
        <f>H49*365*$C$49</f>
        <v>1225487.5</v>
      </c>
    </row>
    <row r="50" spans="1:9" s="3182" customFormat="1">
      <c r="A50" s="3312"/>
      <c r="B50" s="3309"/>
      <c r="C50" s="3309"/>
      <c r="D50" s="3312"/>
      <c r="E50" s="3312"/>
      <c r="F50" s="3180">
        <v>42440</v>
      </c>
      <c r="G50" s="3180">
        <v>42804</v>
      </c>
      <c r="H50" s="3181">
        <v>0.85</v>
      </c>
      <c r="I50" s="3181">
        <f t="shared" ref="I50:I58" si="6">H50*365*$C$49</f>
        <v>1225487.5</v>
      </c>
    </row>
    <row r="51" spans="1:9" s="3182" customFormat="1">
      <c r="A51" s="3312"/>
      <c r="B51" s="3309"/>
      <c r="C51" s="3309"/>
      <c r="D51" s="3312"/>
      <c r="E51" s="3312"/>
      <c r="F51" s="3180">
        <v>42805</v>
      </c>
      <c r="G51" s="3180">
        <v>43169</v>
      </c>
      <c r="H51" s="3181">
        <f>ROUND(H49*(1+5%),2)</f>
        <v>0.89</v>
      </c>
      <c r="I51" s="3181">
        <f t="shared" si="6"/>
        <v>1283157.5</v>
      </c>
    </row>
    <row r="52" spans="1:9" s="3182" customFormat="1">
      <c r="A52" s="3312"/>
      <c r="B52" s="3309"/>
      <c r="C52" s="3309"/>
      <c r="D52" s="3312"/>
      <c r="E52" s="3312"/>
      <c r="F52" s="3180">
        <v>43170</v>
      </c>
      <c r="G52" s="3180">
        <v>43534</v>
      </c>
      <c r="H52" s="3181">
        <f>H51</f>
        <v>0.89</v>
      </c>
      <c r="I52" s="3181">
        <f t="shared" si="6"/>
        <v>1283157.5</v>
      </c>
    </row>
    <row r="53" spans="1:9" s="3182" customFormat="1">
      <c r="A53" s="3312"/>
      <c r="B53" s="3309"/>
      <c r="C53" s="3309"/>
      <c r="D53" s="3312"/>
      <c r="E53" s="3312"/>
      <c r="F53" s="3180">
        <v>43535</v>
      </c>
      <c r="G53" s="3180">
        <v>43900</v>
      </c>
      <c r="H53" s="3181">
        <f>ROUND(H51*(1+5%),2)</f>
        <v>0.93</v>
      </c>
      <c r="I53" s="3181">
        <f t="shared" si="6"/>
        <v>1340827.5000000002</v>
      </c>
    </row>
    <row r="54" spans="1:9" s="3182" customFormat="1">
      <c r="A54" s="3312"/>
      <c r="B54" s="3309"/>
      <c r="C54" s="3309"/>
      <c r="D54" s="3312"/>
      <c r="E54" s="3312"/>
      <c r="F54" s="3180">
        <v>43901</v>
      </c>
      <c r="G54" s="3180">
        <v>44265</v>
      </c>
      <c r="H54" s="3181">
        <f>H53</f>
        <v>0.93</v>
      </c>
      <c r="I54" s="3181">
        <f t="shared" si="6"/>
        <v>1340827.5000000002</v>
      </c>
    </row>
    <row r="55" spans="1:9" s="3182" customFormat="1">
      <c r="A55" s="3312"/>
      <c r="B55" s="3309"/>
      <c r="C55" s="3309"/>
      <c r="D55" s="3312"/>
      <c r="E55" s="3312"/>
      <c r="F55" s="3180">
        <v>44266</v>
      </c>
      <c r="G55" s="3180">
        <v>44630</v>
      </c>
      <c r="H55" s="3181">
        <f>ROUND(H53*(1+5%),2)</f>
        <v>0.98</v>
      </c>
      <c r="I55" s="3181">
        <f t="shared" si="6"/>
        <v>1412915</v>
      </c>
    </row>
    <row r="56" spans="1:9" s="3182" customFormat="1">
      <c r="A56" s="3312"/>
      <c r="B56" s="3309"/>
      <c r="C56" s="3309"/>
      <c r="D56" s="3312"/>
      <c r="E56" s="3312"/>
      <c r="F56" s="3180">
        <v>44631</v>
      </c>
      <c r="G56" s="3180">
        <v>44995</v>
      </c>
      <c r="H56" s="3181">
        <f>H55</f>
        <v>0.98</v>
      </c>
      <c r="I56" s="3181">
        <f t="shared" si="6"/>
        <v>1412915</v>
      </c>
    </row>
    <row r="57" spans="1:9" s="3182" customFormat="1">
      <c r="A57" s="3312"/>
      <c r="B57" s="3309"/>
      <c r="C57" s="3309"/>
      <c r="D57" s="3312"/>
      <c r="E57" s="3312"/>
      <c r="F57" s="3180">
        <v>44996</v>
      </c>
      <c r="G57" s="3180">
        <v>45361</v>
      </c>
      <c r="H57" s="3181">
        <f>ROUND(H55*(1+5%),2)</f>
        <v>1.03</v>
      </c>
      <c r="I57" s="3181">
        <f t="shared" si="6"/>
        <v>1485002.5</v>
      </c>
    </row>
    <row r="58" spans="1:9" s="3182" customFormat="1">
      <c r="A58" s="3313"/>
      <c r="B58" s="3310"/>
      <c r="C58" s="3310"/>
      <c r="D58" s="3313"/>
      <c r="E58" s="3313"/>
      <c r="F58" s="3180">
        <v>45362</v>
      </c>
      <c r="G58" s="3180">
        <v>45726</v>
      </c>
      <c r="H58" s="3181">
        <f>H57</f>
        <v>1.03</v>
      </c>
      <c r="I58" s="3181">
        <f t="shared" si="6"/>
        <v>1485002.5</v>
      </c>
    </row>
    <row r="59" spans="1:9" s="3182" customFormat="1">
      <c r="A59" s="3181"/>
      <c r="B59" s="3181"/>
      <c r="C59" s="3181"/>
      <c r="D59" s="3181"/>
      <c r="E59" s="3181">
        <f>G58-F49</f>
        <v>3652</v>
      </c>
      <c r="F59" s="3181"/>
      <c r="G59" s="3181"/>
      <c r="H59" s="3184">
        <f>I59/C49/E59</f>
        <v>0.93548740416210296</v>
      </c>
      <c r="I59" s="3183">
        <f>SUM(I49:I58)</f>
        <v>13494780</v>
      </c>
    </row>
    <row r="60" spans="1:9">
      <c r="A60" s="3305" t="s">
        <v>3816</v>
      </c>
      <c r="B60" s="3302">
        <v>3</v>
      </c>
      <c r="C60" s="3302">
        <v>900</v>
      </c>
      <c r="D60" s="3305" t="s">
        <v>3830</v>
      </c>
      <c r="E60" s="3305" t="s">
        <v>3880</v>
      </c>
      <c r="F60" s="3175">
        <v>42074</v>
      </c>
      <c r="G60" s="3175">
        <v>42439</v>
      </c>
      <c r="H60" s="3174">
        <v>1.6</v>
      </c>
      <c r="I60" s="3174">
        <f>H60*365*$C$60</f>
        <v>525600</v>
      </c>
    </row>
    <row r="61" spans="1:9">
      <c r="A61" s="3306"/>
      <c r="B61" s="3303"/>
      <c r="C61" s="3303"/>
      <c r="D61" s="3306"/>
      <c r="E61" s="3306"/>
      <c r="F61" s="3175">
        <v>42440</v>
      </c>
      <c r="G61" s="3175">
        <v>42804</v>
      </c>
      <c r="H61" s="3174">
        <v>1.6</v>
      </c>
      <c r="I61" s="3174">
        <f t="shared" ref="I61:I69" si="7">H61*365*$C$60</f>
        <v>525600</v>
      </c>
    </row>
    <row r="62" spans="1:9">
      <c r="A62" s="3306"/>
      <c r="B62" s="3303"/>
      <c r="C62" s="3303"/>
      <c r="D62" s="3306"/>
      <c r="E62" s="3306"/>
      <c r="F62" s="3175">
        <v>42805</v>
      </c>
      <c r="G62" s="3175">
        <v>43169</v>
      </c>
      <c r="H62" s="3174">
        <f>ROUND(H60*(1+5%),2)</f>
        <v>1.68</v>
      </c>
      <c r="I62" s="3174">
        <f t="shared" si="7"/>
        <v>551879.99999999988</v>
      </c>
    </row>
    <row r="63" spans="1:9">
      <c r="A63" s="3306"/>
      <c r="B63" s="3303"/>
      <c r="C63" s="3303"/>
      <c r="D63" s="3306"/>
      <c r="E63" s="3306"/>
      <c r="F63" s="3175">
        <v>43170</v>
      </c>
      <c r="G63" s="3175">
        <v>43534</v>
      </c>
      <c r="H63" s="3174">
        <f>H62</f>
        <v>1.68</v>
      </c>
      <c r="I63" s="3174">
        <f t="shared" si="7"/>
        <v>551879.99999999988</v>
      </c>
    </row>
    <row r="64" spans="1:9">
      <c r="A64" s="3306"/>
      <c r="B64" s="3303"/>
      <c r="C64" s="3303"/>
      <c r="D64" s="3306"/>
      <c r="E64" s="3306"/>
      <c r="F64" s="3175">
        <v>43535</v>
      </c>
      <c r="G64" s="3175">
        <v>43900</v>
      </c>
      <c r="H64" s="3174">
        <f>ROUND(H62*(1+5%),2)</f>
        <v>1.76</v>
      </c>
      <c r="I64" s="3174">
        <f t="shared" si="7"/>
        <v>578160</v>
      </c>
    </row>
    <row r="65" spans="1:15">
      <c r="A65" s="3306"/>
      <c r="B65" s="3303"/>
      <c r="C65" s="3303"/>
      <c r="D65" s="3306"/>
      <c r="E65" s="3306"/>
      <c r="F65" s="3175">
        <v>43901</v>
      </c>
      <c r="G65" s="3175">
        <v>44265</v>
      </c>
      <c r="H65" s="3174">
        <f>H64</f>
        <v>1.76</v>
      </c>
      <c r="I65" s="3174">
        <f t="shared" si="7"/>
        <v>578160</v>
      </c>
      <c r="M65" s="1419" t="s">
        <v>3832</v>
      </c>
      <c r="N65" s="1419" t="s">
        <v>3807</v>
      </c>
      <c r="O65" s="1419" t="s">
        <v>3900</v>
      </c>
    </row>
    <row r="66" spans="1:15">
      <c r="A66" s="3306"/>
      <c r="B66" s="3303"/>
      <c r="C66" s="3303"/>
      <c r="D66" s="3306"/>
      <c r="E66" s="3306"/>
      <c r="F66" s="3175">
        <v>44266</v>
      </c>
      <c r="G66" s="3175">
        <v>44630</v>
      </c>
      <c r="H66" s="3174">
        <f>ROUND(H64*(1+5%),2)</f>
        <v>1.85</v>
      </c>
      <c r="I66" s="3174">
        <f t="shared" si="7"/>
        <v>607725</v>
      </c>
      <c r="M66" s="2812">
        <v>932.43</v>
      </c>
      <c r="N66" s="2812">
        <f>C60</f>
        <v>900</v>
      </c>
      <c r="O66" s="3207">
        <f>N66/M66</f>
        <v>0.96521990926932855</v>
      </c>
    </row>
    <row r="67" spans="1:15">
      <c r="A67" s="3306"/>
      <c r="B67" s="3303"/>
      <c r="C67" s="3303"/>
      <c r="D67" s="3306"/>
      <c r="E67" s="3306"/>
      <c r="F67" s="3175">
        <v>44631</v>
      </c>
      <c r="G67" s="3175">
        <v>44995</v>
      </c>
      <c r="H67" s="3174">
        <f>H66</f>
        <v>1.85</v>
      </c>
      <c r="I67" s="3174">
        <f t="shared" si="7"/>
        <v>607725</v>
      </c>
    </row>
    <row r="68" spans="1:15">
      <c r="A68" s="3306"/>
      <c r="B68" s="3303"/>
      <c r="C68" s="3303"/>
      <c r="D68" s="3306"/>
      <c r="E68" s="3306"/>
      <c r="F68" s="3175">
        <v>44996</v>
      </c>
      <c r="G68" s="3175">
        <v>45361</v>
      </c>
      <c r="H68" s="3174">
        <f>ROUND(H66*(1+5%),2)</f>
        <v>1.94</v>
      </c>
      <c r="I68" s="3174">
        <f t="shared" si="7"/>
        <v>637290</v>
      </c>
    </row>
    <row r="69" spans="1:15">
      <c r="A69" s="3307"/>
      <c r="B69" s="3304"/>
      <c r="C69" s="3304"/>
      <c r="D69" s="3307"/>
      <c r="E69" s="3307"/>
      <c r="F69" s="3175">
        <v>45362</v>
      </c>
      <c r="G69" s="3175">
        <v>45726</v>
      </c>
      <c r="H69" s="3174">
        <f>H68</f>
        <v>1.94</v>
      </c>
      <c r="I69" s="3174">
        <f t="shared" si="7"/>
        <v>637290</v>
      </c>
    </row>
    <row r="70" spans="1:15">
      <c r="A70" s="3174"/>
      <c r="B70" s="3174"/>
      <c r="C70" s="3174"/>
      <c r="D70" s="3174"/>
      <c r="E70" s="3174">
        <f>G69-F60</f>
        <v>3652</v>
      </c>
      <c r="F70" s="3174"/>
      <c r="G70" s="3174"/>
      <c r="H70" s="3178">
        <f>I70/C60/E70</f>
        <v>1.7650328587075574</v>
      </c>
      <c r="I70" s="3177">
        <f>SUM(I60:I69)</f>
        <v>5801310</v>
      </c>
      <c r="K70" s="2812">
        <f>H70*C60</f>
        <v>1588.5295728368017</v>
      </c>
      <c r="L70" s="2812">
        <f>K70*O66</f>
        <v>1533.2803701651828</v>
      </c>
    </row>
    <row r="71" spans="1:15">
      <c r="A71" s="1419" t="s">
        <v>3834</v>
      </c>
      <c r="B71" s="2812">
        <f>C41+C49</f>
        <v>7900</v>
      </c>
      <c r="I71" s="2812">
        <f>I48+I59</f>
        <v>33763138.5</v>
      </c>
      <c r="K71" s="2812">
        <f>K8+K13+K24+K32+K40+K70</f>
        <v>5092.8206680014509</v>
      </c>
      <c r="L71" s="2812">
        <f>L8+L13+L24+L32+L40+L70</f>
        <v>4861.5351244421008</v>
      </c>
    </row>
    <row r="72" spans="1:15">
      <c r="A72" s="1419" t="s">
        <v>3835</v>
      </c>
      <c r="B72" s="2812">
        <f>C4+C9+C14+C25+C33+C60</f>
        <v>2228</v>
      </c>
      <c r="I72" s="2812">
        <f>I8+I13+I24+I32+I40+I70</f>
        <v>12167543.75</v>
      </c>
      <c r="K72" s="1419">
        <f>K71/B72</f>
        <v>2.285826152603883</v>
      </c>
      <c r="L72" s="2812">
        <f>ROUND(L71/B72,2)</f>
        <v>2.1800000000000002</v>
      </c>
      <c r="N72" s="2812">
        <f>2.1*(1+2%)</f>
        <v>2.1420000000000003</v>
      </c>
    </row>
    <row r="73" spans="1:15">
      <c r="B73" s="2812">
        <f>B71+B72</f>
        <v>10128</v>
      </c>
      <c r="I73" s="2812">
        <f>I71+I72</f>
        <v>45930682.25</v>
      </c>
    </row>
    <row r="76" spans="1:15">
      <c r="B76" s="1419" t="s">
        <v>3832</v>
      </c>
      <c r="C76" s="1419" t="s">
        <v>3833</v>
      </c>
    </row>
    <row r="77" spans="1:15">
      <c r="A77" s="2812" t="s">
        <v>3821</v>
      </c>
      <c r="B77" s="2812">
        <f>'数据-取费表'!V22</f>
        <v>12802.5</v>
      </c>
      <c r="C77" s="2812">
        <f>C41+C49</f>
        <v>7900</v>
      </c>
      <c r="D77" s="2812">
        <f>C77/B77</f>
        <v>0.61706697910564345</v>
      </c>
      <c r="K77" s="2812">
        <f>H48*C41</f>
        <v>3727.856998344675</v>
      </c>
    </row>
    <row r="78" spans="1:15">
      <c r="A78" s="2812" t="s">
        <v>3804</v>
      </c>
      <c r="B78" s="2812">
        <f>'数据-基础表'!I14</f>
        <v>4745.5599999999995</v>
      </c>
      <c r="C78" s="2812">
        <f>C4+C9+C60</f>
        <v>1786</v>
      </c>
      <c r="D78" s="2812">
        <f t="shared" ref="D78:D79" si="8">C78/B78</f>
        <v>0.37635178988359652</v>
      </c>
      <c r="K78" s="2812">
        <f>H59*C49</f>
        <v>3695.1752464403066</v>
      </c>
    </row>
    <row r="79" spans="1:15">
      <c r="A79" s="2812" t="s">
        <v>3817</v>
      </c>
      <c r="B79" s="2812">
        <f>'数据-基础表'!I15</f>
        <v>1720.3</v>
      </c>
      <c r="C79" s="2812">
        <f>C14+C25+C33</f>
        <v>442</v>
      </c>
      <c r="D79" s="2812">
        <f t="shared" si="8"/>
        <v>0.25693193047724233</v>
      </c>
      <c r="K79" s="2812">
        <f>K77+K78</f>
        <v>7423.0322447849812</v>
      </c>
    </row>
    <row r="80" spans="1:15">
      <c r="B80" s="2812">
        <f>B77+B78+B79</f>
        <v>19268.359999999997</v>
      </c>
      <c r="C80" s="2812">
        <f>C77+C78+C79</f>
        <v>10128</v>
      </c>
      <c r="D80" s="2812">
        <f>C80/B80</f>
        <v>0.52562854337369669</v>
      </c>
      <c r="K80" s="2812">
        <f>K79/B71</f>
        <v>0.93962433478290897</v>
      </c>
    </row>
    <row r="84" spans="1:10">
      <c r="A84" s="1427" t="s">
        <v>3862</v>
      </c>
      <c r="B84" s="3175"/>
      <c r="F84" s="1427" t="s">
        <v>3882</v>
      </c>
      <c r="G84" s="1427" t="s">
        <v>3883</v>
      </c>
      <c r="H84" s="1427" t="s">
        <v>3885</v>
      </c>
      <c r="I84" s="1427" t="s">
        <v>3884</v>
      </c>
      <c r="J84" s="1427" t="s">
        <v>3886</v>
      </c>
    </row>
    <row r="85" spans="1:10">
      <c r="A85" s="1427" t="s">
        <v>3881</v>
      </c>
      <c r="B85" s="3175">
        <f>系统读取表!B3</f>
        <v>45470</v>
      </c>
      <c r="F85" s="3199">
        <f>B85</f>
        <v>45470</v>
      </c>
      <c r="G85" s="3175">
        <v>45920</v>
      </c>
      <c r="H85" s="3174">
        <v>0.98</v>
      </c>
      <c r="I85" s="3174">
        <f>G85-F85</f>
        <v>450</v>
      </c>
      <c r="J85" s="3174">
        <f>H85*I85</f>
        <v>441</v>
      </c>
    </row>
    <row r="86" spans="1:10">
      <c r="A86" s="1427" t="s">
        <v>3888</v>
      </c>
      <c r="B86" s="3175">
        <f>G47</f>
        <v>47746</v>
      </c>
      <c r="D86" s="2812">
        <v>2010</v>
      </c>
      <c r="E86" s="2812">
        <v>2030</v>
      </c>
      <c r="F86" s="3175">
        <v>45921</v>
      </c>
      <c r="G86" s="3175">
        <v>46650</v>
      </c>
      <c r="H86" s="3174">
        <v>1.06</v>
      </c>
      <c r="I86" s="3174">
        <f t="shared" ref="I86:I87" si="9">G86-F86</f>
        <v>729</v>
      </c>
      <c r="J86" s="3174">
        <f t="shared" ref="J86:J87" si="10">H86*I86</f>
        <v>772.74</v>
      </c>
    </row>
    <row r="87" spans="1:10">
      <c r="A87" s="1427" t="s">
        <v>3889</v>
      </c>
      <c r="B87" s="3174">
        <f>ROUND((B86-B85)/365,2)</f>
        <v>6.24</v>
      </c>
      <c r="E87" s="2812">
        <f>ROUND(1-(1-2%)*(E86-D86)/70,2)</f>
        <v>0.72</v>
      </c>
      <c r="F87" s="3175">
        <v>46651</v>
      </c>
      <c r="G87" s="3175">
        <v>47746</v>
      </c>
      <c r="H87" s="3174">
        <v>1.1499999999999999</v>
      </c>
      <c r="I87" s="3174">
        <f t="shared" si="9"/>
        <v>1095</v>
      </c>
      <c r="J87" s="3174">
        <f t="shared" si="10"/>
        <v>1259.25</v>
      </c>
    </row>
    <row r="88" spans="1:10">
      <c r="A88" s="1427" t="s">
        <v>3890</v>
      </c>
      <c r="B88" s="3206">
        <f>'数据-取费表'!AC22</f>
        <v>1.2</v>
      </c>
      <c r="F88" s="1427" t="s">
        <v>3887</v>
      </c>
      <c r="G88" s="3174"/>
      <c r="H88" s="3205">
        <f>ROUND(J88/I88,1)</f>
        <v>1.1000000000000001</v>
      </c>
      <c r="I88" s="3174">
        <f>I85+I86+I87</f>
        <v>2274</v>
      </c>
      <c r="J88" s="3174">
        <f>J85+J86+J87</f>
        <v>2472.9899999999998</v>
      </c>
    </row>
    <row r="89" spans="1:10">
      <c r="A89" s="1427" t="s">
        <v>3891</v>
      </c>
      <c r="B89" s="3174">
        <f>E87</f>
        <v>0.72</v>
      </c>
    </row>
    <row r="90" spans="1:10">
      <c r="A90" s="1427" t="s">
        <v>3892</v>
      </c>
      <c r="B90" s="3203">
        <v>0.02</v>
      </c>
    </row>
    <row r="91" spans="1:10">
      <c r="A91" s="1427" t="s">
        <v>3893</v>
      </c>
      <c r="B91" s="3174">
        <f>ROUND(B88*(1+B90)^B87,1)</f>
        <v>1.4</v>
      </c>
    </row>
    <row r="94" spans="1:10">
      <c r="A94" s="1419" t="s">
        <v>3894</v>
      </c>
      <c r="B94" s="3201">
        <v>3.1899999999999998E-2</v>
      </c>
    </row>
  </sheetData>
  <mergeCells count="34">
    <mergeCell ref="E60:E69"/>
    <mergeCell ref="D60:D69"/>
    <mergeCell ref="C60:C69"/>
    <mergeCell ref="B60:B69"/>
    <mergeCell ref="A60:A69"/>
    <mergeCell ref="C41:C47"/>
    <mergeCell ref="B41:B47"/>
    <mergeCell ref="A41:A58"/>
    <mergeCell ref="E49:E58"/>
    <mergeCell ref="D49:D58"/>
    <mergeCell ref="C49:C58"/>
    <mergeCell ref="B49:B58"/>
    <mergeCell ref="B25:B31"/>
    <mergeCell ref="E14:E23"/>
    <mergeCell ref="E25:E31"/>
    <mergeCell ref="E33:E39"/>
    <mergeCell ref="D33:D39"/>
    <mergeCell ref="C33:C39"/>
    <mergeCell ref="A14:A40"/>
    <mergeCell ref="B4:B7"/>
    <mergeCell ref="C4:C7"/>
    <mergeCell ref="D4:D7"/>
    <mergeCell ref="E4:E7"/>
    <mergeCell ref="B9:B12"/>
    <mergeCell ref="E9:E12"/>
    <mergeCell ref="D9:D12"/>
    <mergeCell ref="C9:C12"/>
    <mergeCell ref="A4:A13"/>
    <mergeCell ref="B33:B39"/>
    <mergeCell ref="D14:D23"/>
    <mergeCell ref="C14:C23"/>
    <mergeCell ref="B14:B23"/>
    <mergeCell ref="D25:D31"/>
    <mergeCell ref="C25:C31"/>
  </mergeCells>
  <phoneticPr fontId="13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X16"/>
  <sheetViews>
    <sheetView zoomScale="110" zoomScaleNormal="110" workbookViewId="0">
      <selection activeCell="H36" sqref="H36"/>
    </sheetView>
  </sheetViews>
  <sheetFormatPr defaultColWidth="8.88671875" defaultRowHeight="14.4"/>
  <cols>
    <col min="1" max="1" width="15.21875" style="3188" customWidth="1"/>
    <col min="2" max="21" width="7.21875" style="3188" customWidth="1"/>
    <col min="22" max="22" width="16.109375" style="3188" bestFit="1" customWidth="1"/>
    <col min="23" max="16384" width="8.88671875" style="3188"/>
  </cols>
  <sheetData>
    <row r="2" spans="1:24">
      <c r="A2" s="3187" t="s">
        <v>3864</v>
      </c>
      <c r="B2" s="3187" t="s">
        <v>3865</v>
      </c>
      <c r="C2" s="3187">
        <v>1</v>
      </c>
      <c r="D2" s="3187">
        <v>2</v>
      </c>
      <c r="E2" s="3187">
        <v>3</v>
      </c>
      <c r="F2" s="3187">
        <v>4</v>
      </c>
      <c r="G2" s="3187">
        <v>5</v>
      </c>
      <c r="H2" s="3187">
        <v>6</v>
      </c>
      <c r="I2" s="3187">
        <v>7</v>
      </c>
      <c r="J2" s="3187">
        <v>8</v>
      </c>
      <c r="K2" s="3187">
        <v>9</v>
      </c>
      <c r="L2" s="3187">
        <v>10</v>
      </c>
      <c r="M2" s="3187">
        <v>11</v>
      </c>
      <c r="N2" s="3187">
        <v>12</v>
      </c>
      <c r="O2" s="3187">
        <v>13</v>
      </c>
      <c r="P2" s="3187">
        <v>14</v>
      </c>
      <c r="Q2" s="3187">
        <v>15</v>
      </c>
      <c r="R2" s="3187">
        <v>16</v>
      </c>
      <c r="S2" s="3187">
        <v>17</v>
      </c>
      <c r="T2" s="3187">
        <v>18</v>
      </c>
      <c r="U2" s="3187">
        <v>19</v>
      </c>
      <c r="V2" s="3187">
        <v>20</v>
      </c>
    </row>
    <row r="3" spans="1:24">
      <c r="A3" s="3187" t="s">
        <v>3866</v>
      </c>
      <c r="B3" s="3187">
        <f>ROUND(SUM(C3:V3),2)</f>
        <v>14.15</v>
      </c>
      <c r="C3" s="3189">
        <v>0.75</v>
      </c>
      <c r="D3" s="3189">
        <v>0.75</v>
      </c>
      <c r="E3" s="3189">
        <v>0.8</v>
      </c>
      <c r="F3" s="3189">
        <v>0.8</v>
      </c>
      <c r="G3" s="3189">
        <v>0.85</v>
      </c>
      <c r="H3" s="3189">
        <v>0.85</v>
      </c>
      <c r="I3" s="3189">
        <v>0.91</v>
      </c>
      <c r="J3" s="3189">
        <v>0.91</v>
      </c>
      <c r="K3" s="3189">
        <v>0.98</v>
      </c>
      <c r="L3" s="3189">
        <v>0.98</v>
      </c>
      <c r="M3" s="3188">
        <v>1.06</v>
      </c>
      <c r="N3" s="3188">
        <v>1.06</v>
      </c>
      <c r="O3" s="3188">
        <v>1.1499999999999999</v>
      </c>
      <c r="P3" s="3188">
        <v>1.1499999999999999</v>
      </c>
      <c r="Q3" s="3188">
        <v>1.1499999999999999</v>
      </c>
    </row>
    <row r="5" spans="1:24">
      <c r="X5" s="3190"/>
    </row>
    <row r="6" spans="1:24">
      <c r="A6" s="3191" t="s">
        <v>3867</v>
      </c>
      <c r="B6" s="3192" t="s">
        <v>3868</v>
      </c>
      <c r="C6" s="3193"/>
      <c r="D6" s="3193"/>
      <c r="E6" s="3193"/>
      <c r="F6" s="3193"/>
      <c r="G6" s="3193"/>
      <c r="H6" s="3193"/>
      <c r="I6" s="3193"/>
      <c r="J6" s="3193"/>
      <c r="K6" s="3193"/>
      <c r="L6" s="3193"/>
      <c r="M6" s="3193"/>
      <c r="N6" s="3193"/>
    </row>
    <row r="7" spans="1:24">
      <c r="A7" s="3191" t="s">
        <v>3869</v>
      </c>
      <c r="B7" s="3191" t="s">
        <v>3870</v>
      </c>
      <c r="C7" s="3194">
        <f>C3</f>
        <v>0.75</v>
      </c>
      <c r="V7" s="3195"/>
    </row>
    <row r="8" spans="1:24">
      <c r="A8" s="3191" t="s">
        <v>3871</v>
      </c>
      <c r="B8" s="3191" t="s">
        <v>3872</v>
      </c>
      <c r="C8" s="3194">
        <f>COUNT(C3:V3)</f>
        <v>15</v>
      </c>
      <c r="V8" s="3195"/>
    </row>
    <row r="9" spans="1:24">
      <c r="A9" s="3191" t="s">
        <v>3873</v>
      </c>
      <c r="B9" s="3191" t="s">
        <v>3874</v>
      </c>
      <c r="C9" s="3196">
        <v>3.1947162655950184E-2</v>
      </c>
    </row>
    <row r="10" spans="1:24">
      <c r="A10" s="3191" t="s">
        <v>3865</v>
      </c>
      <c r="B10" s="3191" t="s">
        <v>3875</v>
      </c>
      <c r="C10" s="3194">
        <f>C7*((1+C9)^C8-1)/C9</f>
        <v>14.149982700693634</v>
      </c>
    </row>
    <row r="11" spans="1:24">
      <c r="D11" s="3197"/>
    </row>
    <row r="12" spans="1:24">
      <c r="B12" s="3188" t="s">
        <v>3876</v>
      </c>
      <c r="C12" s="3188">
        <f>'[4]零散物业-项目信息录入'!D44</f>
        <v>15</v>
      </c>
    </row>
    <row r="13" spans="1:24">
      <c r="B13" s="3188" t="s">
        <v>3866</v>
      </c>
      <c r="C13" s="3188">
        <f>C2</f>
        <v>1</v>
      </c>
      <c r="D13" s="3188">
        <f t="shared" ref="D13:V13" si="0">D2</f>
        <v>2</v>
      </c>
      <c r="E13" s="3188">
        <f t="shared" si="0"/>
        <v>3</v>
      </c>
      <c r="F13" s="3188">
        <f t="shared" si="0"/>
        <v>4</v>
      </c>
      <c r="G13" s="3188">
        <f t="shared" si="0"/>
        <v>5</v>
      </c>
      <c r="H13" s="3188">
        <f t="shared" si="0"/>
        <v>6</v>
      </c>
      <c r="I13" s="3188">
        <f t="shared" si="0"/>
        <v>7</v>
      </c>
      <c r="J13" s="3188">
        <f t="shared" si="0"/>
        <v>8</v>
      </c>
      <c r="K13" s="3188">
        <f t="shared" si="0"/>
        <v>9</v>
      </c>
      <c r="L13" s="3188">
        <f t="shared" si="0"/>
        <v>10</v>
      </c>
      <c r="M13" s="3188">
        <f t="shared" si="0"/>
        <v>11</v>
      </c>
      <c r="N13" s="3188">
        <f t="shared" si="0"/>
        <v>12</v>
      </c>
      <c r="O13" s="3188">
        <f t="shared" si="0"/>
        <v>13</v>
      </c>
      <c r="P13" s="3188">
        <f t="shared" si="0"/>
        <v>14</v>
      </c>
      <c r="Q13" s="3188">
        <f t="shared" si="0"/>
        <v>15</v>
      </c>
      <c r="R13" s="3188">
        <f t="shared" si="0"/>
        <v>16</v>
      </c>
      <c r="S13" s="3188">
        <f t="shared" si="0"/>
        <v>17</v>
      </c>
      <c r="T13" s="3188">
        <f t="shared" si="0"/>
        <v>18</v>
      </c>
      <c r="U13" s="3188">
        <f t="shared" si="0"/>
        <v>19</v>
      </c>
      <c r="V13" s="3188">
        <f t="shared" si="0"/>
        <v>20</v>
      </c>
    </row>
    <row r="14" spans="1:24">
      <c r="B14" s="3188" t="s">
        <v>3877</v>
      </c>
    </row>
    <row r="15" spans="1:24">
      <c r="B15" s="3188" t="s">
        <v>3877</v>
      </c>
      <c r="C15" s="3188">
        <f>ROUND(C16/$C$12/365,1)</f>
        <v>34.200000000000003</v>
      </c>
      <c r="D15" s="3188">
        <f t="shared" ref="D15:Q15" si="1">ROUND(D16/$C$12/365,1)</f>
        <v>36</v>
      </c>
      <c r="E15" s="3188">
        <f t="shared" si="1"/>
        <v>37.799999999999997</v>
      </c>
      <c r="F15" s="3188">
        <f t="shared" si="1"/>
        <v>1362.7</v>
      </c>
      <c r="G15" s="3188">
        <f t="shared" si="1"/>
        <v>1403.6</v>
      </c>
      <c r="H15" s="3188">
        <f t="shared" si="1"/>
        <v>1445.7</v>
      </c>
      <c r="I15" s="3188">
        <f t="shared" si="1"/>
        <v>1489.1</v>
      </c>
      <c r="J15" s="3188">
        <f t="shared" si="1"/>
        <v>1533.8</v>
      </c>
      <c r="K15" s="3188">
        <f t="shared" si="1"/>
        <v>1579.8</v>
      </c>
      <c r="L15" s="3188">
        <f t="shared" si="1"/>
        <v>1627.2</v>
      </c>
      <c r="M15" s="3188">
        <f t="shared" si="1"/>
        <v>0</v>
      </c>
      <c r="N15" s="3188">
        <f t="shared" si="1"/>
        <v>0</v>
      </c>
      <c r="O15" s="3188">
        <f t="shared" si="1"/>
        <v>0</v>
      </c>
      <c r="P15" s="3188">
        <f t="shared" si="1"/>
        <v>0</v>
      </c>
      <c r="Q15" s="3188">
        <f t="shared" si="1"/>
        <v>0</v>
      </c>
    </row>
    <row r="16" spans="1:24">
      <c r="B16" s="3188" t="s">
        <v>3878</v>
      </c>
      <c r="C16" s="3188">
        <v>187000</v>
      </c>
      <c r="D16" s="3188">
        <v>197000</v>
      </c>
      <c r="E16" s="3188">
        <v>207000</v>
      </c>
      <c r="F16" s="3188">
        <v>7461000</v>
      </c>
      <c r="G16" s="3188">
        <v>7684900</v>
      </c>
      <c r="H16" s="3188">
        <v>7915400</v>
      </c>
      <c r="I16" s="3188">
        <v>8152900</v>
      </c>
      <c r="J16" s="3188">
        <v>8397500</v>
      </c>
      <c r="K16" s="3188">
        <v>8649400</v>
      </c>
      <c r="L16" s="3188">
        <v>8908900</v>
      </c>
    </row>
  </sheetData>
  <phoneticPr fontId="136"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8">
        <f ca="1">J53</f>
        <v>0</v>
      </c>
      <c r="G1" s="1284">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22" t="e">
        <f ca="1">ROUND(D2/10000,4)</f>
        <v>#DIV/0!</v>
      </c>
      <c r="C2" s="1287" t="s">
        <v>879</v>
      </c>
      <c r="D2" s="1373" t="e">
        <f ca="1">C40+J29+L46</f>
        <v>#DIV/0!</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6">
        <f ca="1">C6+C10+C12</f>
        <v>0</v>
      </c>
      <c r="D5" s="1271" t="s">
        <v>889</v>
      </c>
      <c r="E5" s="1007"/>
      <c r="F5" s="1008"/>
      <c r="G5" s="1290"/>
      <c r="H5" s="291">
        <v>1</v>
      </c>
      <c r="I5" s="292" t="s">
        <v>888</v>
      </c>
      <c r="J5" s="1006">
        <f ca="1">J6+J10+J12</f>
        <v>0</v>
      </c>
      <c r="K5" s="1271" t="s">
        <v>889</v>
      </c>
      <c r="L5" s="1007"/>
      <c r="M5" s="1008"/>
    </row>
    <row r="6" spans="1:37" ht="18" customHeight="1">
      <c r="A6" s="1005" t="s">
        <v>398</v>
      </c>
      <c r="B6" s="3314" t="s">
        <v>694</v>
      </c>
      <c r="C6" s="1010">
        <f ca="1">ROUND(F6*F8*F7*(1-F9),0)</f>
        <v>0</v>
      </c>
      <c r="D6" s="147" t="s">
        <v>2102</v>
      </c>
      <c r="E6" s="294" t="s">
        <v>696</v>
      </c>
      <c r="F6" s="295">
        <f ca="1">INDIRECT("'数据-取费表'!u"&amp;$G$1)</f>
        <v>0</v>
      </c>
      <c r="G6" s="1290"/>
      <c r="H6" s="1005" t="s">
        <v>398</v>
      </c>
      <c r="I6" s="3314" t="s">
        <v>694</v>
      </c>
      <c r="J6" s="293">
        <f ca="1">ROUND(M6*M8*M7*(1-M9),0)</f>
        <v>0</v>
      </c>
      <c r="K6" s="1282" t="s">
        <v>2103</v>
      </c>
      <c r="L6" s="294" t="s">
        <v>696</v>
      </c>
      <c r="M6" s="295">
        <f ca="1">INDIRECT("'数据-取费表'!z"&amp;$G$1)</f>
        <v>0</v>
      </c>
    </row>
    <row r="7" spans="1:37" ht="18" customHeight="1">
      <c r="A7" s="1009"/>
      <c r="B7" s="3315"/>
      <c r="C7" s="1011"/>
      <c r="D7" s="299"/>
      <c r="E7" s="1012" t="s">
        <v>697</v>
      </c>
      <c r="F7" s="295">
        <f ca="1">IF(INDIRECT("'数据-取费表'!ah"&amp;$G$1)="",INDIRECT("'数据-取费表'!k"&amp;$G$1),INDIRECT("'数据-取费表'!ah"&amp;$G$1))</f>
        <v>0</v>
      </c>
      <c r="G7" s="1290"/>
      <c r="H7" s="296"/>
      <c r="I7" s="3315"/>
      <c r="J7" s="298"/>
      <c r="K7" s="299"/>
      <c r="L7" s="294" t="s">
        <v>697</v>
      </c>
      <c r="M7" s="295">
        <f ca="1">F7</f>
        <v>0</v>
      </c>
    </row>
    <row r="8" spans="1:37" ht="18" customHeight="1">
      <c r="A8" s="296"/>
      <c r="B8" s="3315"/>
      <c r="C8" s="298"/>
      <c r="D8" s="299"/>
      <c r="E8" s="294" t="s">
        <v>698</v>
      </c>
      <c r="F8" s="295">
        <f ca="1">INDIRECT("'数据-取费表'!ai"&amp;$G$1)</f>
        <v>0</v>
      </c>
      <c r="G8" s="1290"/>
      <c r="H8" s="296"/>
      <c r="I8" s="3315"/>
      <c r="J8" s="298"/>
      <c r="K8" s="299"/>
      <c r="L8" s="294" t="s">
        <v>698</v>
      </c>
      <c r="M8" s="295">
        <f ca="1">INDIRECT("'数据-取费表'!ai"&amp;$G$1)</f>
        <v>0</v>
      </c>
    </row>
    <row r="9" spans="1:37" ht="18" customHeight="1">
      <c r="A9" s="296"/>
      <c r="B9" s="3316"/>
      <c r="C9" s="298"/>
      <c r="D9" s="299"/>
      <c r="E9" s="294" t="s">
        <v>699</v>
      </c>
      <c r="F9" s="304">
        <f ca="1">INDIRECT("'数据-取费表'!w"&amp;$G$1)</f>
        <v>0</v>
      </c>
      <c r="G9" s="1290"/>
      <c r="H9" s="296"/>
      <c r="I9" s="3316"/>
      <c r="J9" s="298"/>
      <c r="K9" s="299"/>
      <c r="L9" s="305" t="s">
        <v>699</v>
      </c>
      <c r="M9" s="306">
        <f ca="1">INDIRECT("'数据-取费表'!ab"&amp;$G$1)</f>
        <v>0</v>
      </c>
    </row>
    <row r="10" spans="1:37" ht="18" customHeight="1">
      <c r="A10" s="1005" t="s">
        <v>402</v>
      </c>
      <c r="B10" s="1272" t="s">
        <v>700</v>
      </c>
      <c r="C10" s="308">
        <f ca="1">ROUND(IF(F10="押一",C6/12*F11,IF(F10="押二",C6/12*2*F11,IF(F10="押三",C6/12*3*F11,C11*F11))),0)</f>
        <v>0</v>
      </c>
      <c r="D10" s="150" t="s">
        <v>2112</v>
      </c>
      <c r="E10" s="305" t="s">
        <v>701</v>
      </c>
      <c r="F10" s="1052"/>
      <c r="G10" s="1290"/>
      <c r="H10" s="1005" t="s">
        <v>402</v>
      </c>
      <c r="I10" s="1272" t="s">
        <v>700</v>
      </c>
      <c r="J10" s="293">
        <f ca="1">ROUND(IF(M10="押一",J6/12*M11,IF(M10="押二",J6/12*2*M11,IF(M10="押三",J6/12*3*M11,J11*M11))),0)</f>
        <v>0</v>
      </c>
      <c r="K10" s="1283" t="s">
        <v>2114</v>
      </c>
      <c r="L10" s="305" t="s">
        <v>701</v>
      </c>
      <c r="M10" s="1052"/>
    </row>
    <row r="11" spans="1:37" ht="18" customHeight="1">
      <c r="A11" s="300"/>
      <c r="B11" s="1273" t="s">
        <v>890</v>
      </c>
      <c r="C11" s="904"/>
      <c r="D11" s="299"/>
      <c r="E11" s="305" t="s">
        <v>702</v>
      </c>
      <c r="F11" s="306">
        <f ca="1">'数据-取费表'!B39</f>
        <v>1.4999999999999999E-2</v>
      </c>
      <c r="G11" s="1290"/>
      <c r="H11" s="1013"/>
      <c r="I11" s="1273" t="s">
        <v>891</v>
      </c>
      <c r="J11" s="904"/>
      <c r="K11" s="646"/>
      <c r="L11" s="305"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4" t="s">
        <v>707</v>
      </c>
      <c r="C14" s="310">
        <f ca="1">ROUND(INDIRECT("'数据-取费表'!l"&amp;$G$1)*F43+'数据-取费表'!L14*INDIRECT("'数据-取费表'!S"&amp;$G$1),0)</f>
        <v>0</v>
      </c>
      <c r="D14" s="1255" t="s">
        <v>708</v>
      </c>
      <c r="E14" s="1253"/>
      <c r="F14" s="311"/>
      <c r="G14" s="1290"/>
      <c r="H14" s="927" t="s">
        <v>398</v>
      </c>
      <c r="I14" s="294" t="s">
        <v>709</v>
      </c>
      <c r="J14" s="21">
        <f ca="1">C29</f>
        <v>0</v>
      </c>
      <c r="K14" s="12"/>
      <c r="L14" s="758"/>
      <c r="M14" s="759"/>
    </row>
    <row r="15" spans="1:37" s="1302" customFormat="1" ht="18" customHeight="1" thickBot="1">
      <c r="A15" s="927" t="s">
        <v>399</v>
      </c>
      <c r="B15" s="294" t="s">
        <v>710</v>
      </c>
      <c r="C15" s="21">
        <f ca="1">ROUND(C14*F15,0)</f>
        <v>0</v>
      </c>
      <c r="D15" s="312" t="s">
        <v>711</v>
      </c>
      <c r="E15" s="312" t="s">
        <v>712</v>
      </c>
      <c r="F15" s="313">
        <f>'数据-取费表'!B33</f>
        <v>0.04</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5" t="s">
        <v>393</v>
      </c>
      <c r="I16" s="1016" t="s">
        <v>714</v>
      </c>
      <c r="J16" s="302">
        <f ca="1">ROUND(J17+J22+J23+J24,0)</f>
        <v>0</v>
      </c>
      <c r="K16" s="1023" t="s">
        <v>715</v>
      </c>
      <c r="L16" s="1024"/>
      <c r="M16" s="1008"/>
    </row>
    <row r="17" spans="1:37" s="1302" customFormat="1" ht="18" customHeight="1">
      <c r="A17" s="927" t="s">
        <v>681</v>
      </c>
      <c r="B17" s="294" t="s">
        <v>716</v>
      </c>
      <c r="C17" s="21">
        <f ca="1">ROUND(F17*(F43+INDIRECT("'数据-取费表'!S"&amp;$G$1)),0)</f>
        <v>0</v>
      </c>
      <c r="D17" s="294" t="s">
        <v>717</v>
      </c>
      <c r="E17" s="294" t="s">
        <v>718</v>
      </c>
      <c r="F17" s="23">
        <f>'数据-取费表'!B35</f>
        <v>200</v>
      </c>
      <c r="G17" s="1301"/>
      <c r="H17" s="927" t="s">
        <v>398</v>
      </c>
      <c r="I17" s="294" t="s">
        <v>719</v>
      </c>
      <c r="J17" s="2139">
        <f ca="1">ROUND(IF(AND(项目基本情况!B11="自然人",项目基本情况!B10="北京市"),J6*M17/(1+'数据-取费表'!C42),J18+J19+J20),0)</f>
        <v>0</v>
      </c>
      <c r="K17" s="1255" t="s">
        <v>720</v>
      </c>
      <c r="L17" s="1254" t="s">
        <v>721</v>
      </c>
      <c r="M17" s="2138"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0.02</v>
      </c>
      <c r="G18" s="1301"/>
      <c r="H18" s="927" t="s">
        <v>397</v>
      </c>
      <c r="I18" s="294" t="s">
        <v>723</v>
      </c>
      <c r="J18" s="21">
        <f ca="1">ROUND(J6*M18/(1+'数据-取费表'!C42),0)</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IF(K19="按租金收入计税",ROUND(J6*M19/(1+'数据-取费表'!C42),0),ROUND(C29*M19*0.7,0))</f>
        <v>0</v>
      </c>
      <c r="K19" s="1276" t="s">
        <v>3336</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0.02</v>
      </c>
      <c r="G20" s="1301"/>
      <c r="H20" s="927" t="s">
        <v>680</v>
      </c>
      <c r="I20" s="147" t="s">
        <v>730</v>
      </c>
      <c r="J20" s="22">
        <f ca="1">ROUND(M20*M21,0)</f>
        <v>0</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ROUND(J14*M22,0)</f>
        <v>0</v>
      </c>
      <c r="K22" s="1254" t="s">
        <v>739</v>
      </c>
      <c r="L22" s="294" t="s">
        <v>712</v>
      </c>
      <c r="M22" s="320">
        <f ca="1">INDIRECT("'数据-取费表'!Ak"&amp;$G$1)</f>
        <v>0</v>
      </c>
    </row>
    <row r="23" spans="1:37" s="1302"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1"/>
      <c r="H23" s="927"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1"/>
      <c r="H24" s="1025" t="s">
        <v>684</v>
      </c>
      <c r="I24" s="1026" t="s">
        <v>728</v>
      </c>
      <c r="J24" s="1027">
        <f ca="1">ROUND(J5*M24,0)</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2">
        <f ca="1">ROUND(C31+C36+C37+C38,0)</f>
        <v>0</v>
      </c>
      <c r="D30" s="1023" t="s">
        <v>715</v>
      </c>
      <c r="E30" s="1024"/>
      <c r="F30" s="1008"/>
      <c r="G30" s="1290"/>
      <c r="H30" s="2469"/>
      <c r="I30" s="1303"/>
      <c r="J30" s="1304"/>
      <c r="K30" s="121"/>
      <c r="L30" s="2470"/>
      <c r="M30" s="2471"/>
    </row>
    <row r="31" spans="1:37" ht="18" customHeight="1">
      <c r="A31" s="927" t="s">
        <v>398</v>
      </c>
      <c r="B31" s="294" t="s">
        <v>719</v>
      </c>
      <c r="C31" s="2139">
        <f ca="1">ROUND(IF(AND(项目基本情况!B11="自然人",项目基本情况!B10="北京市"),C6*F31/(1+'数据-取费表'!C42),C32+C33+C34),0)</f>
        <v>0</v>
      </c>
      <c r="D31" s="1255" t="s">
        <v>720</v>
      </c>
      <c r="E31" s="1254" t="s">
        <v>770</v>
      </c>
      <c r="F31" s="2138" t="str">
        <f>IF(项目基本情况!B11="企业","——",IF(M47="住宅",IF(F6*F7*F8/12/(1+'数据-取费表'!F30)&gt;100000,4%,2.5%),IF(F6*F7*F8/12/(1+'数据-取费表'!F30)&gt;100000,12%,7%)))</f>
        <v>——</v>
      </c>
      <c r="G31" s="1290"/>
      <c r="H31" s="2568" t="s">
        <v>2306</v>
      </c>
      <c r="I31" s="1303"/>
      <c r="J31" s="1304"/>
      <c r="K31" s="121"/>
      <c r="L31" s="2470"/>
      <c r="M31" s="2471"/>
    </row>
    <row r="32" spans="1:37" ht="18" customHeight="1">
      <c r="A32" s="927" t="s">
        <v>397</v>
      </c>
      <c r="B32" s="294" t="s">
        <v>723</v>
      </c>
      <c r="C32" s="21">
        <f ca="1">IF(项目基本情况!B11="自然人","——",ROUND(C6*F32/(1+'数据-取费表'!C42),0))</f>
        <v>0</v>
      </c>
      <c r="D32" s="1254" t="s">
        <v>724</v>
      </c>
      <c r="E32" s="294" t="s">
        <v>712</v>
      </c>
      <c r="F32" s="322">
        <f>'数据-取费表'!B41</f>
        <v>5.5000000000000007E-2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IF(项目基本情况!B11="自然人","——",ROUND(F34*F35,0))</f>
        <v>0</v>
      </c>
      <c r="D34" s="316" t="s">
        <v>731</v>
      </c>
      <c r="E34" s="294" t="s">
        <v>732</v>
      </c>
      <c r="F34" s="317">
        <f>'数据-取费表'!B52</f>
        <v>1.5</v>
      </c>
      <c r="G34" s="1290"/>
      <c r="H34" s="2469"/>
      <c r="I34" s="1303"/>
      <c r="J34" s="1304"/>
      <c r="K34" s="2474"/>
      <c r="L34" s="2475"/>
      <c r="M34" s="2475"/>
    </row>
    <row r="35" spans="1:18" ht="18" customHeight="1">
      <c r="A35" s="1039"/>
      <c r="B35" s="1037"/>
      <c r="C35" s="26"/>
      <c r="D35" s="319"/>
      <c r="E35" s="294" t="s">
        <v>736</v>
      </c>
      <c r="F35" s="295">
        <f ca="1">INDIRECT("'数据-取费表'!r"&amp;$G$1)</f>
        <v>0</v>
      </c>
      <c r="G35" s="1290"/>
      <c r="H35" s="2469"/>
      <c r="I35" s="1303"/>
      <c r="J35" s="1304"/>
      <c r="K35" s="2473"/>
      <c r="L35" s="2472"/>
      <c r="M35" s="2472"/>
    </row>
    <row r="36" spans="1:18" ht="18" customHeight="1">
      <c r="A36" s="1038" t="s">
        <v>402</v>
      </c>
      <c r="B36" s="294" t="s">
        <v>738</v>
      </c>
      <c r="C36" s="21">
        <f ca="1">ROUND(C29*F36,0)</f>
        <v>0</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f ca="1">ROUND(C13*F37,0)</f>
        <v>0</v>
      </c>
      <c r="D37" s="1254" t="s">
        <v>743</v>
      </c>
      <c r="E37" s="294" t="s">
        <v>744</v>
      </c>
      <c r="F37" s="321">
        <f ca="1">INDIRECT("'数据-取费表'!Al"&amp;$G$1)</f>
        <v>0</v>
      </c>
      <c r="G37" s="1290"/>
      <c r="H37" s="2472"/>
      <c r="I37" s="1303"/>
      <c r="J37" s="1304"/>
      <c r="K37" s="2329"/>
      <c r="L37" s="2472"/>
      <c r="M37" s="2472"/>
    </row>
    <row r="38" spans="1:18" ht="18" customHeight="1" thickBot="1">
      <c r="A38" s="1025" t="s">
        <v>684</v>
      </c>
      <c r="B38" s="1026" t="s">
        <v>728</v>
      </c>
      <c r="C38" s="1027">
        <f ca="1">ROUND(C5*F38,0)</f>
        <v>0</v>
      </c>
      <c r="D38" s="1028" t="s">
        <v>748</v>
      </c>
      <c r="E38" s="1026" t="s">
        <v>744</v>
      </c>
      <c r="F38" s="1022">
        <f ca="1">INDIRECT("'数据-取费表'!Am"&amp;$G$1)</f>
        <v>0</v>
      </c>
      <c r="G38" s="1290"/>
      <c r="H38" s="2472"/>
      <c r="I38" s="1303"/>
      <c r="J38" s="1304"/>
      <c r="K38" s="2470"/>
      <c r="L38" s="2472"/>
      <c r="M38" s="2472"/>
    </row>
    <row r="39" spans="1:18" ht="24.6" customHeight="1" thickTop="1">
      <c r="A39" s="1015" t="s">
        <v>394</v>
      </c>
      <c r="B39" s="1030" t="s">
        <v>772</v>
      </c>
      <c r="C39" s="302">
        <f ca="1">C5-C30</f>
        <v>0</v>
      </c>
      <c r="D39" s="1031" t="s">
        <v>773</v>
      </c>
      <c r="E39" s="1032"/>
      <c r="F39" s="1033"/>
      <c r="G39" s="1290"/>
      <c r="H39" s="2472"/>
      <c r="I39" s="1303"/>
      <c r="J39" s="1304"/>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3352</v>
      </c>
      <c r="B45" s="1305"/>
      <c r="C45" s="1374" t="e">
        <f ca="1">ROUND((C68-C40)/10000,4)</f>
        <v>#DIV/0!</v>
      </c>
      <c r="D45" s="3129" t="s">
        <v>3353</v>
      </c>
      <c r="E45" s="1305"/>
      <c r="F45" s="1305"/>
      <c r="O45" s="1308" t="s">
        <v>808</v>
      </c>
      <c r="P45" s="1364"/>
      <c r="Q45" s="1364"/>
      <c r="R45" s="1364"/>
    </row>
    <row r="46" spans="1:18" s="1290" customFormat="1" ht="13.8"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6" t="s">
        <v>438</v>
      </c>
      <c r="B48" s="292" t="s">
        <v>692</v>
      </c>
      <c r="C48" s="1266">
        <f ca="1">C49+C53+C55</f>
        <v>0</v>
      </c>
      <c r="D48" s="1048"/>
      <c r="E48" s="1049"/>
      <c r="F48" s="907"/>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20" t="s">
        <v>439</v>
      </c>
      <c r="B49" s="1277" t="s">
        <v>779</v>
      </c>
      <c r="C49" s="1050">
        <f ca="1">ROUND(F49*F51*F50*(1-F52),0)</f>
        <v>0</v>
      </c>
      <c r="D49" s="991" t="s">
        <v>695</v>
      </c>
      <c r="E49" s="1278" t="s">
        <v>780</v>
      </c>
      <c r="F49" s="996"/>
      <c r="H49" s="682"/>
      <c r="I49" s="1326" t="s">
        <v>823</v>
      </c>
      <c r="J49" s="1330"/>
      <c r="K49" s="1328" t="s">
        <v>824</v>
      </c>
      <c r="L49" s="1331"/>
      <c r="O49" s="1332" t="s">
        <v>405</v>
      </c>
      <c r="P49" s="1324" t="s">
        <v>825</v>
      </c>
      <c r="Q49" s="1325">
        <f ca="1">C29</f>
        <v>0</v>
      </c>
      <c r="R49" s="1325" t="s">
        <v>818</v>
      </c>
    </row>
    <row r="50" spans="1:18" s="1290" customFormat="1" ht="13.8" thickBot="1">
      <c r="A50" s="921"/>
      <c r="B50" s="924"/>
      <c r="C50" s="925"/>
      <c r="D50" s="898"/>
      <c r="E50" s="992" t="s">
        <v>697</v>
      </c>
      <c r="F50" s="993">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2"/>
      <c r="B51" s="924"/>
      <c r="C51" s="925"/>
      <c r="D51" s="898"/>
      <c r="E51" s="926"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0.75" customHeight="1" thickBot="1">
      <c r="A53" s="1047" t="s">
        <v>440</v>
      </c>
      <c r="B53" s="315" t="s">
        <v>700</v>
      </c>
      <c r="C53" s="308">
        <f ca="1">ROUND(IF(F53="押一",C49/12*F11,IF(F53="押二",C49/12*2*F11,IF(F53="押三",C49/12*3*F11,C54*F11))),0)</f>
        <v>0</v>
      </c>
      <c r="D53" s="150" t="s">
        <v>2115</v>
      </c>
      <c r="E53" s="305" t="s">
        <v>701</v>
      </c>
      <c r="F53" s="1052"/>
      <c r="I53" s="1342" t="s">
        <v>836</v>
      </c>
      <c r="J53" s="2005">
        <f ca="1">IF(M47="住宅",IF(D1="——",MAX(J51,L48),MAX(J51,L48-'数据-取费表'!B24)),IF(D1="——",MIN(J51,L48),MIN(J51,L48-'数据-取费表'!B24)))</f>
        <v>0</v>
      </c>
      <c r="K53" s="3317" t="s">
        <v>837</v>
      </c>
      <c r="L53" s="3318"/>
      <c r="O53" s="1323" t="s">
        <v>409</v>
      </c>
      <c r="P53" s="1324" t="s">
        <v>838</v>
      </c>
      <c r="Q53" s="1325" t="e">
        <f ca="1">Q47+Q48</f>
        <v>#DIV/0!</v>
      </c>
      <c r="R53" s="1325" t="s">
        <v>410</v>
      </c>
    </row>
    <row r="54" spans="1:18" s="1290" customFormat="1" ht="13.8"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9" t="s">
        <v>437</v>
      </c>
      <c r="B55" s="1275" t="s">
        <v>703</v>
      </c>
      <c r="C55" s="1020"/>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6" thickBot="1">
      <c r="A57" s="1354"/>
      <c r="B57" s="895"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6" thickBot="1">
      <c r="A58" s="307" t="s">
        <v>393</v>
      </c>
      <c r="B58" s="903" t="s">
        <v>714</v>
      </c>
      <c r="C58" s="308">
        <f ca="1">ROUND(C59+C64+C65+C66,0)</f>
        <v>0</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f ca="1">IF(项目基本情况!B11="自然人","——",ROUND(C48*F60/(1+'数据-取费表'!C42),0))</f>
        <v>0</v>
      </c>
      <c r="D60" s="909" t="s">
        <v>724</v>
      </c>
      <c r="E60" s="895" t="s">
        <v>712</v>
      </c>
      <c r="F60" s="322">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7" t="s">
        <v>781</v>
      </c>
      <c r="B61" s="895" t="s">
        <v>782</v>
      </c>
      <c r="C61" s="21">
        <f ca="1">IF(项目基本情况!B11="自然人","——",IF(D61="按租金收入计税",ROUND(C49*F61/(1+'数据-取费表'!C42),0),IF(D61="按房产原值计税",ROUND(C57*F61*0.7,0),INDIRECT("'数据-取费表'!Aj"&amp;$G$1))))</f>
        <v>0</v>
      </c>
      <c r="D61" s="1276" t="s">
        <v>3336</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f ca="1">IF(项目基本情况!B11="自然人","——",ROUND(F62*F63,0))</f>
        <v>0</v>
      </c>
      <c r="D62" s="910" t="s">
        <v>786</v>
      </c>
      <c r="E62" s="895" t="s">
        <v>787</v>
      </c>
      <c r="F62" s="317">
        <f t="shared" si="0"/>
        <v>1.5</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7" t="s">
        <v>789</v>
      </c>
      <c r="B64" s="895" t="s">
        <v>790</v>
      </c>
      <c r="C64" s="21">
        <f ca="1">ROUND(C57*F64,0)</f>
        <v>0</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7" t="s">
        <v>792</v>
      </c>
      <c r="B65" s="895" t="s">
        <v>742</v>
      </c>
      <c r="C65" s="21">
        <f ca="1">ROUND(C56*F65,0)</f>
        <v>0</v>
      </c>
      <c r="D65" s="909" t="s">
        <v>743</v>
      </c>
      <c r="E65" s="895"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7" t="s">
        <v>793</v>
      </c>
      <c r="B66" s="895" t="s">
        <v>728</v>
      </c>
      <c r="C66" s="21">
        <f ca="1">ROUND(C48*F66,0)</f>
        <v>0</v>
      </c>
      <c r="D66" s="909" t="s">
        <v>794</v>
      </c>
      <c r="E66" s="895" t="s">
        <v>712</v>
      </c>
      <c r="F66" s="304">
        <f t="shared" ca="1" si="0"/>
        <v>0</v>
      </c>
      <c r="O66" s="1323" t="s">
        <v>404</v>
      </c>
      <c r="P66" s="1324" t="s">
        <v>846</v>
      </c>
      <c r="Q66" s="1325" t="e">
        <f ca="1">L60</f>
        <v>#DIV/0!</v>
      </c>
      <c r="R66" s="1325" t="s">
        <v>869</v>
      </c>
    </row>
    <row r="67" spans="1:18" s="1290" customFormat="1" ht="24.6" thickBot="1">
      <c r="A67" s="902" t="s">
        <v>394</v>
      </c>
      <c r="B67" s="912" t="s">
        <v>752</v>
      </c>
      <c r="C67" s="308">
        <f ca="1">C48-C58</f>
        <v>0</v>
      </c>
      <c r="D67" s="908" t="s">
        <v>753</v>
      </c>
      <c r="E67" s="913"/>
      <c r="F67" s="914"/>
      <c r="O67" s="1332" t="s">
        <v>405</v>
      </c>
      <c r="P67" s="1324" t="s">
        <v>850</v>
      </c>
      <c r="Q67" s="1368">
        <f ca="1">L51</f>
        <v>0</v>
      </c>
      <c r="R67" s="1325" t="s">
        <v>870</v>
      </c>
    </row>
    <row r="68" spans="1:18" s="1290" customFormat="1" ht="16.2" thickBot="1">
      <c r="A68" s="892" t="s">
        <v>395</v>
      </c>
      <c r="B68" s="893" t="s">
        <v>774</v>
      </c>
      <c r="C68" s="293" t="e">
        <f ca="1">ROUND(C67*(1-((1+F70)/(1+F68))^F69)/(F68-F70),0)</f>
        <v>#DIV/0!</v>
      </c>
      <c r="D68" s="910" t="s">
        <v>758</v>
      </c>
      <c r="E68" s="895" t="s">
        <v>759</v>
      </c>
      <c r="F68" s="304">
        <f ca="1">F40</f>
        <v>0</v>
      </c>
      <c r="O68" s="1332" t="s">
        <v>406</v>
      </c>
      <c r="P68" s="1369" t="s">
        <v>871</v>
      </c>
      <c r="Q68" s="1325">
        <f ca="1">ROUND(Q69-Q70*Q71,0)</f>
        <v>0</v>
      </c>
      <c r="R68" s="1325" t="s">
        <v>414</v>
      </c>
    </row>
    <row r="69" spans="1:18" s="1290" customFormat="1" ht="13.8" thickBot="1">
      <c r="A69" s="896"/>
      <c r="B69" s="897"/>
      <c r="C69" s="298"/>
      <c r="D69" s="915" t="s">
        <v>762</v>
      </c>
      <c r="E69" s="895" t="s">
        <v>763</v>
      </c>
      <c r="F69" s="324">
        <f ca="1">F41</f>
        <v>0</v>
      </c>
      <c r="O69" s="1332" t="s">
        <v>411</v>
      </c>
      <c r="P69" s="1369" t="s">
        <v>872</v>
      </c>
      <c r="Q69" s="1325">
        <f ca="1">C39</f>
        <v>0</v>
      </c>
      <c r="R69" s="1325" t="s">
        <v>818</v>
      </c>
    </row>
    <row r="70" spans="1:18" s="1290" customFormat="1" ht="13.8" thickBot="1">
      <c r="A70" s="899"/>
      <c r="B70" s="900"/>
      <c r="C70" s="302"/>
      <c r="D70" s="911"/>
      <c r="E70" s="895" t="s">
        <v>766</v>
      </c>
      <c r="F70" s="990"/>
      <c r="O70" s="1332" t="s">
        <v>412</v>
      </c>
      <c r="P70" s="1369" t="s">
        <v>873</v>
      </c>
      <c r="Q70" s="1325">
        <f ca="1">C13</f>
        <v>0</v>
      </c>
      <c r="R70" s="1325" t="s">
        <v>818</v>
      </c>
    </row>
    <row r="71" spans="1:18" s="1290" customFormat="1" ht="13.8" thickBot="1">
      <c r="A71" s="916" t="s">
        <v>396</v>
      </c>
      <c r="B71" s="917" t="s">
        <v>776</v>
      </c>
      <c r="C71" s="327" t="e">
        <f ca="1">ROUND(C68/F71,0)</f>
        <v>#DIV/0!</v>
      </c>
      <c r="D71" s="918" t="s">
        <v>777</v>
      </c>
      <c r="E71" s="919"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估价范围判定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1" t="s">
        <v>2315</v>
      </c>
      <c r="B2" s="2593" t="e">
        <f>IF(D2="——",C40,C40+E2)</f>
        <v>#DIV/0!</v>
      </c>
      <c r="C2" s="2594" t="s">
        <v>2316</v>
      </c>
      <c r="D2" s="3137" t="s">
        <v>3359</v>
      </c>
      <c r="E2" s="3138"/>
      <c r="F2" s="2596"/>
      <c r="G2" s="2597"/>
      <c r="H2" s="2598"/>
      <c r="I2" s="2599"/>
      <c r="J2" s="3460" t="s">
        <v>2317</v>
      </c>
      <c r="K2" s="3461"/>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62" t="s">
        <v>2327</v>
      </c>
      <c r="K3" s="3463"/>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62" t="s">
        <v>2329</v>
      </c>
      <c r="K4" s="3463"/>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64" t="s">
        <v>2333</v>
      </c>
      <c r="B6" s="3465"/>
      <c r="C6" s="3466"/>
      <c r="D6" s="2620"/>
      <c r="E6" s="2621"/>
      <c r="F6" s="2622"/>
      <c r="G6" s="2623"/>
      <c r="H6" s="2598"/>
      <c r="I6" s="2599"/>
      <c r="J6" s="3467">
        <v>1</v>
      </c>
      <c r="K6" s="346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67"/>
      <c r="K7" s="3469"/>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71" t="s">
        <v>2347</v>
      </c>
      <c r="C8" s="3472"/>
      <c r="D8" s="2639" t="s">
        <v>2348</v>
      </c>
      <c r="E8" s="2640" t="s">
        <v>2349</v>
      </c>
      <c r="F8" s="2641" t="s">
        <v>2350</v>
      </c>
      <c r="G8" s="2642"/>
      <c r="H8" s="2598"/>
      <c r="I8" s="2599"/>
      <c r="J8" s="3467"/>
      <c r="K8" s="3469"/>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71" t="s">
        <v>2353</v>
      </c>
      <c r="C9" s="3472"/>
      <c r="D9" s="2639">
        <f>ROUND(D6*E9,0)</f>
        <v>0</v>
      </c>
      <c r="E9" s="2643"/>
      <c r="F9" s="2644" t="s">
        <v>2354</v>
      </c>
      <c r="G9" s="2623"/>
      <c r="H9" s="2598"/>
      <c r="I9" s="2599"/>
      <c r="J9" s="3467"/>
      <c r="K9" s="3469"/>
      <c r="L9" s="2633" t="s">
        <v>2355</v>
      </c>
      <c r="M9" s="2634"/>
      <c r="N9" s="2610"/>
      <c r="O9" s="2635"/>
      <c r="P9" s="2635"/>
      <c r="Q9" s="2636">
        <v>365</v>
      </c>
      <c r="R9" s="2637">
        <f t="shared" si="0"/>
        <v>0</v>
      </c>
      <c r="S9" s="2591"/>
      <c r="T9" s="2591"/>
      <c r="U9" s="2591"/>
      <c r="V9" s="2599"/>
    </row>
    <row r="10" spans="1:22" s="2603" customFormat="1" ht="13.2" customHeight="1">
      <c r="A10" s="2638">
        <v>2</v>
      </c>
      <c r="B10" s="3471" t="s">
        <v>2356</v>
      </c>
      <c r="C10" s="3472"/>
      <c r="D10" s="2639">
        <f>ROUND(D6*E10,0)</f>
        <v>0</v>
      </c>
      <c r="E10" s="2643"/>
      <c r="F10" s="2644" t="s">
        <v>2357</v>
      </c>
      <c r="G10" s="2623"/>
      <c r="H10" s="2598"/>
      <c r="I10" s="2599"/>
      <c r="J10" s="3467"/>
      <c r="K10" s="3469"/>
      <c r="L10" s="2633" t="s">
        <v>2358</v>
      </c>
      <c r="M10" s="2634"/>
      <c r="N10" s="2610"/>
      <c r="O10" s="2635"/>
      <c r="P10" s="2635"/>
      <c r="Q10" s="2636">
        <v>365</v>
      </c>
      <c r="R10" s="2637">
        <f t="shared" si="0"/>
        <v>0</v>
      </c>
      <c r="S10" s="2591"/>
      <c r="T10" s="2591"/>
      <c r="U10" s="2591"/>
      <c r="V10" s="2599"/>
    </row>
    <row r="11" spans="1:22" s="2603" customFormat="1" ht="13.2" customHeight="1">
      <c r="A11" s="2638">
        <v>3</v>
      </c>
      <c r="B11" s="3471" t="s">
        <v>2359</v>
      </c>
      <c r="C11" s="3472"/>
      <c r="D11" s="2639">
        <f>D12+D14+D15+D16</f>
        <v>0</v>
      </c>
      <c r="E11" s="2645" t="e">
        <f>D11/D6</f>
        <v>#DIV/0!</v>
      </c>
      <c r="F11" s="2641"/>
      <c r="G11" s="2642"/>
      <c r="H11" s="2598"/>
      <c r="I11" s="2599"/>
      <c r="J11" s="3467"/>
      <c r="K11" s="3469"/>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73" t="s">
        <v>2362</v>
      </c>
      <c r="C12" s="3474"/>
      <c r="D12" s="2647">
        <f>ROUND(D13*1.2%*(1-30%),0)</f>
        <v>0</v>
      </c>
      <c r="E12" s="2648">
        <v>1.2E-2</v>
      </c>
      <c r="F12" s="2641" t="s">
        <v>2363</v>
      </c>
      <c r="G12" s="2642"/>
      <c r="H12" s="2598"/>
      <c r="I12" s="2599"/>
      <c r="J12" s="3467"/>
      <c r="K12" s="3469"/>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67"/>
      <c r="K13" s="3469"/>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73" t="s">
        <v>2368</v>
      </c>
      <c r="C14" s="3474"/>
      <c r="D14" s="2647">
        <f>ROUND(E14*B5/10000,0)</f>
        <v>0</v>
      </c>
      <c r="E14" s="2636"/>
      <c r="F14" s="2641" t="s">
        <v>2369</v>
      </c>
      <c r="G14" s="2642"/>
      <c r="H14" s="2598"/>
      <c r="I14" s="2599"/>
      <c r="J14" s="3467"/>
      <c r="K14" s="347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73" t="s">
        <v>2372</v>
      </c>
      <c r="C15" s="3474"/>
      <c r="D15" s="2647">
        <f>ROUND(D6*E15,0)</f>
        <v>0</v>
      </c>
      <c r="E15" s="2648">
        <v>5.5E-2</v>
      </c>
      <c r="F15" s="2641" t="s">
        <v>2373</v>
      </c>
      <c r="G15" s="2623"/>
      <c r="H15" s="2598"/>
      <c r="I15" s="2599"/>
      <c r="J15" s="3467">
        <v>2</v>
      </c>
      <c r="K15" s="346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73" t="s">
        <v>2381</v>
      </c>
      <c r="C16" s="3474"/>
      <c r="D16" s="2658">
        <f>D6*E16</f>
        <v>0</v>
      </c>
      <c r="E16" s="2659"/>
      <c r="F16" s="2644" t="s">
        <v>2382</v>
      </c>
      <c r="G16" s="2623"/>
      <c r="H16" s="2598"/>
      <c r="I16" s="2599"/>
      <c r="J16" s="3467"/>
      <c r="K16" s="3469"/>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75" t="s">
        <v>2384</v>
      </c>
      <c r="C17" s="3476"/>
      <c r="D17" s="2661">
        <f>ROUND(D6*E17,0)</f>
        <v>0</v>
      </c>
      <c r="E17" s="2662"/>
      <c r="F17" s="2663" t="s">
        <v>2385</v>
      </c>
      <c r="G17" s="2623"/>
      <c r="H17" s="2598"/>
      <c r="I17" s="2599"/>
      <c r="J17" s="3467"/>
      <c r="K17" s="3469"/>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67"/>
      <c r="K18" s="3469"/>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67"/>
      <c r="K19" s="347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67">
        <v>3</v>
      </c>
      <c r="K20" s="346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67"/>
      <c r="K21" s="3469"/>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67"/>
      <c r="K22" s="3469"/>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67"/>
      <c r="K23" s="3469"/>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67"/>
      <c r="K24" s="347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7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7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60" t="s">
        <v>2317</v>
      </c>
      <c r="K32" s="3461"/>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62" t="s">
        <v>2327</v>
      </c>
      <c r="K33" s="3463"/>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62" t="s">
        <v>2329</v>
      </c>
      <c r="K34" s="3463"/>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67">
        <v>1</v>
      </c>
      <c r="K36" s="3468"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67"/>
      <c r="K37" s="3469"/>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67"/>
      <c r="K38" s="3469"/>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67"/>
      <c r="K39" s="3469"/>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67"/>
      <c r="K40" s="3470"/>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7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7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 type="list" allowBlank="1" showInputMessage="1" showErrorMessage="1" sqref="D2" xr:uid="{00000000-0002-0000-20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1657</v>
      </c>
      <c r="B1" s="1732" t="s">
        <v>1658</v>
      </c>
      <c r="C1" s="1153" t="s">
        <v>1659</v>
      </c>
      <c r="D1" s="1140"/>
      <c r="E1" s="3123"/>
      <c r="F1" s="1733"/>
      <c r="G1" s="1150" t="s">
        <v>1660</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1661</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1662</v>
      </c>
      <c r="D3" s="343">
        <f>IF(D1="",'数据-汇总表'!E3,SUMIF('数据-汇总表'!$C19:$C33,D1,'数据-汇总表'!$E19:$E33))</f>
        <v>20034.16</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7"/>
    </row>
    <row r="4" spans="1:29" ht="14.4">
      <c r="A4" s="345" t="s">
        <v>1663</v>
      </c>
      <c r="B4" s="346"/>
      <c r="C4" s="3431" t="s">
        <v>1664</v>
      </c>
      <c r="D4" s="3432"/>
      <c r="E4" s="3433" t="s">
        <v>1665</v>
      </c>
      <c r="F4" s="3434"/>
      <c r="G4" s="3431" t="s">
        <v>1666</v>
      </c>
      <c r="H4" s="3432"/>
      <c r="I4" s="3431" t="s">
        <v>1667</v>
      </c>
      <c r="J4" s="3432"/>
      <c r="K4" s="1742" t="s">
        <v>1668</v>
      </c>
      <c r="L4" s="2485"/>
      <c r="M4" s="2486"/>
      <c r="N4" s="2486"/>
      <c r="O4" s="2486"/>
      <c r="P4" s="3435" t="s">
        <v>1669</v>
      </c>
      <c r="Q4" s="3436"/>
      <c r="R4" s="3445" t="s">
        <v>1665</v>
      </c>
      <c r="S4" s="3446"/>
      <c r="T4" s="3445" t="s">
        <v>1666</v>
      </c>
      <c r="U4" s="3446"/>
      <c r="V4" s="3423" t="s">
        <v>1667</v>
      </c>
      <c r="W4" s="3423"/>
      <c r="X4" s="1263"/>
      <c r="Y4" s="3445" t="s">
        <v>1669</v>
      </c>
      <c r="Z4" s="3446"/>
      <c r="AA4" s="3428" t="s">
        <v>1665</v>
      </c>
      <c r="AB4" s="3428" t="s">
        <v>1666</v>
      </c>
      <c r="AC4" s="3428" t="s">
        <v>1667</v>
      </c>
    </row>
    <row r="5" spans="1:29">
      <c r="A5" s="348"/>
      <c r="B5" s="349"/>
      <c r="C5" s="3449" t="s">
        <v>1670</v>
      </c>
      <c r="D5" s="3450"/>
      <c r="E5" s="3441" t="s">
        <v>1671</v>
      </c>
      <c r="F5" s="3442"/>
      <c r="G5" s="3449" t="s">
        <v>1672</v>
      </c>
      <c r="H5" s="3450"/>
      <c r="I5" s="3449" t="s">
        <v>1673</v>
      </c>
      <c r="J5" s="3450"/>
      <c r="K5" s="1743"/>
      <c r="L5" s="2485"/>
      <c r="M5" s="2486"/>
      <c r="N5" s="2486"/>
      <c r="O5" s="2486"/>
      <c r="P5" s="3437"/>
      <c r="Q5" s="3438"/>
      <c r="R5" s="3447"/>
      <c r="S5" s="3448"/>
      <c r="T5" s="3447"/>
      <c r="U5" s="3448"/>
      <c r="V5" s="3423"/>
      <c r="W5" s="3423"/>
      <c r="X5" s="1263"/>
      <c r="Y5" s="3447"/>
      <c r="Z5" s="3448"/>
      <c r="AA5" s="3429"/>
      <c r="AB5" s="3429"/>
      <c r="AC5" s="3429"/>
    </row>
    <row r="6" spans="1:29" ht="15" thickBot="1">
      <c r="A6" s="350"/>
      <c r="B6" s="351"/>
      <c r="C6" s="3479" t="s">
        <v>1674</v>
      </c>
      <c r="D6" s="3480"/>
      <c r="E6" s="3481" t="s">
        <v>1674</v>
      </c>
      <c r="F6" s="3482"/>
      <c r="G6" s="3479" t="s">
        <v>1674</v>
      </c>
      <c r="H6" s="3480"/>
      <c r="I6" s="3479" t="s">
        <v>1674</v>
      </c>
      <c r="J6" s="3480"/>
      <c r="K6" s="1743" t="s">
        <v>1675</v>
      </c>
      <c r="L6" s="2485"/>
      <c r="M6" s="2486"/>
      <c r="N6" s="2486"/>
      <c r="O6" s="2486"/>
      <c r="P6" s="3439"/>
      <c r="Q6" s="3440"/>
      <c r="R6" s="3447"/>
      <c r="S6" s="3448"/>
      <c r="T6" s="3456"/>
      <c r="U6" s="3457"/>
      <c r="V6" s="3423"/>
      <c r="W6" s="3423"/>
      <c r="X6" s="1263"/>
      <c r="Y6" s="3456"/>
      <c r="Z6" s="3457"/>
      <c r="AA6" s="3430"/>
      <c r="AB6" s="3430"/>
      <c r="AC6" s="3430"/>
    </row>
    <row r="7" spans="1:29" s="102" customFormat="1" ht="15" thickBot="1">
      <c r="A7" s="352" t="s">
        <v>1676</v>
      </c>
      <c r="B7" s="353"/>
      <c r="C7" s="354">
        <f>'数据-取费表'!B2</f>
        <v>45470</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421" t="s">
        <v>1677</v>
      </c>
      <c r="Q7" s="3453"/>
      <c r="R7" s="664" t="s">
        <v>20</v>
      </c>
      <c r="S7" s="665">
        <f t="shared" ref="S7:S15" si="0">F7</f>
        <v>0</v>
      </c>
      <c r="T7" s="664" t="s">
        <v>20</v>
      </c>
      <c r="U7" s="665">
        <f t="shared" ref="U7:U15" si="1">H7</f>
        <v>0</v>
      </c>
      <c r="V7" s="664" t="s">
        <v>20</v>
      </c>
      <c r="W7" s="665">
        <f t="shared" ref="W7:W15" si="2">J7</f>
        <v>0</v>
      </c>
      <c r="X7" s="666"/>
      <c r="Y7" s="3421" t="s">
        <v>1677</v>
      </c>
      <c r="Z7" s="3422"/>
      <c r="AA7" s="50" t="e">
        <f>D7/F7</f>
        <v>#DIV/0!</v>
      </c>
      <c r="AB7" s="50" t="e">
        <f>D7/H7</f>
        <v>#DIV/0!</v>
      </c>
      <c r="AC7" s="50" t="e">
        <f>D7/J7</f>
        <v>#DIV/0!</v>
      </c>
    </row>
    <row r="8" spans="1:29" s="102" customFormat="1" ht="15" thickBot="1">
      <c r="A8" s="352" t="s">
        <v>1678</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421" t="s">
        <v>1680</v>
      </c>
      <c r="Q8" s="3422"/>
      <c r="R8" s="664" t="s">
        <v>20</v>
      </c>
      <c r="S8" s="665">
        <f t="shared" si="0"/>
        <v>100</v>
      </c>
      <c r="T8" s="664" t="s">
        <v>20</v>
      </c>
      <c r="U8" s="665">
        <f t="shared" si="1"/>
        <v>100</v>
      </c>
      <c r="V8" s="664" t="s">
        <v>20</v>
      </c>
      <c r="W8" s="665">
        <f t="shared" si="2"/>
        <v>100</v>
      </c>
      <c r="X8" s="666"/>
      <c r="Y8" s="3421" t="s">
        <v>1680</v>
      </c>
      <c r="Z8" s="3422"/>
      <c r="AA8" s="50">
        <f t="shared" ref="AA8:AA19" si="3">D8/F8</f>
        <v>1</v>
      </c>
      <c r="AB8" s="50">
        <f t="shared" ref="AB8:AB19" si="4">D8/H8</f>
        <v>1</v>
      </c>
      <c r="AC8" s="50">
        <f t="shared" ref="AC8:AC19" si="5">D8/J8</f>
        <v>1</v>
      </c>
    </row>
    <row r="9" spans="1:29" s="102" customFormat="1" ht="14.4">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444" t="s">
        <v>1683</v>
      </c>
      <c r="Q9" s="530" t="str">
        <f t="shared" ref="Q9:Q15" si="6">B9</f>
        <v>用途</v>
      </c>
      <c r="R9" s="664" t="s">
        <v>14</v>
      </c>
      <c r="S9" s="665">
        <f t="shared" si="0"/>
        <v>100</v>
      </c>
      <c r="T9" s="664" t="s">
        <v>14</v>
      </c>
      <c r="U9" s="665">
        <f t="shared" si="1"/>
        <v>100</v>
      </c>
      <c r="V9" s="664" t="s">
        <v>14</v>
      </c>
      <c r="W9" s="665">
        <f t="shared" si="2"/>
        <v>100</v>
      </c>
      <c r="X9" s="666"/>
      <c r="Y9" s="3389" t="s">
        <v>1684</v>
      </c>
      <c r="Z9" s="50" t="str">
        <f t="shared" ref="Z9:Z15" si="7">Q9</f>
        <v>用途</v>
      </c>
      <c r="AA9" s="50">
        <f t="shared" si="3"/>
        <v>1</v>
      </c>
      <c r="AB9" s="50">
        <f t="shared" si="4"/>
        <v>1</v>
      </c>
      <c r="AC9" s="50">
        <f t="shared" si="5"/>
        <v>1</v>
      </c>
    </row>
    <row r="10" spans="1:29" s="366" customFormat="1" ht="28.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44"/>
      <c r="Q11" s="530" t="str">
        <f t="shared" si="6"/>
        <v>容积率</v>
      </c>
      <c r="R11" s="664" t="s">
        <v>18</v>
      </c>
      <c r="S11" s="665" t="e">
        <f t="shared" si="0"/>
        <v>#N/A</v>
      </c>
      <c r="T11" s="664" t="s">
        <v>18</v>
      </c>
      <c r="U11" s="665" t="e">
        <f t="shared" si="1"/>
        <v>#N/A</v>
      </c>
      <c r="V11" s="664" t="s">
        <v>18</v>
      </c>
      <c r="W11" s="665" t="e">
        <f t="shared" si="2"/>
        <v>#N/A</v>
      </c>
      <c r="X11" s="666"/>
      <c r="Y11" s="338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444"/>
      <c r="Q12" s="530">
        <f t="shared" si="6"/>
        <v>111</v>
      </c>
      <c r="R12" s="664" t="s">
        <v>18</v>
      </c>
      <c r="S12" s="665">
        <f t="shared" si="0"/>
        <v>100</v>
      </c>
      <c r="T12" s="664" t="s">
        <v>18</v>
      </c>
      <c r="U12" s="665">
        <f t="shared" si="1"/>
        <v>100</v>
      </c>
      <c r="V12" s="664" t="s">
        <v>18</v>
      </c>
      <c r="W12" s="665">
        <f t="shared" si="2"/>
        <v>100</v>
      </c>
      <c r="X12" s="666"/>
      <c r="Y12" s="338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444"/>
      <c r="Q13" s="530">
        <f t="shared" si="6"/>
        <v>111</v>
      </c>
      <c r="R13" s="664" t="s">
        <v>18</v>
      </c>
      <c r="S13" s="665">
        <f t="shared" si="0"/>
        <v>100</v>
      </c>
      <c r="T13" s="664" t="s">
        <v>18</v>
      </c>
      <c r="U13" s="665">
        <f t="shared" si="1"/>
        <v>100</v>
      </c>
      <c r="V13" s="664" t="s">
        <v>18</v>
      </c>
      <c r="W13" s="665">
        <f t="shared" si="2"/>
        <v>100</v>
      </c>
      <c r="X13" s="666"/>
      <c r="Y13" s="3389"/>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444"/>
      <c r="Q14" s="530">
        <f t="shared" si="6"/>
        <v>111</v>
      </c>
      <c r="R14" s="664" t="s">
        <v>18</v>
      </c>
      <c r="S14" s="665">
        <f t="shared" si="0"/>
        <v>100</v>
      </c>
      <c r="T14" s="664" t="s">
        <v>18</v>
      </c>
      <c r="U14" s="665">
        <f t="shared" si="1"/>
        <v>100</v>
      </c>
      <c r="V14" s="664" t="s">
        <v>18</v>
      </c>
      <c r="W14" s="665">
        <f t="shared" si="2"/>
        <v>100</v>
      </c>
      <c r="X14" s="666"/>
      <c r="Y14" s="3389"/>
      <c r="Z14" s="50">
        <f t="shared" si="7"/>
        <v>111</v>
      </c>
      <c r="AA14" s="50">
        <f t="shared" si="3"/>
        <v>1</v>
      </c>
      <c r="AB14" s="50">
        <f t="shared" si="4"/>
        <v>1</v>
      </c>
      <c r="AC14" s="50">
        <f t="shared" si="5"/>
        <v>1</v>
      </c>
    </row>
    <row r="15" spans="1:29" ht="96.6">
      <c r="A15" s="379" t="s">
        <v>1687</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88" t="s">
        <v>1688</v>
      </c>
      <c r="Q15" s="1261" t="str">
        <f t="shared" si="6"/>
        <v>居住社区成熟度</v>
      </c>
      <c r="R15" s="667" t="s">
        <v>18</v>
      </c>
      <c r="S15" s="668">
        <f t="shared" si="0"/>
        <v>100</v>
      </c>
      <c r="T15" s="667" t="s">
        <v>18</v>
      </c>
      <c r="U15" s="668">
        <f t="shared" si="1"/>
        <v>100</v>
      </c>
      <c r="V15" s="667" t="s">
        <v>18</v>
      </c>
      <c r="W15" s="668">
        <f t="shared" si="2"/>
        <v>100</v>
      </c>
      <c r="X15" s="1263"/>
      <c r="Y15" s="3424" t="s">
        <v>1688</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489"/>
      <c r="Q16" s="1261"/>
      <c r="R16" s="667"/>
      <c r="S16" s="668"/>
      <c r="T16" s="667"/>
      <c r="U16" s="668"/>
      <c r="V16" s="667"/>
      <c r="W16" s="668"/>
      <c r="X16" s="1263"/>
      <c r="Y16" s="3425"/>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89"/>
      <c r="Q17" s="1261" t="str">
        <f>B17</f>
        <v>交通便捷度</v>
      </c>
      <c r="R17" s="667" t="s">
        <v>18</v>
      </c>
      <c r="S17" s="668">
        <f>F17</f>
        <v>100</v>
      </c>
      <c r="T17" s="667" t="s">
        <v>18</v>
      </c>
      <c r="U17" s="668">
        <f>H17</f>
        <v>100</v>
      </c>
      <c r="V17" s="667" t="s">
        <v>18</v>
      </c>
      <c r="W17" s="668">
        <f>J17</f>
        <v>100</v>
      </c>
      <c r="X17" s="1263"/>
      <c r="Y17" s="3425"/>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489"/>
      <c r="Q18" s="1261"/>
      <c r="R18" s="667"/>
      <c r="S18" s="668"/>
      <c r="T18" s="667"/>
      <c r="U18" s="668"/>
      <c r="V18" s="667"/>
      <c r="W18" s="668"/>
      <c r="X18" s="1263"/>
      <c r="Y18" s="3425"/>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89"/>
      <c r="Q19" s="1261" t="str">
        <f>B19</f>
        <v>公共配套设施</v>
      </c>
      <c r="R19" s="667" t="s">
        <v>18</v>
      </c>
      <c r="S19" s="668">
        <f>F19</f>
        <v>100</v>
      </c>
      <c r="T19" s="667" t="s">
        <v>18</v>
      </c>
      <c r="U19" s="668">
        <f>H19</f>
        <v>100</v>
      </c>
      <c r="V19" s="667" t="s">
        <v>18</v>
      </c>
      <c r="W19" s="668">
        <f>J19</f>
        <v>100</v>
      </c>
      <c r="X19" s="1263"/>
      <c r="Y19" s="3425"/>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489"/>
      <c r="Q20" s="1261"/>
      <c r="R20" s="667"/>
      <c r="S20" s="668"/>
      <c r="T20" s="667"/>
      <c r="U20" s="668"/>
      <c r="V20" s="667"/>
      <c r="W20" s="668"/>
      <c r="X20" s="1263"/>
      <c r="Y20" s="3425"/>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89"/>
      <c r="Q21" s="1261" t="str">
        <f>B21</f>
        <v>基础设施水平</v>
      </c>
      <c r="R21" s="667" t="s">
        <v>14</v>
      </c>
      <c r="S21" s="668">
        <f>F21</f>
        <v>100</v>
      </c>
      <c r="T21" s="667" t="s">
        <v>14</v>
      </c>
      <c r="U21" s="668">
        <f>H21</f>
        <v>100</v>
      </c>
      <c r="V21" s="667" t="s">
        <v>14</v>
      </c>
      <c r="W21" s="668">
        <f>J21</f>
        <v>100</v>
      </c>
      <c r="X21" s="1263"/>
      <c r="Y21" s="3425"/>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1"/>
      <c r="M22" s="2486"/>
      <c r="N22" s="2486"/>
      <c r="O22" s="2486"/>
      <c r="P22" s="3489"/>
      <c r="Q22" s="1261"/>
      <c r="R22" s="667"/>
      <c r="S22" s="668"/>
      <c r="T22" s="667"/>
      <c r="U22" s="668"/>
      <c r="V22" s="667"/>
      <c r="W22" s="668"/>
      <c r="X22" s="1263"/>
      <c r="Y22" s="3425"/>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89"/>
      <c r="Q23" s="1261" t="str">
        <f>B23</f>
        <v>自然及人文环境</v>
      </c>
      <c r="R23" s="667" t="s">
        <v>18</v>
      </c>
      <c r="S23" s="668">
        <f>F23</f>
        <v>100</v>
      </c>
      <c r="T23" s="667" t="s">
        <v>18</v>
      </c>
      <c r="U23" s="668">
        <f>H23</f>
        <v>100</v>
      </c>
      <c r="V23" s="667" t="s">
        <v>18</v>
      </c>
      <c r="W23" s="668">
        <f>J23</f>
        <v>100</v>
      </c>
      <c r="X23" s="1263"/>
      <c r="Y23" s="3425"/>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489"/>
      <c r="Q24" s="1261"/>
      <c r="R24" s="667"/>
      <c r="S24" s="668"/>
      <c r="T24" s="667"/>
      <c r="U24" s="668"/>
      <c r="V24" s="667"/>
      <c r="W24" s="668"/>
      <c r="X24" s="1263"/>
      <c r="Y24" s="3425"/>
      <c r="Z24" s="1262"/>
      <c r="AA24" s="1262">
        <v>1</v>
      </c>
      <c r="AB24" s="1262">
        <v>1</v>
      </c>
      <c r="AC24" s="1262">
        <v>1</v>
      </c>
    </row>
    <row r="25" spans="1:29" ht="15">
      <c r="A25" s="367"/>
      <c r="B25" s="364" t="s">
        <v>1689</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489"/>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25"/>
      <c r="Z25" s="1262" t="str">
        <f>Q25</f>
        <v>楼层-1</v>
      </c>
      <c r="AA25" s="1262">
        <f t="shared" ref="AA25:AA46" si="15">D25/F25</f>
        <v>1</v>
      </c>
      <c r="AB25" s="1262">
        <f t="shared" ref="AB25:AB46" si="16">D25/H25</f>
        <v>1</v>
      </c>
      <c r="AC25" s="1262">
        <f t="shared" ref="AC25:AC46" si="17">D25/J25</f>
        <v>1</v>
      </c>
    </row>
    <row r="26" spans="1:29" ht="15">
      <c r="A26" s="367"/>
      <c r="B26" s="364" t="s">
        <v>1690</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489"/>
      <c r="Q26" s="1261" t="str">
        <f t="shared" si="11"/>
        <v>朝向</v>
      </c>
      <c r="R26" s="667" t="s">
        <v>18</v>
      </c>
      <c r="S26" s="668">
        <f t="shared" si="12"/>
        <v>100</v>
      </c>
      <c r="T26" s="667" t="s">
        <v>18</v>
      </c>
      <c r="U26" s="668">
        <f t="shared" si="13"/>
        <v>100</v>
      </c>
      <c r="V26" s="667" t="s">
        <v>18</v>
      </c>
      <c r="W26" s="668">
        <f t="shared" si="14"/>
        <v>100</v>
      </c>
      <c r="X26" s="1263"/>
      <c r="Y26" s="3425"/>
      <c r="Z26" s="1262" t="str">
        <f>Q26</f>
        <v>朝向</v>
      </c>
      <c r="AA26" s="1262">
        <f t="shared" si="15"/>
        <v>1</v>
      </c>
      <c r="AB26" s="1262">
        <f t="shared" si="16"/>
        <v>1</v>
      </c>
      <c r="AC26" s="1262">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489"/>
      <c r="Q27" s="530">
        <f t="shared" si="11"/>
        <v>111</v>
      </c>
      <c r="R27" s="664" t="s">
        <v>18</v>
      </c>
      <c r="S27" s="665">
        <f t="shared" si="12"/>
        <v>100</v>
      </c>
      <c r="T27" s="664" t="s">
        <v>18</v>
      </c>
      <c r="U27" s="665">
        <f t="shared" si="13"/>
        <v>100</v>
      </c>
      <c r="V27" s="664" t="s">
        <v>18</v>
      </c>
      <c r="W27" s="665">
        <f t="shared" si="14"/>
        <v>100</v>
      </c>
      <c r="X27" s="666"/>
      <c r="Y27" s="3425"/>
      <c r="Z27" s="50">
        <f>Q27</f>
        <v>111</v>
      </c>
      <c r="AA27" s="1262">
        <f t="shared" si="15"/>
        <v>1</v>
      </c>
      <c r="AB27" s="1262">
        <f t="shared" si="16"/>
        <v>1</v>
      </c>
      <c r="AC27" s="1262">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489"/>
      <c r="Q28" s="1261">
        <f t="shared" si="11"/>
        <v>111</v>
      </c>
      <c r="R28" s="667" t="s">
        <v>18</v>
      </c>
      <c r="S28" s="668">
        <f t="shared" si="12"/>
        <v>100</v>
      </c>
      <c r="T28" s="667" t="s">
        <v>18</v>
      </c>
      <c r="U28" s="668">
        <f t="shared" si="13"/>
        <v>100</v>
      </c>
      <c r="V28" s="667" t="s">
        <v>18</v>
      </c>
      <c r="W28" s="668">
        <f t="shared" si="14"/>
        <v>100</v>
      </c>
      <c r="X28" s="1263"/>
      <c r="Y28" s="3425"/>
      <c r="Z28" s="1262">
        <f t="shared" ref="Z28:Z46" si="18">Q28</f>
        <v>111</v>
      </c>
      <c r="AA28" s="1262">
        <f t="shared" si="15"/>
        <v>1</v>
      </c>
      <c r="AB28" s="1262">
        <f t="shared" si="16"/>
        <v>1</v>
      </c>
      <c r="AC28" s="1262">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489"/>
      <c r="Q29" s="1261">
        <f t="shared" si="11"/>
        <v>111</v>
      </c>
      <c r="R29" s="667" t="s">
        <v>18</v>
      </c>
      <c r="S29" s="668">
        <f t="shared" si="12"/>
        <v>100</v>
      </c>
      <c r="T29" s="667" t="s">
        <v>18</v>
      </c>
      <c r="U29" s="668">
        <f t="shared" si="13"/>
        <v>100</v>
      </c>
      <c r="V29" s="667" t="s">
        <v>18</v>
      </c>
      <c r="W29" s="668">
        <f t="shared" si="14"/>
        <v>100</v>
      </c>
      <c r="X29" s="1263"/>
      <c r="Y29" s="3425"/>
      <c r="Z29" s="1262">
        <f t="shared" si="18"/>
        <v>111</v>
      </c>
      <c r="AA29" s="1262">
        <f t="shared" si="15"/>
        <v>1</v>
      </c>
      <c r="AB29" s="1262">
        <f t="shared" si="16"/>
        <v>1</v>
      </c>
      <c r="AC29" s="1262">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489"/>
      <c r="Q30" s="1261">
        <f t="shared" si="11"/>
        <v>111</v>
      </c>
      <c r="R30" s="667" t="s">
        <v>18</v>
      </c>
      <c r="S30" s="668">
        <f t="shared" si="12"/>
        <v>100</v>
      </c>
      <c r="T30" s="667" t="s">
        <v>18</v>
      </c>
      <c r="U30" s="668">
        <f t="shared" si="13"/>
        <v>100</v>
      </c>
      <c r="V30" s="667" t="s">
        <v>18</v>
      </c>
      <c r="W30" s="668">
        <f t="shared" si="14"/>
        <v>100</v>
      </c>
      <c r="X30" s="1263"/>
      <c r="Y30" s="3425"/>
      <c r="Z30" s="1262">
        <f t="shared" si="18"/>
        <v>111</v>
      </c>
      <c r="AA30" s="1262">
        <f t="shared" si="15"/>
        <v>1</v>
      </c>
      <c r="AB30" s="1262">
        <f t="shared" si="16"/>
        <v>1</v>
      </c>
      <c r="AC30" s="1262">
        <f t="shared" si="17"/>
        <v>1</v>
      </c>
    </row>
    <row r="31" spans="1:29" ht="15.6"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489"/>
      <c r="Q31" s="1261">
        <f t="shared" si="11"/>
        <v>111</v>
      </c>
      <c r="R31" s="667" t="s">
        <v>18</v>
      </c>
      <c r="S31" s="668">
        <f t="shared" si="12"/>
        <v>100</v>
      </c>
      <c r="T31" s="667" t="s">
        <v>18</v>
      </c>
      <c r="U31" s="668">
        <f t="shared" si="13"/>
        <v>100</v>
      </c>
      <c r="V31" s="667" t="s">
        <v>18</v>
      </c>
      <c r="W31" s="668">
        <f t="shared" si="14"/>
        <v>100</v>
      </c>
      <c r="X31" s="1263"/>
      <c r="Y31" s="3425"/>
      <c r="Z31" s="1262">
        <f t="shared" si="18"/>
        <v>111</v>
      </c>
      <c r="AA31" s="1262">
        <f t="shared" si="15"/>
        <v>1</v>
      </c>
      <c r="AB31" s="1262">
        <f t="shared" si="16"/>
        <v>1</v>
      </c>
      <c r="AC31" s="1262">
        <f t="shared" si="17"/>
        <v>1</v>
      </c>
    </row>
    <row r="32" spans="1:29" ht="15">
      <c r="A32" s="379" t="s">
        <v>1691</v>
      </c>
      <c r="B32" s="60" t="s">
        <v>1692</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484" t="s">
        <v>1693</v>
      </c>
      <c r="Q32" s="1261" t="str">
        <f t="shared" si="11"/>
        <v>建筑类型</v>
      </c>
      <c r="R32" s="667" t="s">
        <v>18</v>
      </c>
      <c r="S32" s="668">
        <f t="shared" si="12"/>
        <v>100</v>
      </c>
      <c r="T32" s="667" t="s">
        <v>18</v>
      </c>
      <c r="U32" s="668">
        <f t="shared" si="13"/>
        <v>100</v>
      </c>
      <c r="V32" s="667" t="s">
        <v>18</v>
      </c>
      <c r="W32" s="668">
        <f t="shared" si="14"/>
        <v>100</v>
      </c>
      <c r="X32" s="1263"/>
      <c r="Y32" s="3427" t="s">
        <v>1693</v>
      </c>
      <c r="Z32" s="1262" t="str">
        <f t="shared" si="18"/>
        <v>建筑类型</v>
      </c>
      <c r="AA32" s="1262">
        <f t="shared" si="15"/>
        <v>1</v>
      </c>
      <c r="AB32" s="1262">
        <f t="shared" si="16"/>
        <v>1</v>
      </c>
      <c r="AC32" s="1262">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485"/>
      <c r="Q33" s="531" t="str">
        <f t="shared" si="11"/>
        <v>项目建筑规模</v>
      </c>
      <c r="R33" s="669" t="s">
        <v>18</v>
      </c>
      <c r="S33" s="670" t="e">
        <f t="shared" si="12"/>
        <v>#N/A</v>
      </c>
      <c r="T33" s="669" t="s">
        <v>18</v>
      </c>
      <c r="U33" s="670" t="e">
        <f t="shared" si="13"/>
        <v>#N/A</v>
      </c>
      <c r="V33" s="669" t="s">
        <v>18</v>
      </c>
      <c r="W33" s="670" t="e">
        <f t="shared" si="14"/>
        <v>#N/A</v>
      </c>
      <c r="X33" s="671"/>
      <c r="Y33" s="3427"/>
      <c r="Z33" s="672" t="str">
        <f t="shared" si="18"/>
        <v>项目建筑规模</v>
      </c>
      <c r="AA33" s="1262" t="e">
        <f t="shared" si="15"/>
        <v>#N/A</v>
      </c>
      <c r="AB33" s="1262" t="e">
        <f t="shared" si="16"/>
        <v>#N/A</v>
      </c>
      <c r="AC33" s="1262" t="e">
        <f t="shared" si="17"/>
        <v>#N/A</v>
      </c>
    </row>
    <row r="34" spans="1:29" ht="15">
      <c r="A34" s="409"/>
      <c r="B34" s="364" t="s">
        <v>1695</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485"/>
      <c r="Q34" s="1261" t="str">
        <f t="shared" si="11"/>
        <v>建筑结构</v>
      </c>
      <c r="R34" s="667" t="s">
        <v>18</v>
      </c>
      <c r="S34" s="668">
        <f t="shared" si="12"/>
        <v>100</v>
      </c>
      <c r="T34" s="667" t="s">
        <v>18</v>
      </c>
      <c r="U34" s="668">
        <f t="shared" si="13"/>
        <v>100</v>
      </c>
      <c r="V34" s="667" t="s">
        <v>18</v>
      </c>
      <c r="W34" s="668">
        <f t="shared" si="14"/>
        <v>100</v>
      </c>
      <c r="X34" s="1263"/>
      <c r="Y34" s="3427"/>
      <c r="Z34" s="1262" t="str">
        <f t="shared" si="18"/>
        <v>建筑结构</v>
      </c>
      <c r="AA34" s="1262">
        <f t="shared" si="15"/>
        <v>1</v>
      </c>
      <c r="AB34" s="1262">
        <f t="shared" si="16"/>
        <v>1</v>
      </c>
      <c r="AC34" s="1262">
        <f t="shared" si="17"/>
        <v>1</v>
      </c>
    </row>
    <row r="35" spans="1:29" ht="15">
      <c r="A35" s="409"/>
      <c r="B35" s="364" t="s">
        <v>1696</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485"/>
      <c r="Q35" s="1261" t="str">
        <f t="shared" si="11"/>
        <v>建筑品质</v>
      </c>
      <c r="R35" s="667" t="s">
        <v>18</v>
      </c>
      <c r="S35" s="668">
        <f t="shared" si="12"/>
        <v>100</v>
      </c>
      <c r="T35" s="667" t="s">
        <v>18</v>
      </c>
      <c r="U35" s="668">
        <f t="shared" si="13"/>
        <v>100</v>
      </c>
      <c r="V35" s="667" t="s">
        <v>18</v>
      </c>
      <c r="W35" s="668">
        <f t="shared" si="14"/>
        <v>100</v>
      </c>
      <c r="X35" s="1263"/>
      <c r="Y35" s="3427"/>
      <c r="Z35" s="1262" t="str">
        <f t="shared" si="18"/>
        <v>建筑品质</v>
      </c>
      <c r="AA35" s="1262">
        <f t="shared" si="15"/>
        <v>1</v>
      </c>
      <c r="AB35" s="1262">
        <f t="shared" si="16"/>
        <v>1</v>
      </c>
      <c r="AC35" s="1262">
        <f t="shared" si="17"/>
        <v>1</v>
      </c>
    </row>
    <row r="36" spans="1:29" ht="15">
      <c r="A36" s="409"/>
      <c r="B36" s="364" t="s">
        <v>1697</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485"/>
      <c r="Q36" s="1261" t="str">
        <f t="shared" si="11"/>
        <v>公共部分装修</v>
      </c>
      <c r="R36" s="667" t="s">
        <v>18</v>
      </c>
      <c r="S36" s="668">
        <f t="shared" si="12"/>
        <v>100</v>
      </c>
      <c r="T36" s="667" t="s">
        <v>18</v>
      </c>
      <c r="U36" s="668">
        <f t="shared" si="13"/>
        <v>100</v>
      </c>
      <c r="V36" s="667" t="s">
        <v>18</v>
      </c>
      <c r="W36" s="668">
        <f t="shared" si="14"/>
        <v>100</v>
      </c>
      <c r="X36" s="1263"/>
      <c r="Y36" s="3427"/>
      <c r="Z36" s="1262" t="str">
        <f t="shared" si="18"/>
        <v>公共部分装修</v>
      </c>
      <c r="AA36" s="1262">
        <f t="shared" si="15"/>
        <v>1</v>
      </c>
      <c r="AB36" s="1262">
        <f t="shared" si="16"/>
        <v>1</v>
      </c>
      <c r="AC36" s="1262">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85"/>
      <c r="Q37" s="530" t="str">
        <f t="shared" si="11"/>
        <v>成新度</v>
      </c>
      <c r="R37" s="664" t="s">
        <v>18</v>
      </c>
      <c r="S37" s="665" t="e">
        <f t="shared" si="12"/>
        <v>#N/A</v>
      </c>
      <c r="T37" s="664" t="s">
        <v>18</v>
      </c>
      <c r="U37" s="665" t="e">
        <f t="shared" si="13"/>
        <v>#N/A</v>
      </c>
      <c r="V37" s="664" t="s">
        <v>18</v>
      </c>
      <c r="W37" s="665" t="e">
        <f t="shared" si="14"/>
        <v>#N/A</v>
      </c>
      <c r="X37" s="666"/>
      <c r="Y37" s="3427"/>
      <c r="Z37" s="50" t="str">
        <f t="shared" si="18"/>
        <v>成新度</v>
      </c>
      <c r="AA37" s="50" t="e">
        <f t="shared" si="15"/>
        <v>#N/A</v>
      </c>
      <c r="AB37" s="50" t="e">
        <f t="shared" si="16"/>
        <v>#N/A</v>
      </c>
      <c r="AC37" s="50" t="e">
        <f t="shared" si="17"/>
        <v>#N/A</v>
      </c>
    </row>
    <row r="38" spans="1:29" ht="15">
      <c r="A38" s="409"/>
      <c r="B38" s="364" t="s">
        <v>1699</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485" t="s">
        <v>1693</v>
      </c>
      <c r="Q38" s="1261" t="str">
        <f t="shared" si="11"/>
        <v>物业管理</v>
      </c>
      <c r="R38" s="667" t="s">
        <v>18</v>
      </c>
      <c r="S38" s="668">
        <f t="shared" si="12"/>
        <v>100</v>
      </c>
      <c r="T38" s="667" t="s">
        <v>18</v>
      </c>
      <c r="U38" s="668">
        <f t="shared" si="13"/>
        <v>100</v>
      </c>
      <c r="V38" s="667" t="s">
        <v>18</v>
      </c>
      <c r="W38" s="668">
        <f t="shared" si="14"/>
        <v>100</v>
      </c>
      <c r="X38" s="1263"/>
      <c r="Y38" s="3427" t="s">
        <v>1693</v>
      </c>
      <c r="Z38" s="1262" t="str">
        <f t="shared" si="18"/>
        <v>物业管理</v>
      </c>
      <c r="AA38" s="1262">
        <f t="shared" si="15"/>
        <v>1</v>
      </c>
      <c r="AB38" s="1262">
        <f t="shared" si="16"/>
        <v>1</v>
      </c>
      <c r="AC38" s="1262">
        <f t="shared" si="17"/>
        <v>1</v>
      </c>
    </row>
    <row r="39" spans="1:29" ht="15">
      <c r="A39" s="409"/>
      <c r="B39" s="364" t="s">
        <v>1700</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485"/>
      <c r="Q39" s="1261" t="str">
        <f t="shared" si="11"/>
        <v>市政基础设施</v>
      </c>
      <c r="R39" s="667" t="s">
        <v>18</v>
      </c>
      <c r="S39" s="668">
        <f t="shared" si="12"/>
        <v>100</v>
      </c>
      <c r="T39" s="667" t="s">
        <v>18</v>
      </c>
      <c r="U39" s="668">
        <f t="shared" si="13"/>
        <v>100</v>
      </c>
      <c r="V39" s="667" t="s">
        <v>18</v>
      </c>
      <c r="W39" s="668">
        <f t="shared" si="14"/>
        <v>100</v>
      </c>
      <c r="X39" s="1263"/>
      <c r="Y39" s="3427"/>
      <c r="Z39" s="1262" t="str">
        <f t="shared" si="18"/>
        <v>市政基础设施</v>
      </c>
      <c r="AA39" s="1262">
        <f t="shared" si="15"/>
        <v>1</v>
      </c>
      <c r="AB39" s="1262">
        <f t="shared" si="16"/>
        <v>1</v>
      </c>
      <c r="AC39" s="1262">
        <f t="shared" si="17"/>
        <v>1</v>
      </c>
    </row>
    <row r="40" spans="1:29" ht="15">
      <c r="A40" s="409"/>
      <c r="B40" s="364" t="s">
        <v>1701</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485"/>
      <c r="Q40" s="1261" t="str">
        <f t="shared" si="11"/>
        <v>房型</v>
      </c>
      <c r="R40" s="667" t="s">
        <v>18</v>
      </c>
      <c r="S40" s="668">
        <f t="shared" si="12"/>
        <v>100</v>
      </c>
      <c r="T40" s="667" t="s">
        <v>18</v>
      </c>
      <c r="U40" s="668">
        <f t="shared" si="13"/>
        <v>100</v>
      </c>
      <c r="V40" s="667" t="s">
        <v>18</v>
      </c>
      <c r="W40" s="668">
        <f t="shared" si="14"/>
        <v>100</v>
      </c>
      <c r="X40" s="1263"/>
      <c r="Y40" s="3427"/>
      <c r="Z40" s="1262" t="str">
        <f t="shared" si="18"/>
        <v>房型</v>
      </c>
      <c r="AA40" s="1262">
        <f t="shared" si="15"/>
        <v>1</v>
      </c>
      <c r="AB40" s="1262">
        <f t="shared" si="16"/>
        <v>1</v>
      </c>
      <c r="AC40" s="1262">
        <f t="shared" si="17"/>
        <v>1</v>
      </c>
    </row>
    <row r="41" spans="1:29" s="408" customFormat="1" ht="28.8">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485"/>
      <c r="Q41" s="531" t="str">
        <f t="shared" si="11"/>
        <v>单套/主力户型建筑面积</v>
      </c>
      <c r="R41" s="669" t="s">
        <v>18</v>
      </c>
      <c r="S41" s="670">
        <f t="shared" si="12"/>
        <v>100</v>
      </c>
      <c r="T41" s="669" t="s">
        <v>18</v>
      </c>
      <c r="U41" s="670">
        <f t="shared" si="13"/>
        <v>100</v>
      </c>
      <c r="V41" s="669" t="s">
        <v>18</v>
      </c>
      <c r="W41" s="670">
        <f t="shared" si="14"/>
        <v>100</v>
      </c>
      <c r="X41" s="671"/>
      <c r="Y41" s="3427"/>
      <c r="Z41" s="672" t="str">
        <f t="shared" si="18"/>
        <v>单套/主力户型建筑面积</v>
      </c>
      <c r="AA41" s="1262">
        <f t="shared" si="15"/>
        <v>1</v>
      </c>
      <c r="AB41" s="1262">
        <f t="shared" si="16"/>
        <v>1</v>
      </c>
      <c r="AC41" s="1262">
        <f t="shared" si="17"/>
        <v>1</v>
      </c>
    </row>
    <row r="42" spans="1:29" ht="15">
      <c r="A42" s="409"/>
      <c r="B42" s="364" t="s">
        <v>1703</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485"/>
      <c r="Q42" s="1261" t="str">
        <f t="shared" si="11"/>
        <v>内部装修</v>
      </c>
      <c r="R42" s="667" t="s">
        <v>18</v>
      </c>
      <c r="S42" s="668">
        <f t="shared" si="12"/>
        <v>100</v>
      </c>
      <c r="T42" s="667" t="s">
        <v>18</v>
      </c>
      <c r="U42" s="668">
        <f t="shared" si="13"/>
        <v>100</v>
      </c>
      <c r="V42" s="667" t="s">
        <v>18</v>
      </c>
      <c r="W42" s="668">
        <f t="shared" si="14"/>
        <v>100</v>
      </c>
      <c r="X42" s="1263"/>
      <c r="Y42" s="3427"/>
      <c r="Z42" s="1262" t="str">
        <f t="shared" si="18"/>
        <v>内部装修</v>
      </c>
      <c r="AA42" s="1262">
        <f t="shared" si="15"/>
        <v>1</v>
      </c>
      <c r="AB42" s="1262">
        <f t="shared" si="16"/>
        <v>1</v>
      </c>
      <c r="AC42" s="1262">
        <f t="shared" si="17"/>
        <v>1</v>
      </c>
    </row>
    <row r="43" spans="1:29" ht="28.8">
      <c r="A43" s="409"/>
      <c r="B43" s="364" t="s">
        <v>1704</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485"/>
      <c r="Q43" s="1261" t="str">
        <f t="shared" si="11"/>
        <v>内部装修维护情况</v>
      </c>
      <c r="R43" s="667" t="s">
        <v>18</v>
      </c>
      <c r="S43" s="668">
        <f t="shared" si="12"/>
        <v>100</v>
      </c>
      <c r="T43" s="667" t="s">
        <v>18</v>
      </c>
      <c r="U43" s="668">
        <f t="shared" si="13"/>
        <v>100</v>
      </c>
      <c r="V43" s="667" t="s">
        <v>18</v>
      </c>
      <c r="W43" s="668">
        <f t="shared" si="14"/>
        <v>100</v>
      </c>
      <c r="X43" s="1263"/>
      <c r="Y43" s="3427"/>
      <c r="Z43" s="1262" t="str">
        <f t="shared" si="18"/>
        <v>内部装修维护情况</v>
      </c>
      <c r="AA43" s="1262">
        <f t="shared" si="15"/>
        <v>1</v>
      </c>
      <c r="AB43" s="1262">
        <f t="shared" si="16"/>
        <v>1</v>
      </c>
      <c r="AC43" s="1262">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485"/>
      <c r="Q44" s="530">
        <f t="shared" si="11"/>
        <v>111</v>
      </c>
      <c r="R44" s="664" t="s">
        <v>18</v>
      </c>
      <c r="S44" s="665">
        <f t="shared" si="12"/>
        <v>100</v>
      </c>
      <c r="T44" s="664" t="s">
        <v>18</v>
      </c>
      <c r="U44" s="665">
        <f t="shared" si="13"/>
        <v>100</v>
      </c>
      <c r="V44" s="664" t="s">
        <v>18</v>
      </c>
      <c r="W44" s="665">
        <f t="shared" si="14"/>
        <v>100</v>
      </c>
      <c r="X44" s="666"/>
      <c r="Y44" s="3427"/>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485"/>
      <c r="Q45" s="1261">
        <f t="shared" si="11"/>
        <v>111</v>
      </c>
      <c r="R45" s="667" t="s">
        <v>18</v>
      </c>
      <c r="S45" s="668">
        <f t="shared" si="12"/>
        <v>100</v>
      </c>
      <c r="T45" s="667" t="s">
        <v>18</v>
      </c>
      <c r="U45" s="668">
        <f t="shared" si="13"/>
        <v>100</v>
      </c>
      <c r="V45" s="667" t="s">
        <v>18</v>
      </c>
      <c r="W45" s="668">
        <f t="shared" si="14"/>
        <v>100</v>
      </c>
      <c r="X45" s="1263"/>
      <c r="Y45" s="3427"/>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486"/>
      <c r="Q46" s="1261">
        <f t="shared" si="11"/>
        <v>111</v>
      </c>
      <c r="R46" s="667" t="s">
        <v>17</v>
      </c>
      <c r="S46" s="668">
        <f t="shared" si="12"/>
        <v>100</v>
      </c>
      <c r="T46" s="667" t="s">
        <v>17</v>
      </c>
      <c r="U46" s="668">
        <f t="shared" si="13"/>
        <v>100</v>
      </c>
      <c r="V46" s="667" t="s">
        <v>17</v>
      </c>
      <c r="W46" s="668">
        <f t="shared" si="14"/>
        <v>100</v>
      </c>
      <c r="X46" s="1263"/>
      <c r="Y46" s="3487"/>
      <c r="Z46" s="1262">
        <f t="shared" si="18"/>
        <v>111</v>
      </c>
      <c r="AA46" s="1262">
        <f t="shared" si="15"/>
        <v>1</v>
      </c>
      <c r="AB46" s="1262">
        <f t="shared" si="16"/>
        <v>1</v>
      </c>
      <c r="AC46" s="1262">
        <f t="shared" si="17"/>
        <v>1</v>
      </c>
    </row>
    <row r="47" spans="1:29" ht="14.4">
      <c r="A47" s="416" t="s">
        <v>1705</v>
      </c>
      <c r="B47" s="417"/>
      <c r="C47" s="1080" t="s">
        <v>16</v>
      </c>
      <c r="D47" s="418"/>
      <c r="E47" s="419"/>
      <c r="F47" s="420"/>
      <c r="G47" s="421"/>
      <c r="H47" s="422"/>
      <c r="I47" s="419"/>
      <c r="J47" s="422"/>
      <c r="K47" s="1765"/>
      <c r="L47" s="2493"/>
      <c r="M47" s="2486"/>
      <c r="N47" s="2486"/>
      <c r="O47" s="2486"/>
      <c r="P47" s="3419" t="str">
        <f>A47</f>
        <v>成交单价（元/平方米）</v>
      </c>
      <c r="Q47" s="3419"/>
      <c r="R47" s="3423">
        <f>E47</f>
        <v>0</v>
      </c>
      <c r="S47" s="3423"/>
      <c r="T47" s="3423">
        <f>G47</f>
        <v>0</v>
      </c>
      <c r="U47" s="3423"/>
      <c r="V47" s="3423">
        <f>I47</f>
        <v>0</v>
      </c>
      <c r="W47" s="3423"/>
      <c r="X47" s="385"/>
      <c r="Y47" s="673"/>
      <c r="Z47" s="385"/>
      <c r="AA47" s="385"/>
      <c r="AB47" s="385"/>
      <c r="AC47" s="385"/>
    </row>
    <row r="48" spans="1:29" ht="15" thickBot="1">
      <c r="A48" s="423" t="s">
        <v>1706</v>
      </c>
      <c r="B48" s="424"/>
      <c r="C48" s="1081" t="e">
        <f>R49</f>
        <v>#DIV/0!</v>
      </c>
      <c r="D48" s="2140" t="s">
        <v>2134</v>
      </c>
      <c r="E48" s="1082" t="e">
        <f>R48</f>
        <v>#DIV/0!</v>
      </c>
      <c r="F48" s="2141"/>
      <c r="G48" s="1081" t="e">
        <f>T48</f>
        <v>#DIV/0!</v>
      </c>
      <c r="H48" s="2141"/>
      <c r="I48" s="1082" t="e">
        <f>V48</f>
        <v>#DIV/0!</v>
      </c>
      <c r="J48" s="2141"/>
      <c r="K48" s="2142">
        <f>F48+H48+J48</f>
        <v>0</v>
      </c>
      <c r="L48" s="2493"/>
      <c r="M48" s="2486"/>
      <c r="N48" s="2486"/>
      <c r="O48" s="2486"/>
      <c r="P48" s="3419" t="str">
        <f>A48</f>
        <v>比较价值（元/平方米）</v>
      </c>
      <c r="Q48" s="3419"/>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 thickBot="1">
      <c r="A49" s="427" t="s">
        <v>1707</v>
      </c>
      <c r="B49" s="428"/>
      <c r="C49" s="1083" t="e">
        <f>R49</f>
        <v>#DIV/0!</v>
      </c>
      <c r="D49" s="351"/>
      <c r="E49" s="351"/>
      <c r="F49" s="351"/>
      <c r="G49" s="351"/>
      <c r="H49" s="351"/>
      <c r="I49" s="351"/>
      <c r="J49" s="351"/>
      <c r="K49" s="1766"/>
      <c r="L49" s="2493"/>
      <c r="M49" s="2486"/>
      <c r="N49" s="2486"/>
      <c r="O49" s="2486"/>
      <c r="P49" s="3416" t="str">
        <f>A49</f>
        <v>估价对象XX用房的比较价值（楼面单价，元/平方米）</v>
      </c>
      <c r="Q49" s="3417"/>
      <c r="R49" s="3483" t="e">
        <f>IF(F1="售价",ROUND(IF(D48="简单平均",AVERAGE(R48:V48),R48*F48+T48*H48+V48*J48),0),ROUND(IF(D48="简单平均",AVERAGE(R48:V48),R48*F48+T48*H48+V48*J48),1))</f>
        <v>#DIV/0!</v>
      </c>
      <c r="S49" s="3483"/>
      <c r="T49" s="3483"/>
      <c r="U49" s="3483"/>
      <c r="V49" s="3483"/>
      <c r="W49" s="348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2.2" thickBot="1">
      <c r="A57" s="658" t="s">
        <v>1711</v>
      </c>
      <c r="B57" s="385"/>
      <c r="C57" s="659"/>
      <c r="D57" s="659"/>
      <c r="E57" s="659"/>
      <c r="F57" s="660"/>
      <c r="G57" s="660"/>
      <c r="H57" s="659"/>
      <c r="I57" s="659"/>
      <c r="J57" s="659"/>
      <c r="K57" s="886"/>
      <c r="L57" s="887"/>
      <c r="M57" s="885"/>
      <c r="N57" s="885"/>
      <c r="O57" s="885"/>
      <c r="P57" s="1769"/>
      <c r="Q57" s="439"/>
    </row>
    <row r="58" spans="1:29" s="442" customFormat="1" ht="14.4">
      <c r="A58" s="440" t="s">
        <v>1712</v>
      </c>
      <c r="B58" s="441"/>
      <c r="C58" s="1103" t="str">
        <f>YEAR(C7)&amp;"-"&amp;MONTH(C7)</f>
        <v>2024-6</v>
      </c>
      <c r="D58" s="1102">
        <f>EDATE(C58,-1)</f>
        <v>45413</v>
      </c>
      <c r="E58" s="1102">
        <f>EDATE(D58,-1)</f>
        <v>45383</v>
      </c>
      <c r="F58" s="1102">
        <f t="shared" ref="F58:O58" si="19">EDATE(E58,-1)</f>
        <v>45352</v>
      </c>
      <c r="G58" s="1102">
        <f t="shared" si="19"/>
        <v>45323</v>
      </c>
      <c r="H58" s="1102">
        <f t="shared" si="19"/>
        <v>45292</v>
      </c>
      <c r="I58" s="1102">
        <f t="shared" si="19"/>
        <v>45261</v>
      </c>
      <c r="J58" s="1102">
        <f t="shared" si="19"/>
        <v>45231</v>
      </c>
      <c r="K58" s="1102">
        <f t="shared" si="19"/>
        <v>45200</v>
      </c>
      <c r="L58" s="1102">
        <f t="shared" si="19"/>
        <v>45170</v>
      </c>
      <c r="M58" s="1102">
        <f t="shared" si="19"/>
        <v>45139</v>
      </c>
      <c r="N58" s="1102">
        <f t="shared" si="19"/>
        <v>45108</v>
      </c>
      <c r="O58" s="1102">
        <f t="shared" si="19"/>
        <v>45078</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1713</v>
      </c>
      <c r="B60" s="450"/>
      <c r="C60" s="451"/>
      <c r="D60" s="452"/>
      <c r="E60" s="452"/>
      <c r="F60" s="452"/>
      <c r="G60" s="452"/>
      <c r="H60" s="452"/>
      <c r="I60" s="452"/>
      <c r="J60" s="452"/>
      <c r="K60" s="452"/>
      <c r="L60" s="452"/>
      <c r="M60" s="453"/>
      <c r="N60" s="452"/>
      <c r="O60" s="453"/>
      <c r="P60" s="1771"/>
      <c r="Q60" s="439"/>
    </row>
    <row r="61" spans="1:29" s="102" customFormat="1" ht="14.4">
      <c r="A61" s="455" t="s">
        <v>1714</v>
      </c>
      <c r="B61" s="444"/>
      <c r="C61" s="456" t="s">
        <v>1715</v>
      </c>
      <c r="D61" s="31"/>
      <c r="E61" s="31"/>
      <c r="F61" s="31"/>
      <c r="G61" s="31"/>
      <c r="H61" s="31"/>
      <c r="I61" s="31"/>
      <c r="J61" s="31"/>
      <c r="K61" s="31"/>
      <c r="L61" s="457"/>
      <c r="M61" s="458"/>
      <c r="N61" s="877"/>
      <c r="O61" s="877"/>
      <c r="P61" s="1772"/>
      <c r="Q61" s="439"/>
    </row>
    <row r="62" spans="1:29" s="102" customFormat="1" ht="14.4" thickBot="1">
      <c r="A62" s="455"/>
      <c r="B62" s="444"/>
      <c r="C62" s="445">
        <v>100</v>
      </c>
      <c r="D62" s="446"/>
      <c r="E62" s="446"/>
      <c r="F62" s="446"/>
      <c r="G62" s="446"/>
      <c r="H62" s="446"/>
      <c r="I62" s="446"/>
      <c r="J62" s="446"/>
      <c r="K62" s="446"/>
      <c r="L62" s="446"/>
      <c r="M62" s="448"/>
      <c r="N62" s="877"/>
      <c r="O62" s="877"/>
      <c r="P62" s="1771"/>
      <c r="Q62" s="439"/>
    </row>
    <row r="63" spans="1:29" ht="14.4">
      <c r="A63" s="379" t="s">
        <v>1716</v>
      </c>
      <c r="B63" s="460" t="s">
        <v>1682</v>
      </c>
      <c r="C63" s="461">
        <f>C9</f>
        <v>0</v>
      </c>
      <c r="D63" s="462"/>
      <c r="E63" s="462"/>
      <c r="F63" s="462"/>
      <c r="G63" s="462"/>
      <c r="H63" s="462"/>
      <c r="I63" s="462"/>
      <c r="J63" s="462"/>
      <c r="K63" s="463"/>
      <c r="L63" s="464"/>
      <c r="M63" s="465"/>
      <c r="N63" s="878"/>
      <c r="O63" s="878"/>
      <c r="P63" s="1773"/>
      <c r="Q63" s="439"/>
    </row>
    <row r="64" spans="1:29" ht="14.4" thickBot="1">
      <c r="A64" s="367"/>
      <c r="B64" s="466"/>
      <c r="C64" s="467">
        <v>100</v>
      </c>
      <c r="D64" s="467"/>
      <c r="E64" s="467"/>
      <c r="F64" s="467"/>
      <c r="G64" s="467"/>
      <c r="H64" s="467"/>
      <c r="I64" s="467"/>
      <c r="J64" s="467"/>
      <c r="K64" s="467"/>
      <c r="L64" s="467"/>
      <c r="M64" s="468"/>
      <c r="N64" s="879"/>
      <c r="O64" s="879"/>
      <c r="P64" s="1773"/>
      <c r="Q64" s="439"/>
    </row>
    <row r="65" spans="1:17" ht="29.4" thickTop="1">
      <c r="A65" s="367"/>
      <c r="B65" s="469" t="s">
        <v>1685</v>
      </c>
      <c r="C65" s="513"/>
      <c r="D65" s="513"/>
      <c r="E65" s="513"/>
      <c r="F65" s="513"/>
      <c r="G65" s="513"/>
      <c r="H65" s="513"/>
      <c r="I65" s="513"/>
      <c r="J65" s="513"/>
      <c r="K65" s="513"/>
      <c r="L65" s="513"/>
      <c r="M65" s="513"/>
      <c r="N65" s="879"/>
      <c r="O65" s="879"/>
      <c r="P65" s="1773"/>
      <c r="Q65" s="439"/>
    </row>
    <row r="66" spans="1:17" ht="14.4" thickBot="1">
      <c r="A66" s="367"/>
      <c r="B66" s="474"/>
      <c r="C66" s="467"/>
      <c r="D66" s="467"/>
      <c r="E66" s="467"/>
      <c r="F66" s="467"/>
      <c r="G66" s="467"/>
      <c r="H66" s="467"/>
      <c r="I66" s="467"/>
      <c r="J66" s="467"/>
      <c r="K66" s="467"/>
      <c r="L66" s="467"/>
      <c r="M66" s="468"/>
      <c r="N66" s="879"/>
      <c r="O66" s="879"/>
      <c r="P66" s="1773"/>
      <c r="Q66" s="439"/>
    </row>
    <row r="67" spans="1:17" ht="1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c r="A68" s="367"/>
      <c r="B68" s="479"/>
      <c r="C68" s="480"/>
      <c r="D68" s="480"/>
      <c r="E68" s="480"/>
      <c r="F68" s="480"/>
      <c r="G68" s="480"/>
      <c r="H68" s="480"/>
      <c r="I68" s="480"/>
      <c r="J68" s="480"/>
      <c r="K68" s="481"/>
      <c r="L68" s="482"/>
      <c r="M68" s="483"/>
      <c r="N68" s="878"/>
      <c r="O68" s="878"/>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4.4" thickTop="1">
      <c r="A70" s="484"/>
      <c r="B70" s="469">
        <f>B12</f>
        <v>111</v>
      </c>
      <c r="C70" s="485"/>
      <c r="D70" s="485"/>
      <c r="E70" s="485"/>
      <c r="F70" s="485"/>
      <c r="G70" s="485"/>
      <c r="H70" s="486"/>
      <c r="I70" s="486"/>
      <c r="J70" s="486"/>
      <c r="K70" s="486"/>
      <c r="L70" s="487"/>
      <c r="M70" s="488"/>
      <c r="N70" s="880"/>
      <c r="O70" s="880"/>
      <c r="P70" s="1774"/>
      <c r="Q70" s="490"/>
    </row>
    <row r="71" spans="1:17" s="408" customFormat="1" ht="14.4" thickBot="1">
      <c r="A71" s="484"/>
      <c r="B71" s="474"/>
      <c r="C71" s="491"/>
      <c r="D71" s="467"/>
      <c r="E71" s="467"/>
      <c r="F71" s="467"/>
      <c r="G71" s="467"/>
      <c r="H71" s="467"/>
      <c r="I71" s="467"/>
      <c r="J71" s="467"/>
      <c r="K71" s="467"/>
      <c r="L71" s="467"/>
      <c r="M71" s="468"/>
      <c r="N71" s="879"/>
      <c r="O71" s="879"/>
      <c r="P71" s="1774"/>
      <c r="Q71" s="490"/>
    </row>
    <row r="72" spans="1:17" s="408" customFormat="1" ht="14.4" thickTop="1">
      <c r="A72" s="484"/>
      <c r="B72" s="469">
        <f>B13</f>
        <v>111</v>
      </c>
      <c r="C72" s="485"/>
      <c r="D72" s="485"/>
      <c r="E72" s="485"/>
      <c r="F72" s="485"/>
      <c r="G72" s="485"/>
      <c r="H72" s="486"/>
      <c r="I72" s="486"/>
      <c r="J72" s="486"/>
      <c r="K72" s="486"/>
      <c r="L72" s="487"/>
      <c r="M72" s="488"/>
      <c r="N72" s="880"/>
      <c r="O72" s="880"/>
      <c r="P72" s="1775"/>
      <c r="Q72" s="492"/>
    </row>
    <row r="73" spans="1:17" s="408" customFormat="1" ht="14.4" thickBot="1">
      <c r="A73" s="484"/>
      <c r="B73" s="474"/>
      <c r="C73" s="491"/>
      <c r="D73" s="491"/>
      <c r="E73" s="491"/>
      <c r="F73" s="491"/>
      <c r="G73" s="491"/>
      <c r="H73" s="493"/>
      <c r="I73" s="493"/>
      <c r="J73" s="493"/>
      <c r="K73" s="493"/>
      <c r="L73" s="493"/>
      <c r="M73" s="494"/>
      <c r="N73" s="880"/>
      <c r="O73" s="880"/>
      <c r="P73" s="1774"/>
      <c r="Q73" s="490"/>
    </row>
    <row r="74" spans="1:17" s="408" customFormat="1" ht="14.4" thickTop="1">
      <c r="A74" s="484"/>
      <c r="B74" s="477">
        <f>B14</f>
        <v>111</v>
      </c>
      <c r="C74" s="485"/>
      <c r="D74" s="485"/>
      <c r="E74" s="485"/>
      <c r="F74" s="485"/>
      <c r="G74" s="31"/>
      <c r="H74" s="495"/>
      <c r="I74" s="495"/>
      <c r="J74" s="495"/>
      <c r="K74" s="495"/>
      <c r="L74" s="496"/>
      <c r="M74" s="497"/>
      <c r="N74" s="880"/>
      <c r="O74" s="880"/>
      <c r="P74" s="1776"/>
      <c r="Q74" s="490"/>
    </row>
    <row r="75" spans="1:17" s="408" customFormat="1" ht="14.4" thickBot="1">
      <c r="A75" s="499"/>
      <c r="B75" s="500"/>
      <c r="C75" s="501"/>
      <c r="D75" s="501"/>
      <c r="E75" s="501"/>
      <c r="F75" s="501"/>
      <c r="G75" s="501"/>
      <c r="H75" s="502"/>
      <c r="I75" s="502"/>
      <c r="J75" s="502"/>
      <c r="K75" s="502"/>
      <c r="L75" s="502"/>
      <c r="M75" s="503"/>
      <c r="N75" s="880"/>
      <c r="O75" s="880"/>
      <c r="P75" s="1774"/>
      <c r="Q75" s="490"/>
    </row>
    <row r="76" spans="1:17" ht="14.4">
      <c r="A76" s="379" t="s">
        <v>1687</v>
      </c>
      <c r="B76" s="460" t="s">
        <v>1717</v>
      </c>
      <c r="C76" s="504" t="s">
        <v>1718</v>
      </c>
      <c r="D76" s="504" t="s">
        <v>1719</v>
      </c>
      <c r="E76" s="504" t="s">
        <v>1720</v>
      </c>
      <c r="F76" s="504" t="s">
        <v>1721</v>
      </c>
      <c r="G76" s="504" t="s">
        <v>1722</v>
      </c>
      <c r="H76" s="461"/>
      <c r="I76" s="461"/>
      <c r="J76" s="461"/>
      <c r="K76" s="505"/>
      <c r="L76" s="506"/>
      <c r="M76" s="507"/>
      <c r="N76" s="878"/>
      <c r="O76" s="878"/>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 thickTop="1">
      <c r="A78" s="367"/>
      <c r="B78" s="469" t="s">
        <v>1723</v>
      </c>
      <c r="C78" s="509" t="s">
        <v>1718</v>
      </c>
      <c r="D78" s="509" t="s">
        <v>1719</v>
      </c>
      <c r="E78" s="509" t="s">
        <v>1720</v>
      </c>
      <c r="F78" s="509" t="s">
        <v>1721</v>
      </c>
      <c r="G78" s="509" t="s">
        <v>1722</v>
      </c>
      <c r="H78" s="470"/>
      <c r="I78" s="470"/>
      <c r="J78" s="470"/>
      <c r="K78" s="471"/>
      <c r="L78" s="472"/>
      <c r="M78" s="473"/>
      <c r="N78" s="878"/>
      <c r="O78" s="878"/>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 thickTop="1">
      <c r="A80" s="367"/>
      <c r="B80" s="469" t="s">
        <v>1724</v>
      </c>
      <c r="C80" s="509" t="s">
        <v>1718</v>
      </c>
      <c r="D80" s="509" t="s">
        <v>1719</v>
      </c>
      <c r="E80" s="509" t="s">
        <v>1720</v>
      </c>
      <c r="F80" s="509" t="s">
        <v>1721</v>
      </c>
      <c r="G80" s="509" t="s">
        <v>1722</v>
      </c>
      <c r="H80" s="470"/>
      <c r="I80" s="470"/>
      <c r="J80" s="470"/>
      <c r="K80" s="471"/>
      <c r="L80" s="472"/>
      <c r="M80" s="473"/>
      <c r="N80" s="878"/>
      <c r="O80" s="878"/>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 thickTop="1">
      <c r="A82" s="367"/>
      <c r="B82" s="477" t="s">
        <v>1260</v>
      </c>
      <c r="C82" s="470" t="s">
        <v>1725</v>
      </c>
      <c r="D82" s="470" t="s">
        <v>1726</v>
      </c>
      <c r="E82" s="470" t="s">
        <v>1727</v>
      </c>
      <c r="F82" s="470" t="s">
        <v>1728</v>
      </c>
      <c r="G82" s="470" t="s">
        <v>1729</v>
      </c>
      <c r="H82" s="470"/>
      <c r="I82" s="470"/>
      <c r="J82" s="470"/>
      <c r="K82" s="470"/>
      <c r="L82" s="470"/>
      <c r="M82" s="1062"/>
      <c r="N82" s="879"/>
      <c r="O82" s="879"/>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3"/>
      <c r="Q83" s="439"/>
    </row>
    <row r="84" spans="1:17" ht="15" thickTop="1">
      <c r="A84" s="367"/>
      <c r="B84" s="469" t="s">
        <v>1730</v>
      </c>
      <c r="C84" s="509" t="s">
        <v>1718</v>
      </c>
      <c r="D84" s="509" t="s">
        <v>1719</v>
      </c>
      <c r="E84" s="509" t="s">
        <v>1720</v>
      </c>
      <c r="F84" s="509" t="s">
        <v>1721</v>
      </c>
      <c r="G84" s="509" t="s">
        <v>1722</v>
      </c>
      <c r="H84" s="470"/>
      <c r="I84" s="470"/>
      <c r="J84" s="470"/>
      <c r="K84" s="471"/>
      <c r="L84" s="472"/>
      <c r="M84" s="473"/>
      <c r="N84" s="878"/>
      <c r="O84" s="878"/>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 thickTop="1">
      <c r="A86" s="370"/>
      <c r="B86" s="469" t="s">
        <v>1731</v>
      </c>
      <c r="C86" s="485"/>
      <c r="D86" s="485"/>
      <c r="E86" s="485"/>
      <c r="F86" s="485"/>
      <c r="G86" s="485"/>
      <c r="H86" s="485"/>
      <c r="I86" s="485"/>
      <c r="J86" s="485"/>
      <c r="K86" s="485"/>
      <c r="L86" s="510"/>
      <c r="M86" s="511"/>
      <c r="N86" s="877"/>
      <c r="O86" s="877"/>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 thickTop="1">
      <c r="A88" s="370"/>
      <c r="B88" s="469" t="s">
        <v>1732</v>
      </c>
      <c r="C88" s="485"/>
      <c r="D88" s="485"/>
      <c r="E88" s="485"/>
      <c r="F88" s="1778"/>
      <c r="G88" s="485"/>
      <c r="H88" s="485"/>
      <c r="I88" s="485"/>
      <c r="J88" s="485"/>
      <c r="K88" s="485"/>
      <c r="L88" s="485"/>
      <c r="M88" s="511"/>
      <c r="N88" s="877"/>
      <c r="O88" s="877"/>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4.4" thickTop="1">
      <c r="A90" s="484"/>
      <c r="B90" s="469">
        <f>B27</f>
        <v>111</v>
      </c>
      <c r="C90" s="485"/>
      <c r="D90" s="485"/>
      <c r="E90" s="485"/>
      <c r="F90" s="485"/>
      <c r="G90" s="485"/>
      <c r="H90" s="486"/>
      <c r="I90" s="486"/>
      <c r="J90" s="486"/>
      <c r="K90" s="486"/>
      <c r="L90" s="487"/>
      <c r="M90" s="488"/>
      <c r="N90" s="880"/>
      <c r="O90" s="880"/>
      <c r="P90" s="1774"/>
      <c r="Q90" s="490"/>
    </row>
    <row r="91" spans="1:17" s="408" customFormat="1" ht="14.4" thickBot="1">
      <c r="A91" s="484"/>
      <c r="B91" s="474"/>
      <c r="C91" s="491"/>
      <c r="D91" s="491"/>
      <c r="E91" s="491"/>
      <c r="F91" s="491"/>
      <c r="G91" s="491"/>
      <c r="H91" s="493"/>
      <c r="I91" s="493"/>
      <c r="J91" s="493"/>
      <c r="K91" s="493"/>
      <c r="L91" s="493"/>
      <c r="M91" s="494"/>
      <c r="N91" s="880"/>
      <c r="O91" s="880"/>
      <c r="P91" s="1774"/>
      <c r="Q91" s="490"/>
    </row>
    <row r="92" spans="1:17" ht="14.4" thickTop="1">
      <c r="A92" s="367"/>
      <c r="B92" s="469">
        <f>B28</f>
        <v>111</v>
      </c>
      <c r="C92" s="485"/>
      <c r="D92" s="485"/>
      <c r="E92" s="485"/>
      <c r="F92" s="485"/>
      <c r="G92" s="513"/>
      <c r="H92" s="513"/>
      <c r="I92" s="513"/>
      <c r="J92" s="513"/>
      <c r="K92" s="514"/>
      <c r="L92" s="515"/>
      <c r="M92" s="516"/>
      <c r="N92" s="878"/>
      <c r="O92" s="878"/>
      <c r="P92" s="1773"/>
      <c r="Q92" s="439"/>
    </row>
    <row r="93" spans="1:17" ht="14.4" thickBot="1">
      <c r="A93" s="367"/>
      <c r="B93" s="474"/>
      <c r="C93" s="491"/>
      <c r="D93" s="467"/>
      <c r="E93" s="467"/>
      <c r="F93" s="467"/>
      <c r="G93" s="467"/>
      <c r="H93" s="467"/>
      <c r="I93" s="467"/>
      <c r="J93" s="467"/>
      <c r="K93" s="467"/>
      <c r="L93" s="467"/>
      <c r="M93" s="468"/>
      <c r="N93" s="879"/>
      <c r="O93" s="879"/>
      <c r="P93" s="1773"/>
      <c r="Q93" s="439"/>
    </row>
    <row r="94" spans="1:17" ht="14.4" thickTop="1">
      <c r="A94" s="367"/>
      <c r="B94" s="469">
        <f>B29</f>
        <v>111</v>
      </c>
      <c r="C94" s="485"/>
      <c r="D94" s="485"/>
      <c r="E94" s="485"/>
      <c r="F94" s="485"/>
      <c r="G94" s="513"/>
      <c r="H94" s="513"/>
      <c r="I94" s="513"/>
      <c r="J94" s="513"/>
      <c r="K94" s="514"/>
      <c r="L94" s="515"/>
      <c r="M94" s="516"/>
      <c r="N94" s="878"/>
      <c r="O94" s="878"/>
      <c r="P94" s="1773"/>
      <c r="Q94" s="439"/>
    </row>
    <row r="95" spans="1:17" ht="14.4" thickBot="1">
      <c r="A95" s="367"/>
      <c r="B95" s="474"/>
      <c r="C95" s="491"/>
      <c r="D95" s="491"/>
      <c r="E95" s="491"/>
      <c r="F95" s="491"/>
      <c r="G95" s="467"/>
      <c r="H95" s="467"/>
      <c r="I95" s="467"/>
      <c r="J95" s="467"/>
      <c r="K95" s="467"/>
      <c r="L95" s="467"/>
      <c r="M95" s="468"/>
      <c r="N95" s="879"/>
      <c r="O95" s="879"/>
      <c r="P95" s="1773"/>
      <c r="Q95" s="439"/>
    </row>
    <row r="96" spans="1:17" ht="14.4" thickTop="1">
      <c r="A96" s="367"/>
      <c r="B96" s="469">
        <f>B30</f>
        <v>111</v>
      </c>
      <c r="C96" s="485"/>
      <c r="D96" s="485"/>
      <c r="E96" s="485"/>
      <c r="F96" s="485"/>
      <c r="G96" s="513"/>
      <c r="H96" s="513"/>
      <c r="I96" s="513"/>
      <c r="J96" s="513"/>
      <c r="K96" s="514"/>
      <c r="L96" s="515"/>
      <c r="M96" s="516"/>
      <c r="N96" s="878"/>
      <c r="O96" s="878"/>
      <c r="P96" s="1773"/>
      <c r="Q96" s="439"/>
    </row>
    <row r="97" spans="1:17" ht="14.4" thickBot="1">
      <c r="A97" s="367"/>
      <c r="B97" s="474"/>
      <c r="C97" s="501"/>
      <c r="D97" s="501"/>
      <c r="E97" s="501"/>
      <c r="F97" s="501"/>
      <c r="G97" s="467"/>
      <c r="H97" s="467"/>
      <c r="I97" s="467"/>
      <c r="J97" s="467"/>
      <c r="K97" s="467"/>
      <c r="L97" s="467"/>
      <c r="M97" s="468"/>
      <c r="N97" s="879"/>
      <c r="O97" s="879"/>
      <c r="P97" s="1773"/>
      <c r="Q97" s="439"/>
    </row>
    <row r="98" spans="1:17" ht="14.4" thickTop="1">
      <c r="A98" s="367"/>
      <c r="B98" s="477">
        <f>B31</f>
        <v>111</v>
      </c>
      <c r="C98" s="517"/>
      <c r="D98" s="517"/>
      <c r="E98" s="517"/>
      <c r="F98" s="517"/>
      <c r="G98" s="517"/>
      <c r="H98" s="517"/>
      <c r="I98" s="517"/>
      <c r="J98" s="517"/>
      <c r="K98" s="518"/>
      <c r="L98" s="519"/>
      <c r="M98" s="520"/>
      <c r="N98" s="878"/>
      <c r="O98" s="878"/>
      <c r="P98" s="1773"/>
      <c r="Q98" s="439"/>
    </row>
    <row r="99" spans="1:17" ht="14.4" thickBot="1">
      <c r="A99" s="375"/>
      <c r="B99" s="500"/>
      <c r="C99" s="521"/>
      <c r="D99" s="521"/>
      <c r="E99" s="521"/>
      <c r="F99" s="521"/>
      <c r="G99" s="521"/>
      <c r="H99" s="521"/>
      <c r="I99" s="521"/>
      <c r="J99" s="521"/>
      <c r="K99" s="521"/>
      <c r="L99" s="521"/>
      <c r="M99" s="522"/>
      <c r="N99" s="879"/>
      <c r="O99" s="879"/>
      <c r="P99" s="1773"/>
      <c r="Q99" s="439"/>
    </row>
    <row r="100" spans="1:17" ht="14.4">
      <c r="A100" s="379" t="s">
        <v>1691</v>
      </c>
      <c r="B100" s="460" t="s">
        <v>1733</v>
      </c>
      <c r="C100" s="462"/>
      <c r="D100" s="462"/>
      <c r="E100" s="462"/>
      <c r="F100" s="462"/>
      <c r="G100" s="462"/>
      <c r="H100" s="462"/>
      <c r="I100" s="462"/>
      <c r="J100" s="462"/>
      <c r="K100" s="463"/>
      <c r="L100" s="464"/>
      <c r="M100" s="465"/>
      <c r="N100" s="878"/>
      <c r="O100" s="878"/>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4.4"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1735</v>
      </c>
      <c r="C105" s="485"/>
      <c r="D105" s="485"/>
      <c r="E105" s="513"/>
      <c r="F105" s="513"/>
      <c r="G105" s="513"/>
      <c r="H105" s="513"/>
      <c r="I105" s="513"/>
      <c r="J105" s="513"/>
      <c r="K105" s="514"/>
      <c r="L105" s="515"/>
      <c r="M105" s="516"/>
      <c r="N105" s="878"/>
      <c r="O105" s="878"/>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1736</v>
      </c>
      <c r="C107" s="513"/>
      <c r="D107" s="513"/>
      <c r="E107" s="513"/>
      <c r="F107" s="513"/>
      <c r="G107" s="513"/>
      <c r="H107" s="513"/>
      <c r="I107" s="513"/>
      <c r="J107" s="513"/>
      <c r="K107" s="514"/>
      <c r="L107" s="515"/>
      <c r="M107" s="516"/>
      <c r="N107" s="878"/>
      <c r="O107" s="878"/>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1737</v>
      </c>
      <c r="C109" s="485"/>
      <c r="D109" s="485"/>
      <c r="E109" s="485"/>
      <c r="F109" s="513"/>
      <c r="G109" s="513"/>
      <c r="H109" s="513"/>
      <c r="I109" s="513"/>
      <c r="J109" s="513"/>
      <c r="K109" s="514"/>
      <c r="L109" s="515"/>
      <c r="M109" s="516"/>
      <c r="N109" s="878"/>
      <c r="O109" s="878"/>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1738</v>
      </c>
      <c r="C114" s="485"/>
      <c r="D114" s="485"/>
      <c r="E114" s="513"/>
      <c r="F114" s="513"/>
      <c r="G114" s="513"/>
      <c r="H114" s="513"/>
      <c r="I114" s="513"/>
      <c r="J114" s="513"/>
      <c r="K114" s="514"/>
      <c r="L114" s="515"/>
      <c r="M114" s="516"/>
      <c r="N114" s="878"/>
      <c r="O114" s="878"/>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1739</v>
      </c>
      <c r="C116" s="485"/>
      <c r="D116" s="485"/>
      <c r="E116" s="485"/>
      <c r="F116" s="485"/>
      <c r="G116" s="485"/>
      <c r="H116" s="513"/>
      <c r="I116" s="513"/>
      <c r="J116" s="513"/>
      <c r="K116" s="514"/>
      <c r="L116" s="515"/>
      <c r="M116" s="516"/>
      <c r="N116" s="878"/>
      <c r="O116" s="878"/>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1740</v>
      </c>
      <c r="C118" s="513"/>
      <c r="D118" s="513"/>
      <c r="E118" s="513"/>
      <c r="F118" s="513"/>
      <c r="G118" s="513"/>
      <c r="H118" s="513"/>
      <c r="I118" s="513"/>
      <c r="J118" s="513"/>
      <c r="K118" s="514"/>
      <c r="L118" s="515"/>
      <c r="M118" s="516"/>
      <c r="N118" s="878"/>
      <c r="O118" s="878"/>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9.4" thickTop="1">
      <c r="A120" s="406"/>
      <c r="B120" s="469" t="s">
        <v>1702</v>
      </c>
      <c r="C120" s="485"/>
      <c r="D120" s="485"/>
      <c r="E120" s="485"/>
      <c r="F120" s="485"/>
      <c r="G120" s="485"/>
      <c r="H120" s="485"/>
      <c r="I120" s="485"/>
      <c r="J120" s="485"/>
      <c r="K120" s="485"/>
      <c r="L120" s="510"/>
      <c r="M120" s="511"/>
      <c r="N120" s="880"/>
      <c r="O120" s="880"/>
      <c r="P120" s="1774"/>
      <c r="Q120" s="490"/>
    </row>
    <row r="121" spans="1:17" s="408" customFormat="1" ht="14.4"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1741</v>
      </c>
      <c r="C122" s="485"/>
      <c r="D122" s="485"/>
      <c r="E122" s="485"/>
      <c r="F122" s="513"/>
      <c r="G122" s="513"/>
      <c r="H122" s="513"/>
      <c r="I122" s="513"/>
      <c r="J122" s="513"/>
      <c r="K122" s="514"/>
      <c r="L122" s="515"/>
      <c r="M122" s="516"/>
      <c r="N122" s="878"/>
      <c r="O122" s="878"/>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29.4" thickTop="1">
      <c r="A124" s="409"/>
      <c r="B124" s="469" t="s">
        <v>1742</v>
      </c>
      <c r="C124" s="509" t="s">
        <v>1718</v>
      </c>
      <c r="D124" s="509" t="s">
        <v>1719</v>
      </c>
      <c r="E124" s="509" t="s">
        <v>1720</v>
      </c>
      <c r="F124" s="509" t="s">
        <v>1721</v>
      </c>
      <c r="G124" s="509" t="s">
        <v>1722</v>
      </c>
      <c r="H124" s="470"/>
      <c r="I124" s="470"/>
      <c r="J124" s="470"/>
      <c r="K124" s="471"/>
      <c r="L124" s="472"/>
      <c r="M124" s="473"/>
      <c r="N124" s="878"/>
      <c r="O124" s="878"/>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4.4" thickBot="1">
      <c r="A127" s="484"/>
      <c r="B127" s="474"/>
      <c r="C127" s="491"/>
      <c r="D127" s="467"/>
      <c r="E127" s="467"/>
      <c r="F127" s="467"/>
      <c r="G127" s="491"/>
      <c r="H127" s="493"/>
      <c r="I127" s="493"/>
      <c r="J127" s="493"/>
      <c r="K127" s="493"/>
      <c r="L127" s="493"/>
      <c r="M127" s="494"/>
      <c r="N127" s="880"/>
      <c r="O127" s="880"/>
      <c r="P127" s="1774"/>
      <c r="Q127" s="490"/>
    </row>
    <row r="128" spans="1:17" ht="14.4" thickTop="1">
      <c r="A128" s="409"/>
      <c r="B128" s="469">
        <f>B45</f>
        <v>111</v>
      </c>
      <c r="C128" s="485"/>
      <c r="D128" s="485"/>
      <c r="E128" s="485"/>
      <c r="F128" s="485"/>
      <c r="G128" s="513"/>
      <c r="H128" s="513"/>
      <c r="I128" s="513"/>
      <c r="J128" s="513"/>
      <c r="K128" s="514"/>
      <c r="L128" s="515"/>
      <c r="M128" s="516"/>
      <c r="N128" s="878"/>
      <c r="O128" s="878"/>
      <c r="P128" s="1773"/>
      <c r="Q128" s="439"/>
    </row>
    <row r="129" spans="1:17" ht="14.4" thickBot="1">
      <c r="A129" s="367"/>
      <c r="B129" s="474"/>
      <c r="C129" s="491"/>
      <c r="D129" s="491"/>
      <c r="E129" s="491"/>
      <c r="F129" s="491"/>
      <c r="G129" s="467"/>
      <c r="H129" s="467"/>
      <c r="I129" s="467"/>
      <c r="J129" s="467"/>
      <c r="K129" s="467"/>
      <c r="L129" s="467"/>
      <c r="M129" s="468"/>
      <c r="N129" s="879"/>
      <c r="O129" s="879"/>
      <c r="P129" s="1773"/>
      <c r="Q129" s="439"/>
    </row>
    <row r="130" spans="1:17" ht="14.4" thickTop="1">
      <c r="A130" s="409"/>
      <c r="B130" s="477">
        <f>B46</f>
        <v>111</v>
      </c>
      <c r="C130" s="485"/>
      <c r="D130" s="485"/>
      <c r="E130" s="485"/>
      <c r="F130" s="485"/>
      <c r="G130" s="517"/>
      <c r="H130" s="517"/>
      <c r="I130" s="517"/>
      <c r="J130" s="517"/>
      <c r="K130" s="31"/>
      <c r="L130" s="457"/>
      <c r="M130" s="520"/>
      <c r="N130" s="878"/>
      <c r="O130" s="878"/>
      <c r="P130" s="1773"/>
      <c r="Q130" s="439"/>
    </row>
    <row r="131" spans="1:17" ht="14.4"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1743</v>
      </c>
    </row>
    <row r="137" spans="1:17" ht="15">
      <c r="B137" s="1780" t="s">
        <v>1744</v>
      </c>
      <c r="C137" s="1781"/>
      <c r="D137" s="1781"/>
      <c r="E137" s="1781"/>
      <c r="F137" s="1781"/>
      <c r="G137" s="1782"/>
      <c r="H137" s="1783"/>
      <c r="I137" s="1784" t="s">
        <v>1745</v>
      </c>
      <c r="J137" s="1781"/>
      <c r="K137" s="1785"/>
    </row>
    <row r="138" spans="1:17" ht="15">
      <c r="B138" s="1786"/>
      <c r="C138" s="129" t="s">
        <v>1746</v>
      </c>
      <c r="D138" s="129" t="s">
        <v>1747</v>
      </c>
      <c r="E138" s="1787" t="s">
        <v>1748</v>
      </c>
      <c r="F138" s="1788" t="s">
        <v>1749</v>
      </c>
      <c r="G138" s="129" t="s">
        <v>1747</v>
      </c>
      <c r="H138" s="130" t="s">
        <v>1748</v>
      </c>
      <c r="I138" s="1789"/>
      <c r="J138" s="129" t="s">
        <v>1750</v>
      </c>
      <c r="K138" s="130" t="s">
        <v>1751</v>
      </c>
    </row>
    <row r="139" spans="1:17" ht="15">
      <c r="B139" s="813">
        <v>6</v>
      </c>
      <c r="C139" s="814">
        <v>96</v>
      </c>
      <c r="D139" s="1790" t="s">
        <v>1752</v>
      </c>
      <c r="E139" s="815">
        <v>100</v>
      </c>
      <c r="F139" s="816">
        <v>102.5</v>
      </c>
      <c r="G139" s="1790" t="s">
        <v>1752</v>
      </c>
      <c r="H139" s="817">
        <v>105</v>
      </c>
      <c r="I139" s="1791" t="s">
        <v>1753</v>
      </c>
      <c r="J139" s="814">
        <v>20</v>
      </c>
      <c r="K139" s="818">
        <f>C145/(J139-2)</f>
        <v>4.0555555555555553E-3</v>
      </c>
    </row>
    <row r="140" spans="1:17" ht="15">
      <c r="B140" s="819">
        <v>5</v>
      </c>
      <c r="C140" s="820">
        <v>100</v>
      </c>
      <c r="D140" s="820"/>
      <c r="E140" s="821"/>
      <c r="F140" s="822">
        <v>102</v>
      </c>
      <c r="G140" s="820"/>
      <c r="H140" s="823"/>
      <c r="I140" s="1792" t="s">
        <v>1754</v>
      </c>
      <c r="J140" s="263">
        <f>ROUNDUP((J139-1)/2,0)</f>
        <v>10</v>
      </c>
      <c r="K140" s="824">
        <v>100</v>
      </c>
    </row>
    <row r="141" spans="1:17" ht="15">
      <c r="B141" s="819">
        <v>4</v>
      </c>
      <c r="C141" s="820">
        <v>102</v>
      </c>
      <c r="D141" s="820"/>
      <c r="E141" s="821"/>
      <c r="F141" s="822">
        <v>101.5</v>
      </c>
      <c r="G141" s="820"/>
      <c r="H141" s="823"/>
      <c r="I141" s="1792" t="s">
        <v>1755</v>
      </c>
      <c r="J141" s="263">
        <v>1</v>
      </c>
      <c r="K141" s="825">
        <f>ROUND(100+(J141-J140)*K139*100,1)</f>
        <v>96.4</v>
      </c>
    </row>
    <row r="142" spans="1:17" ht="15">
      <c r="B142" s="819">
        <v>3</v>
      </c>
      <c r="C142" s="820">
        <v>103</v>
      </c>
      <c r="D142" s="820"/>
      <c r="E142" s="821"/>
      <c r="F142" s="822">
        <v>101</v>
      </c>
      <c r="G142" s="820"/>
      <c r="H142" s="823"/>
      <c r="I142" s="1792" t="s">
        <v>1756</v>
      </c>
      <c r="J142" s="263">
        <f>J139</f>
        <v>20</v>
      </c>
      <c r="K142" s="826">
        <v>95</v>
      </c>
    </row>
    <row r="143" spans="1:17" ht="15">
      <c r="B143" s="819">
        <v>2</v>
      </c>
      <c r="C143" s="820">
        <v>100</v>
      </c>
      <c r="D143" s="820"/>
      <c r="E143" s="821"/>
      <c r="F143" s="822">
        <v>100.5</v>
      </c>
      <c r="G143" s="820"/>
      <c r="H143" s="823"/>
      <c r="I143" s="1792" t="s">
        <v>1757</v>
      </c>
      <c r="J143" s="820">
        <v>15</v>
      </c>
      <c r="K143" s="825">
        <f>ROUND(100+(J143-J140)*K139*100,1)</f>
        <v>102</v>
      </c>
    </row>
    <row r="144" spans="1:17" ht="15">
      <c r="B144" s="819">
        <v>1</v>
      </c>
      <c r="C144" s="820">
        <v>98</v>
      </c>
      <c r="D144" s="1793" t="s">
        <v>1758</v>
      </c>
      <c r="E144" s="821">
        <v>102</v>
      </c>
      <c r="F144" s="827">
        <v>100</v>
      </c>
      <c r="G144" s="1793" t="s">
        <v>1758</v>
      </c>
      <c r="H144" s="823">
        <v>105</v>
      </c>
      <c r="I144" s="1792" t="s">
        <v>1757</v>
      </c>
      <c r="J144" s="820">
        <v>18</v>
      </c>
      <c r="K144" s="825">
        <f>ROUND(100+(J144-J140)*K139*100,1)</f>
        <v>103.2</v>
      </c>
    </row>
    <row r="145" spans="2:11" ht="16.2" thickBot="1">
      <c r="B145" s="1794" t="s">
        <v>1759</v>
      </c>
      <c r="C145" s="828">
        <f>ROUND(MAX(C139:C144)/MIN(C139:C144)-1,3)</f>
        <v>7.2999999999999995E-2</v>
      </c>
      <c r="D145" s="829"/>
      <c r="E145" s="829"/>
      <c r="F145" s="1795" t="s">
        <v>1760</v>
      </c>
      <c r="G145" s="1796"/>
      <c r="H145" s="1797"/>
      <c r="I145" s="1798" t="s">
        <v>1757</v>
      </c>
      <c r="J145" s="830">
        <v>8</v>
      </c>
      <c r="K145" s="831">
        <f>ROUND(100+(J145-J140)*K139*100,1)</f>
        <v>99.2</v>
      </c>
    </row>
    <row r="147" spans="2:11" ht="14.4">
      <c r="B147" s="1779" t="s">
        <v>1761</v>
      </c>
    </row>
    <row r="148" spans="2:11" ht="14.4">
      <c r="B148" s="177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E20 I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E9 G9 I9" xr:uid="{00000000-0002-0000-2100-000011000000}">
      <formula1>住宅用途</formula1>
    </dataValidation>
    <dataValidation type="list" allowBlank="1" showInputMessage="1" showErrorMessage="1" sqref="C22 E22 G22 I22" xr:uid="{00000000-0002-0000-2100-000012000000}">
      <formula1>基础设施水平</formula1>
    </dataValidation>
    <dataValidation type="list" allowBlank="1" showInputMessage="1" showErrorMessage="1" sqref="F1" xr:uid="{00000000-0002-0000-2100-000013000000}">
      <formula1>"售价,租金"</formula1>
    </dataValidation>
    <dataValidation type="list" allowBlank="1" showInputMessage="1" showErrorMessage="1" sqref="C2" xr:uid="{00000000-0002-0000-2100-000014000000}">
      <formula1>"需扣减承租人权益,——"</formula1>
    </dataValidation>
    <dataValidation type="list" allowBlank="1" showInputMessage="1" showErrorMessage="1" sqref="F2" xr:uid="{00000000-0002-0000-2100-000015000000}">
      <formula1>估价方法</formula1>
    </dataValidation>
    <dataValidation type="list" allowBlank="1" showInputMessage="1" showErrorMessage="1" sqref="D48" xr:uid="{00000000-0002-0000-2100-000016000000}">
      <formula1>"简单平均,加权平均"</formula1>
    </dataValidation>
    <dataValidation type="list" allowBlank="1" showInputMessage="1" showErrorMessage="1" sqref="E1" xr:uid="{00000000-0002-0000-21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1657</v>
      </c>
      <c r="B1" s="1732" t="s">
        <v>1763</v>
      </c>
      <c r="C1" s="1153" t="s">
        <v>1659</v>
      </c>
      <c r="D1" s="1140"/>
      <c r="E1" s="3123"/>
      <c r="F1" s="1733"/>
      <c r="G1" s="1150" t="s">
        <v>1764</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1459</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1460</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1461</v>
      </c>
      <c r="B3" s="536">
        <f>IF(C2="——",C49,ROUND(B2*10000/D3,0))</f>
        <v>0</v>
      </c>
      <c r="C3" s="344" t="s">
        <v>1765</v>
      </c>
      <c r="D3" s="343">
        <f>IF(D1="",'数据-汇总表'!E3,SUMIF('数据-汇总表'!$C19:$C33,D1,'数据-汇总表'!$E19:$E33))</f>
        <v>20034.16</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4.4">
      <c r="A4" s="345" t="s">
        <v>1766</v>
      </c>
      <c r="B4" s="346"/>
      <c r="C4" s="3431" t="s">
        <v>1767</v>
      </c>
      <c r="D4" s="3432"/>
      <c r="E4" s="3433" t="s">
        <v>1768</v>
      </c>
      <c r="F4" s="3434"/>
      <c r="G4" s="3431" t="s">
        <v>1769</v>
      </c>
      <c r="H4" s="3432"/>
      <c r="I4" s="3431" t="s">
        <v>1770</v>
      </c>
      <c r="J4" s="3432"/>
      <c r="K4" s="537" t="s">
        <v>1771</v>
      </c>
      <c r="L4" s="2485"/>
      <c r="M4" s="2486"/>
      <c r="N4" s="2486"/>
      <c r="O4" s="2486"/>
      <c r="P4" s="3435" t="s">
        <v>1772</v>
      </c>
      <c r="Q4" s="3436"/>
      <c r="R4" s="3445" t="s">
        <v>1768</v>
      </c>
      <c r="S4" s="3446"/>
      <c r="T4" s="3445" t="s">
        <v>1769</v>
      </c>
      <c r="U4" s="3446"/>
      <c r="V4" s="3423" t="s">
        <v>1770</v>
      </c>
      <c r="W4" s="3423"/>
      <c r="X4" s="1263"/>
      <c r="Y4" s="3445" t="s">
        <v>1772</v>
      </c>
      <c r="Z4" s="3446"/>
      <c r="AA4" s="3428" t="s">
        <v>1768</v>
      </c>
      <c r="AB4" s="3423" t="s">
        <v>1769</v>
      </c>
      <c r="AC4" s="3428" t="s">
        <v>1770</v>
      </c>
    </row>
    <row r="5" spans="1:29">
      <c r="A5" s="348"/>
      <c r="B5" s="349"/>
      <c r="C5" s="3449" t="s">
        <v>1670</v>
      </c>
      <c r="D5" s="3450"/>
      <c r="E5" s="3441" t="s">
        <v>1671</v>
      </c>
      <c r="F5" s="3442"/>
      <c r="G5" s="3449" t="s">
        <v>1672</v>
      </c>
      <c r="H5" s="3450"/>
      <c r="I5" s="3449" t="s">
        <v>1673</v>
      </c>
      <c r="J5" s="3450"/>
      <c r="K5" s="537"/>
      <c r="L5" s="2485"/>
      <c r="M5" s="2486"/>
      <c r="N5" s="2486"/>
      <c r="O5" s="2486"/>
      <c r="P5" s="3437"/>
      <c r="Q5" s="3438"/>
      <c r="R5" s="3447"/>
      <c r="S5" s="3448"/>
      <c r="T5" s="3447"/>
      <c r="U5" s="3448"/>
      <c r="V5" s="3423"/>
      <c r="W5" s="3423"/>
      <c r="X5" s="1263"/>
      <c r="Y5" s="3447"/>
      <c r="Z5" s="3448"/>
      <c r="AA5" s="3429"/>
      <c r="AB5" s="3423"/>
      <c r="AC5" s="3429"/>
    </row>
    <row r="6" spans="1:29" ht="15" thickBot="1">
      <c r="A6" s="350"/>
      <c r="B6" s="351"/>
      <c r="C6" s="3479" t="s">
        <v>1674</v>
      </c>
      <c r="D6" s="3480"/>
      <c r="E6" s="3481" t="s">
        <v>1674</v>
      </c>
      <c r="F6" s="3482"/>
      <c r="G6" s="3479" t="s">
        <v>1674</v>
      </c>
      <c r="H6" s="3480"/>
      <c r="I6" s="3479" t="s">
        <v>1674</v>
      </c>
      <c r="J6" s="3480"/>
      <c r="K6" s="537" t="s">
        <v>1675</v>
      </c>
      <c r="L6" s="2485"/>
      <c r="M6" s="2486"/>
      <c r="N6" s="2486"/>
      <c r="O6" s="2486"/>
      <c r="P6" s="3439"/>
      <c r="Q6" s="3440"/>
      <c r="R6" s="3447"/>
      <c r="S6" s="3448"/>
      <c r="T6" s="3456"/>
      <c r="U6" s="3457"/>
      <c r="V6" s="3423"/>
      <c r="W6" s="3423"/>
      <c r="X6" s="1263"/>
      <c r="Y6" s="3456"/>
      <c r="Z6" s="3457"/>
      <c r="AA6" s="3430"/>
      <c r="AB6" s="3423"/>
      <c r="AC6" s="3430"/>
    </row>
    <row r="7" spans="1:29" s="102" customFormat="1" ht="15" thickBot="1">
      <c r="A7" s="352" t="s">
        <v>1676</v>
      </c>
      <c r="B7" s="353"/>
      <c r="C7" s="354">
        <f>'数据-取费表'!B2</f>
        <v>45470</v>
      </c>
      <c r="D7" s="355">
        <v>100</v>
      </c>
      <c r="E7" s="356"/>
      <c r="F7" s="357">
        <f>SUMIF(58:58,YEAR(E7)&amp;"-"&amp;MONTH(E7),59:59)</f>
        <v>0</v>
      </c>
      <c r="G7" s="356"/>
      <c r="H7" s="355">
        <f>SUMIF(58:58,YEAR(G7)&amp;"-"&amp;MONTH(G7),59:59)</f>
        <v>0</v>
      </c>
      <c r="I7" s="356"/>
      <c r="J7" s="355">
        <f>SUMIF(58:58,YEAR(I7)&amp;"-"&amp;MONTH(I7),59:59)</f>
        <v>0</v>
      </c>
      <c r="K7" s="38"/>
      <c r="L7" s="2487"/>
      <c r="M7" s="2438"/>
      <c r="N7" s="2438"/>
      <c r="O7" s="2438"/>
      <c r="P7" s="3421" t="s">
        <v>1677</v>
      </c>
      <c r="Q7" s="3453"/>
      <c r="R7" s="664" t="s">
        <v>14</v>
      </c>
      <c r="S7" s="665">
        <f t="shared" ref="S7:S15" si="0">F7</f>
        <v>0</v>
      </c>
      <c r="T7" s="664" t="s">
        <v>14</v>
      </c>
      <c r="U7" s="665">
        <f t="shared" ref="U7:U15" si="1">H7</f>
        <v>0</v>
      </c>
      <c r="V7" s="664" t="s">
        <v>14</v>
      </c>
      <c r="W7" s="665">
        <f t="shared" ref="W7:W15" si="2">J7</f>
        <v>0</v>
      </c>
      <c r="X7" s="666"/>
      <c r="Y7" s="3421" t="s">
        <v>1677</v>
      </c>
      <c r="Z7" s="3422"/>
      <c r="AA7" s="50" t="e">
        <f>D7/F7</f>
        <v>#DIV/0!</v>
      </c>
      <c r="AB7" s="50" t="e">
        <f>D7/H7</f>
        <v>#DIV/0!</v>
      </c>
      <c r="AC7" s="50" t="e">
        <f>D7/J7</f>
        <v>#DIV/0!</v>
      </c>
    </row>
    <row r="8" spans="1:29" s="102" customFormat="1" ht="15" thickBot="1">
      <c r="A8" s="352" t="s">
        <v>1678</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21" t="s">
        <v>1680</v>
      </c>
      <c r="Q8" s="3422"/>
      <c r="R8" s="664" t="s">
        <v>14</v>
      </c>
      <c r="S8" s="665">
        <f t="shared" si="0"/>
        <v>100</v>
      </c>
      <c r="T8" s="664" t="s">
        <v>14</v>
      </c>
      <c r="U8" s="665">
        <f t="shared" si="1"/>
        <v>100</v>
      </c>
      <c r="V8" s="664" t="s">
        <v>14</v>
      </c>
      <c r="W8" s="665">
        <f t="shared" si="2"/>
        <v>100</v>
      </c>
      <c r="X8" s="666"/>
      <c r="Y8" s="3421" t="s">
        <v>1680</v>
      </c>
      <c r="Z8" s="3422"/>
      <c r="AA8" s="50">
        <f t="shared" ref="AA8:AA46" si="3">D8/F8</f>
        <v>1</v>
      </c>
      <c r="AB8" s="50">
        <f t="shared" ref="AB8:AB46" si="4">D8/H8</f>
        <v>1</v>
      </c>
      <c r="AC8" s="50">
        <f t="shared" ref="AC8:AC46" si="5">D8/J8</f>
        <v>1</v>
      </c>
    </row>
    <row r="9" spans="1:29" s="102" customFormat="1" ht="14.4">
      <c r="A9" s="359" t="s">
        <v>1681</v>
      </c>
      <c r="B9" s="60" t="s">
        <v>1682</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44" t="s">
        <v>1683</v>
      </c>
      <c r="Q9" s="530" t="str">
        <f t="shared" ref="Q9:Q15" si="6">B9</f>
        <v>用途</v>
      </c>
      <c r="R9" s="664" t="s">
        <v>14</v>
      </c>
      <c r="S9" s="665">
        <f t="shared" si="0"/>
        <v>100</v>
      </c>
      <c r="T9" s="664" t="s">
        <v>14</v>
      </c>
      <c r="U9" s="665">
        <f t="shared" si="1"/>
        <v>100</v>
      </c>
      <c r="V9" s="664" t="s">
        <v>14</v>
      </c>
      <c r="W9" s="665">
        <f t="shared" si="2"/>
        <v>100</v>
      </c>
      <c r="X9" s="666"/>
      <c r="Y9" s="3389" t="s">
        <v>1684</v>
      </c>
      <c r="Z9" s="50" t="str">
        <f t="shared" ref="Z9:Z15" si="7">Q9</f>
        <v>用途</v>
      </c>
      <c r="AA9" s="50">
        <f t="shared" si="3"/>
        <v>1</v>
      </c>
      <c r="AB9" s="50">
        <f t="shared" si="4"/>
        <v>1</v>
      </c>
      <c r="AC9" s="50">
        <f t="shared" si="5"/>
        <v>1</v>
      </c>
    </row>
    <row r="10" spans="1:29" s="366" customFormat="1" ht="28.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44"/>
      <c r="Q11" s="530" t="str">
        <f t="shared" si="6"/>
        <v>容积率</v>
      </c>
      <c r="R11" s="664" t="s">
        <v>14</v>
      </c>
      <c r="S11" s="665" t="e">
        <f t="shared" si="0"/>
        <v>#N/A</v>
      </c>
      <c r="T11" s="664" t="s">
        <v>14</v>
      </c>
      <c r="U11" s="665" t="e">
        <f t="shared" si="1"/>
        <v>#N/A</v>
      </c>
      <c r="V11" s="664" t="s">
        <v>14</v>
      </c>
      <c r="W11" s="665" t="e">
        <f t="shared" si="2"/>
        <v>#N/A</v>
      </c>
      <c r="X11" s="666"/>
      <c r="Y11" s="338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44"/>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44"/>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44"/>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50">
        <f t="shared" si="5"/>
        <v>1</v>
      </c>
    </row>
    <row r="15" spans="1:29" ht="69">
      <c r="A15" s="379" t="s">
        <v>1687</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88" t="s">
        <v>1688</v>
      </c>
      <c r="Q15" s="1261" t="str">
        <f t="shared" si="6"/>
        <v>商业繁华度</v>
      </c>
      <c r="R15" s="667" t="s">
        <v>14</v>
      </c>
      <c r="S15" s="668">
        <f t="shared" si="0"/>
        <v>100</v>
      </c>
      <c r="T15" s="667" t="s">
        <v>14</v>
      </c>
      <c r="U15" s="668">
        <f t="shared" si="1"/>
        <v>100</v>
      </c>
      <c r="V15" s="667" t="s">
        <v>14</v>
      </c>
      <c r="W15" s="668">
        <f t="shared" si="2"/>
        <v>100</v>
      </c>
      <c r="X15" s="1263"/>
      <c r="Y15" s="3424" t="s">
        <v>1688</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91"/>
      <c r="M16" s="2486"/>
      <c r="N16" s="2486"/>
      <c r="O16" s="2486"/>
      <c r="P16" s="3489"/>
      <c r="Q16" s="1261"/>
      <c r="R16" s="667"/>
      <c r="S16" s="668"/>
      <c r="T16" s="667"/>
      <c r="U16" s="668"/>
      <c r="V16" s="667"/>
      <c r="W16" s="668"/>
      <c r="X16" s="1263"/>
      <c r="Y16" s="3425"/>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89"/>
      <c r="Q17" s="1261" t="str">
        <f>B17</f>
        <v>交通便捷度</v>
      </c>
      <c r="R17" s="667" t="s">
        <v>14</v>
      </c>
      <c r="S17" s="668">
        <f>F17</f>
        <v>100</v>
      </c>
      <c r="T17" s="667" t="s">
        <v>14</v>
      </c>
      <c r="U17" s="668">
        <f>H17</f>
        <v>100</v>
      </c>
      <c r="V17" s="667" t="s">
        <v>14</v>
      </c>
      <c r="W17" s="668">
        <f>J17</f>
        <v>100</v>
      </c>
      <c r="X17" s="1263"/>
      <c r="Y17" s="3425"/>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91"/>
      <c r="M18" s="2486"/>
      <c r="N18" s="2486"/>
      <c r="O18" s="2486"/>
      <c r="P18" s="3489"/>
      <c r="Q18" s="1261"/>
      <c r="R18" s="667"/>
      <c r="S18" s="668"/>
      <c r="T18" s="667"/>
      <c r="U18" s="668"/>
      <c r="V18" s="667"/>
      <c r="W18" s="668"/>
      <c r="X18" s="1263"/>
      <c r="Y18" s="3425"/>
      <c r="Z18" s="1262"/>
      <c r="AA18" s="1262">
        <v>1</v>
      </c>
      <c r="AB18" s="1262">
        <v>1</v>
      </c>
      <c r="AC18" s="1262">
        <v>1</v>
      </c>
    </row>
    <row r="19" spans="1:29" ht="41.4">
      <c r="A19" s="367"/>
      <c r="B19" s="390" t="s">
        <v>1775</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89"/>
      <c r="Q19" s="1261" t="str">
        <f>B19</f>
        <v>公共配套设施</v>
      </c>
      <c r="R19" s="667" t="s">
        <v>14</v>
      </c>
      <c r="S19" s="668">
        <f>F19</f>
        <v>100</v>
      </c>
      <c r="T19" s="667" t="s">
        <v>14</v>
      </c>
      <c r="U19" s="668">
        <f>H19</f>
        <v>100</v>
      </c>
      <c r="V19" s="667" t="s">
        <v>14</v>
      </c>
      <c r="W19" s="668">
        <f>J19</f>
        <v>100</v>
      </c>
      <c r="X19" s="1263"/>
      <c r="Y19" s="3425"/>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91"/>
      <c r="M20" s="2486"/>
      <c r="N20" s="2486"/>
      <c r="O20" s="2486"/>
      <c r="P20" s="3489"/>
      <c r="Q20" s="1261"/>
      <c r="R20" s="667"/>
      <c r="S20" s="668"/>
      <c r="T20" s="667"/>
      <c r="U20" s="668"/>
      <c r="V20" s="667"/>
      <c r="W20" s="668"/>
      <c r="X20" s="1263"/>
      <c r="Y20" s="3425"/>
      <c r="Z20" s="1262"/>
      <c r="AA20" s="1262">
        <v>1</v>
      </c>
      <c r="AB20" s="1262">
        <v>1</v>
      </c>
      <c r="AC20" s="1262">
        <v>1</v>
      </c>
    </row>
    <row r="21" spans="1:29" ht="27.6">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89"/>
      <c r="Q21" s="1261" t="str">
        <f>B21</f>
        <v>基础设施水平</v>
      </c>
      <c r="R21" s="667" t="s">
        <v>14</v>
      </c>
      <c r="S21" s="668">
        <f>F21</f>
        <v>100</v>
      </c>
      <c r="T21" s="667" t="s">
        <v>14</v>
      </c>
      <c r="U21" s="668">
        <f>H21</f>
        <v>100</v>
      </c>
      <c r="V21" s="667" t="s">
        <v>14</v>
      </c>
      <c r="W21" s="668">
        <f>J21</f>
        <v>100</v>
      </c>
      <c r="X21" s="1263"/>
      <c r="Y21" s="3425"/>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3"/>
      <c r="L22" s="2491"/>
      <c r="M22" s="2486"/>
      <c r="N22" s="2486"/>
      <c r="O22" s="2486"/>
      <c r="P22" s="3489"/>
      <c r="Q22" s="1261"/>
      <c r="R22" s="667"/>
      <c r="S22" s="668"/>
      <c r="T22" s="667"/>
      <c r="U22" s="668"/>
      <c r="V22" s="667"/>
      <c r="W22" s="668"/>
      <c r="X22" s="1263"/>
      <c r="Y22" s="3425"/>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89"/>
      <c r="Q23" s="1261" t="str">
        <f>B23</f>
        <v>自然及人文环境</v>
      </c>
      <c r="R23" s="667" t="s">
        <v>14</v>
      </c>
      <c r="S23" s="668">
        <f>F23</f>
        <v>100</v>
      </c>
      <c r="T23" s="667" t="s">
        <v>14</v>
      </c>
      <c r="U23" s="668">
        <f>H23</f>
        <v>100</v>
      </c>
      <c r="V23" s="667" t="s">
        <v>14</v>
      </c>
      <c r="W23" s="668">
        <f>J23</f>
        <v>100</v>
      </c>
      <c r="X23" s="1263"/>
      <c r="Y23" s="3425"/>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91"/>
      <c r="M24" s="2486"/>
      <c r="N24" s="2486"/>
      <c r="O24" s="2486"/>
      <c r="P24" s="3489"/>
      <c r="Q24" s="1261"/>
      <c r="R24" s="667"/>
      <c r="S24" s="668"/>
      <c r="T24" s="667"/>
      <c r="U24" s="668"/>
      <c r="V24" s="667"/>
      <c r="W24" s="668"/>
      <c r="X24" s="1263"/>
      <c r="Y24" s="3425"/>
      <c r="Z24" s="1262"/>
      <c r="AA24" s="1262">
        <v>1</v>
      </c>
      <c r="AB24" s="1262">
        <v>1</v>
      </c>
      <c r="AC24" s="1262">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89"/>
      <c r="Q25" s="1261" t="str">
        <f t="shared" ref="Q25:Q46" si="11">B25</f>
        <v>临街状况</v>
      </c>
      <c r="R25" s="667" t="s">
        <v>14</v>
      </c>
      <c r="S25" s="668">
        <f>F25</f>
        <v>100</v>
      </c>
      <c r="T25" s="667" t="s">
        <v>14</v>
      </c>
      <c r="U25" s="668">
        <f>H25</f>
        <v>100</v>
      </c>
      <c r="V25" s="667" t="s">
        <v>14</v>
      </c>
      <c r="W25" s="668">
        <f>J25</f>
        <v>100</v>
      </c>
      <c r="X25" s="1263"/>
      <c r="Y25" s="3425"/>
      <c r="Z25" s="1262" t="str">
        <f>Q25</f>
        <v>临街状况</v>
      </c>
      <c r="AA25" s="1262">
        <f t="shared" si="3"/>
        <v>1</v>
      </c>
      <c r="AB25" s="1262">
        <f t="shared" si="4"/>
        <v>1</v>
      </c>
      <c r="AC25" s="1262">
        <f t="shared" si="5"/>
        <v>1</v>
      </c>
    </row>
    <row r="26" spans="1:29" ht="15">
      <c r="A26" s="367"/>
      <c r="B26" s="1065" t="s">
        <v>1778</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89"/>
      <c r="Q26" s="1261" t="str">
        <f t="shared" si="11"/>
        <v>平面位置/可视性</v>
      </c>
      <c r="R26" s="667" t="s">
        <v>14</v>
      </c>
      <c r="S26" s="668">
        <f>F26</f>
        <v>100</v>
      </c>
      <c r="T26" s="667" t="s">
        <v>14</v>
      </c>
      <c r="U26" s="668">
        <f>H26</f>
        <v>100</v>
      </c>
      <c r="V26" s="667" t="s">
        <v>14</v>
      </c>
      <c r="W26" s="668">
        <f>J26</f>
        <v>100</v>
      </c>
      <c r="X26" s="1263"/>
      <c r="Y26" s="3425"/>
      <c r="Z26" s="1262" t="str">
        <f>Q26</f>
        <v>平面位置/可视性</v>
      </c>
      <c r="AA26" s="1262">
        <f t="shared" si="3"/>
        <v>1</v>
      </c>
      <c r="AB26" s="1262">
        <f t="shared" si="4"/>
        <v>1</v>
      </c>
      <c r="AC26" s="1262">
        <f t="shared" si="5"/>
        <v>1</v>
      </c>
    </row>
    <row r="27" spans="1:29" s="102" customFormat="1" ht="15">
      <c r="A27" s="370"/>
      <c r="B27" s="390" t="s">
        <v>1779</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89"/>
      <c r="Q27" s="530" t="str">
        <f t="shared" si="11"/>
        <v>人流量</v>
      </c>
      <c r="R27" s="664" t="s">
        <v>14</v>
      </c>
      <c r="S27" s="665">
        <f>F27</f>
        <v>100</v>
      </c>
      <c r="T27" s="664" t="s">
        <v>14</v>
      </c>
      <c r="U27" s="665">
        <f>H27</f>
        <v>100</v>
      </c>
      <c r="V27" s="664" t="s">
        <v>14</v>
      </c>
      <c r="W27" s="665">
        <f>J27</f>
        <v>100</v>
      </c>
      <c r="X27" s="666"/>
      <c r="Y27" s="3425"/>
      <c r="Z27" s="50" t="str">
        <f>Q27</f>
        <v>人流量</v>
      </c>
      <c r="AA27" s="1262">
        <f>D27/F27</f>
        <v>1</v>
      </c>
      <c r="AB27" s="1262">
        <f>D27/H27</f>
        <v>1</v>
      </c>
      <c r="AC27" s="1262">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89"/>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25"/>
      <c r="Z28" s="1262" t="str">
        <f t="shared" ref="Z28:Z46" si="15">Q28</f>
        <v>楼层</v>
      </c>
      <c r="AA28" s="1262">
        <f t="shared" si="3"/>
        <v>1</v>
      </c>
      <c r="AB28" s="1262">
        <f t="shared" si="4"/>
        <v>1</v>
      </c>
      <c r="AC28" s="1262">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89"/>
      <c r="Q29" s="1261">
        <f t="shared" si="11"/>
        <v>111</v>
      </c>
      <c r="R29" s="667" t="s">
        <v>14</v>
      </c>
      <c r="S29" s="668">
        <f t="shared" si="12"/>
        <v>100</v>
      </c>
      <c r="T29" s="667" t="s">
        <v>14</v>
      </c>
      <c r="U29" s="668">
        <f t="shared" si="13"/>
        <v>100</v>
      </c>
      <c r="V29" s="667" t="s">
        <v>14</v>
      </c>
      <c r="W29" s="668">
        <f t="shared" si="14"/>
        <v>100</v>
      </c>
      <c r="X29" s="1263"/>
      <c r="Y29" s="3425"/>
      <c r="Z29" s="1262">
        <f t="shared" si="15"/>
        <v>111</v>
      </c>
      <c r="AA29" s="1262">
        <f t="shared" si="3"/>
        <v>1</v>
      </c>
      <c r="AB29" s="1262">
        <f t="shared" si="4"/>
        <v>1</v>
      </c>
      <c r="AC29" s="1262">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89"/>
      <c r="Q30" s="1261">
        <f t="shared" si="11"/>
        <v>111</v>
      </c>
      <c r="R30" s="667" t="s">
        <v>14</v>
      </c>
      <c r="S30" s="668">
        <f t="shared" si="12"/>
        <v>100</v>
      </c>
      <c r="T30" s="667" t="s">
        <v>14</v>
      </c>
      <c r="U30" s="668">
        <f t="shared" si="13"/>
        <v>100</v>
      </c>
      <c r="V30" s="667" t="s">
        <v>14</v>
      </c>
      <c r="W30" s="668">
        <f t="shared" si="14"/>
        <v>100</v>
      </c>
      <c r="X30" s="1263"/>
      <c r="Y30" s="3425"/>
      <c r="Z30" s="1262">
        <f t="shared" si="15"/>
        <v>111</v>
      </c>
      <c r="AA30" s="1262">
        <f t="shared" si="3"/>
        <v>1</v>
      </c>
      <c r="AB30" s="1262">
        <f t="shared" si="4"/>
        <v>1</v>
      </c>
      <c r="AC30" s="1262">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89"/>
      <c r="Q31" s="1261">
        <f t="shared" si="11"/>
        <v>111</v>
      </c>
      <c r="R31" s="667" t="s">
        <v>14</v>
      </c>
      <c r="S31" s="668">
        <f t="shared" si="12"/>
        <v>100</v>
      </c>
      <c r="T31" s="667" t="s">
        <v>14</v>
      </c>
      <c r="U31" s="668">
        <f t="shared" si="13"/>
        <v>100</v>
      </c>
      <c r="V31" s="667" t="s">
        <v>14</v>
      </c>
      <c r="W31" s="668">
        <f t="shared" si="14"/>
        <v>100</v>
      </c>
      <c r="X31" s="1263"/>
      <c r="Y31" s="3425"/>
      <c r="Z31" s="1262">
        <f t="shared" si="15"/>
        <v>111</v>
      </c>
      <c r="AA31" s="1262">
        <f t="shared" si="3"/>
        <v>1</v>
      </c>
      <c r="AB31" s="1262">
        <f t="shared" si="4"/>
        <v>1</v>
      </c>
      <c r="AC31" s="1262">
        <f t="shared" si="5"/>
        <v>1</v>
      </c>
    </row>
    <row r="32" spans="1:29" ht="15">
      <c r="A32" s="379" t="s">
        <v>1691</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484" t="s">
        <v>1693</v>
      </c>
      <c r="Q32" s="1261" t="str">
        <f t="shared" si="11"/>
        <v>商业类型</v>
      </c>
      <c r="R32" s="667" t="s">
        <v>14</v>
      </c>
      <c r="S32" s="668">
        <f t="shared" si="12"/>
        <v>100</v>
      </c>
      <c r="T32" s="667" t="s">
        <v>14</v>
      </c>
      <c r="U32" s="668">
        <f t="shared" si="13"/>
        <v>100</v>
      </c>
      <c r="V32" s="667" t="s">
        <v>14</v>
      </c>
      <c r="W32" s="668">
        <f t="shared" si="14"/>
        <v>100</v>
      </c>
      <c r="X32" s="1263"/>
      <c r="Y32" s="3427" t="s">
        <v>1693</v>
      </c>
      <c r="Z32" s="1262" t="str">
        <f t="shared" si="15"/>
        <v>商业类型</v>
      </c>
      <c r="AA32" s="1262">
        <f t="shared" si="3"/>
        <v>1</v>
      </c>
      <c r="AB32" s="1262">
        <f t="shared" si="4"/>
        <v>1</v>
      </c>
      <c r="AC32" s="1262">
        <f t="shared" si="5"/>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85"/>
      <c r="Q33" s="531" t="str">
        <f t="shared" si="11"/>
        <v>项目建筑规模</v>
      </c>
      <c r="R33" s="669" t="s">
        <v>14</v>
      </c>
      <c r="S33" s="670" t="e">
        <f t="shared" si="12"/>
        <v>#N/A</v>
      </c>
      <c r="T33" s="669" t="s">
        <v>14</v>
      </c>
      <c r="U33" s="670" t="e">
        <f t="shared" si="13"/>
        <v>#N/A</v>
      </c>
      <c r="V33" s="669" t="s">
        <v>14</v>
      </c>
      <c r="W33" s="670" t="e">
        <f t="shared" si="14"/>
        <v>#N/A</v>
      </c>
      <c r="X33" s="671"/>
      <c r="Y33" s="3427"/>
      <c r="Z33" s="672" t="str">
        <f t="shared" si="15"/>
        <v>项目建筑规模</v>
      </c>
      <c r="AA33" s="1262" t="e">
        <f t="shared" si="3"/>
        <v>#N/A</v>
      </c>
      <c r="AB33" s="1262" t="e">
        <f t="shared" si="4"/>
        <v>#N/A</v>
      </c>
      <c r="AC33" s="1262" t="e">
        <f t="shared" si="5"/>
        <v>#N/A</v>
      </c>
    </row>
    <row r="34" spans="1:29" ht="15">
      <c r="A34" s="409"/>
      <c r="B34" s="364" t="s">
        <v>1695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85"/>
      <c r="Q34" s="1261" t="str">
        <f t="shared" si="11"/>
        <v>建筑结构</v>
      </c>
      <c r="R34" s="667" t="s">
        <v>14</v>
      </c>
      <c r="S34" s="668">
        <f t="shared" si="12"/>
        <v>100</v>
      </c>
      <c r="T34" s="667" t="s">
        <v>14</v>
      </c>
      <c r="U34" s="668">
        <f t="shared" si="13"/>
        <v>100</v>
      </c>
      <c r="V34" s="667" t="s">
        <v>14</v>
      </c>
      <c r="W34" s="668">
        <f t="shared" si="14"/>
        <v>100</v>
      </c>
      <c r="X34" s="1263"/>
      <c r="Y34" s="3427"/>
      <c r="Z34" s="1262" t="str">
        <f t="shared" si="15"/>
        <v>建筑结构</v>
      </c>
      <c r="AA34" s="1262">
        <f t="shared" si="3"/>
        <v>1</v>
      </c>
      <c r="AB34" s="1262">
        <f t="shared" si="4"/>
        <v>1</v>
      </c>
      <c r="AC34" s="1262">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485"/>
      <c r="Q35" s="1261" t="str">
        <f t="shared" si="11"/>
        <v>公共部分装修</v>
      </c>
      <c r="R35" s="667" t="s">
        <v>14</v>
      </c>
      <c r="S35" s="668">
        <f t="shared" si="12"/>
        <v>100</v>
      </c>
      <c r="T35" s="667" t="s">
        <v>14</v>
      </c>
      <c r="U35" s="668">
        <f t="shared" si="13"/>
        <v>100</v>
      </c>
      <c r="V35" s="667" t="s">
        <v>14</v>
      </c>
      <c r="W35" s="668">
        <f t="shared" si="14"/>
        <v>100</v>
      </c>
      <c r="X35" s="1263"/>
      <c r="Y35" s="3427"/>
      <c r="Z35" s="1262" t="str">
        <f t="shared" si="15"/>
        <v>公共部分装修</v>
      </c>
      <c r="AA35" s="1262">
        <f t="shared" si="3"/>
        <v>1</v>
      </c>
      <c r="AB35" s="1262">
        <f t="shared" si="4"/>
        <v>1</v>
      </c>
      <c r="AC35" s="1262">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85"/>
      <c r="Q36" s="1261" t="str">
        <f t="shared" si="11"/>
        <v>成新度</v>
      </c>
      <c r="R36" s="667" t="s">
        <v>14</v>
      </c>
      <c r="S36" s="668" t="e">
        <f t="shared" si="12"/>
        <v>#N/A</v>
      </c>
      <c r="T36" s="667" t="s">
        <v>14</v>
      </c>
      <c r="U36" s="668" t="e">
        <f t="shared" si="13"/>
        <v>#N/A</v>
      </c>
      <c r="V36" s="667" t="s">
        <v>14</v>
      </c>
      <c r="W36" s="668" t="e">
        <f t="shared" si="14"/>
        <v>#N/A</v>
      </c>
      <c r="X36" s="1263"/>
      <c r="Y36" s="3427"/>
      <c r="Z36" s="1262" t="str">
        <f t="shared" si="15"/>
        <v>成新度</v>
      </c>
      <c r="AA36" s="1262" t="e">
        <f t="shared" si="3"/>
        <v>#N/A</v>
      </c>
      <c r="AB36" s="1262" t="e">
        <f t="shared" si="4"/>
        <v>#N/A</v>
      </c>
      <c r="AC36" s="1262"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485"/>
      <c r="Q37" s="530" t="str">
        <f t="shared" si="11"/>
        <v>市政基础设施</v>
      </c>
      <c r="R37" s="664" t="s">
        <v>14</v>
      </c>
      <c r="S37" s="665">
        <f t="shared" si="12"/>
        <v>100</v>
      </c>
      <c r="T37" s="664" t="s">
        <v>14</v>
      </c>
      <c r="U37" s="665">
        <f t="shared" si="13"/>
        <v>100</v>
      </c>
      <c r="V37" s="664" t="s">
        <v>14</v>
      </c>
      <c r="W37" s="665">
        <f t="shared" si="14"/>
        <v>100</v>
      </c>
      <c r="X37" s="666"/>
      <c r="Y37" s="3427"/>
      <c r="Z37" s="50" t="str">
        <f t="shared" si="15"/>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485" t="s">
        <v>1693</v>
      </c>
      <c r="Q38" s="1261" t="str">
        <f t="shared" si="11"/>
        <v>业态</v>
      </c>
      <c r="R38" s="667" t="s">
        <v>14</v>
      </c>
      <c r="S38" s="668">
        <f t="shared" si="12"/>
        <v>100</v>
      </c>
      <c r="T38" s="667" t="s">
        <v>14</v>
      </c>
      <c r="U38" s="668">
        <f t="shared" si="13"/>
        <v>100</v>
      </c>
      <c r="V38" s="667" t="s">
        <v>14</v>
      </c>
      <c r="W38" s="668">
        <f t="shared" si="14"/>
        <v>100</v>
      </c>
      <c r="X38" s="1263"/>
      <c r="Y38" s="3427" t="s">
        <v>1693</v>
      </c>
      <c r="Z38" s="1262" t="str">
        <f t="shared" si="15"/>
        <v>业态</v>
      </c>
      <c r="AA38" s="1262">
        <f t="shared" si="3"/>
        <v>1</v>
      </c>
      <c r="AB38" s="1262">
        <f t="shared" si="4"/>
        <v>1</v>
      </c>
      <c r="AC38" s="1262">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485"/>
      <c r="Q39" s="1261" t="str">
        <f t="shared" si="11"/>
        <v>层高</v>
      </c>
      <c r="R39" s="667" t="s">
        <v>14</v>
      </c>
      <c r="S39" s="668">
        <f t="shared" si="12"/>
        <v>100</v>
      </c>
      <c r="T39" s="667" t="s">
        <v>14</v>
      </c>
      <c r="U39" s="668">
        <f t="shared" si="13"/>
        <v>100</v>
      </c>
      <c r="V39" s="667" t="s">
        <v>14</v>
      </c>
      <c r="W39" s="668">
        <f t="shared" si="14"/>
        <v>100</v>
      </c>
      <c r="X39" s="1263"/>
      <c r="Y39" s="3427"/>
      <c r="Z39" s="1262" t="str">
        <f t="shared" si="15"/>
        <v>层高</v>
      </c>
      <c r="AA39" s="1262">
        <f t="shared" si="3"/>
        <v>1</v>
      </c>
      <c r="AB39" s="1262">
        <f t="shared" si="4"/>
        <v>1</v>
      </c>
      <c r="AC39" s="1262">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85"/>
      <c r="Q40" s="1261" t="str">
        <f t="shared" si="11"/>
        <v>单套建筑面积</v>
      </c>
      <c r="R40" s="667" t="s">
        <v>14</v>
      </c>
      <c r="S40" s="668">
        <f t="shared" si="12"/>
        <v>100</v>
      </c>
      <c r="T40" s="667" t="s">
        <v>14</v>
      </c>
      <c r="U40" s="668">
        <f t="shared" si="13"/>
        <v>100</v>
      </c>
      <c r="V40" s="667" t="s">
        <v>14</v>
      </c>
      <c r="W40" s="668">
        <f t="shared" si="14"/>
        <v>100</v>
      </c>
      <c r="X40" s="1263"/>
      <c r="Y40" s="3427"/>
      <c r="Z40" s="1262" t="str">
        <f t="shared" si="15"/>
        <v>单套建筑面积</v>
      </c>
      <c r="AA40" s="1262">
        <f t="shared" si="3"/>
        <v>1</v>
      </c>
      <c r="AB40" s="1262">
        <f t="shared" si="4"/>
        <v>1</v>
      </c>
      <c r="AC40" s="1262">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85"/>
      <c r="Q41" s="531" t="str">
        <f t="shared" si="11"/>
        <v>进深比</v>
      </c>
      <c r="R41" s="669" t="s">
        <v>14</v>
      </c>
      <c r="S41" s="670">
        <f t="shared" si="12"/>
        <v>100</v>
      </c>
      <c r="T41" s="669" t="s">
        <v>14</v>
      </c>
      <c r="U41" s="670">
        <f t="shared" si="13"/>
        <v>100</v>
      </c>
      <c r="V41" s="669" t="s">
        <v>14</v>
      </c>
      <c r="W41" s="670">
        <f t="shared" si="14"/>
        <v>100</v>
      </c>
      <c r="X41" s="671"/>
      <c r="Y41" s="3427"/>
      <c r="Z41" s="672" t="str">
        <f t="shared" si="15"/>
        <v>进深比</v>
      </c>
      <c r="AA41" s="1262">
        <f t="shared" si="3"/>
        <v>1</v>
      </c>
      <c r="AB41" s="1262">
        <f t="shared" si="4"/>
        <v>1</v>
      </c>
      <c r="AC41" s="1262">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485"/>
      <c r="Q42" s="1261" t="str">
        <f t="shared" si="11"/>
        <v>内部装修</v>
      </c>
      <c r="R42" s="667" t="s">
        <v>14</v>
      </c>
      <c r="S42" s="668">
        <f t="shared" si="12"/>
        <v>100</v>
      </c>
      <c r="T42" s="667" t="s">
        <v>14</v>
      </c>
      <c r="U42" s="668">
        <f t="shared" si="13"/>
        <v>100</v>
      </c>
      <c r="V42" s="667" t="s">
        <v>14</v>
      </c>
      <c r="W42" s="668">
        <f t="shared" si="14"/>
        <v>100</v>
      </c>
      <c r="X42" s="1263"/>
      <c r="Y42" s="3427"/>
      <c r="Z42" s="1262" t="str">
        <f t="shared" si="15"/>
        <v>内部装修</v>
      </c>
      <c r="AA42" s="1262">
        <f t="shared" si="3"/>
        <v>1</v>
      </c>
      <c r="AB42" s="1262">
        <f t="shared" si="4"/>
        <v>1</v>
      </c>
      <c r="AC42" s="1262">
        <f t="shared" si="5"/>
        <v>1</v>
      </c>
    </row>
    <row r="43" spans="1:29" ht="28.8">
      <c r="A43" s="409"/>
      <c r="B43" s="364" t="s">
        <v>1704</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485"/>
      <c r="Q43" s="1261" t="str">
        <f t="shared" si="11"/>
        <v>内部装修维护情况</v>
      </c>
      <c r="R43" s="667" t="s">
        <v>14</v>
      </c>
      <c r="S43" s="668">
        <f t="shared" si="12"/>
        <v>100</v>
      </c>
      <c r="T43" s="667" t="s">
        <v>14</v>
      </c>
      <c r="U43" s="668">
        <f t="shared" si="13"/>
        <v>100</v>
      </c>
      <c r="V43" s="667" t="s">
        <v>14</v>
      </c>
      <c r="W43" s="668">
        <f t="shared" si="14"/>
        <v>100</v>
      </c>
      <c r="X43" s="1263"/>
      <c r="Y43" s="3427"/>
      <c r="Z43" s="1262" t="str">
        <f t="shared" si="15"/>
        <v>内部装修维护情况</v>
      </c>
      <c r="AA43" s="1262">
        <f t="shared" si="3"/>
        <v>1</v>
      </c>
      <c r="AB43" s="1262">
        <f t="shared" si="4"/>
        <v>1</v>
      </c>
      <c r="AC43" s="1262">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85"/>
      <c r="Q44" s="530">
        <f t="shared" si="11"/>
        <v>111</v>
      </c>
      <c r="R44" s="664" t="s">
        <v>14</v>
      </c>
      <c r="S44" s="665">
        <f t="shared" si="12"/>
        <v>100</v>
      </c>
      <c r="T44" s="664" t="s">
        <v>14</v>
      </c>
      <c r="U44" s="665">
        <f t="shared" si="13"/>
        <v>100</v>
      </c>
      <c r="V44" s="664" t="s">
        <v>14</v>
      </c>
      <c r="W44" s="665">
        <f t="shared" si="14"/>
        <v>100</v>
      </c>
      <c r="X44" s="666"/>
      <c r="Y44" s="3427"/>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85"/>
      <c r="Q45" s="1261">
        <f t="shared" si="11"/>
        <v>111</v>
      </c>
      <c r="R45" s="667" t="s">
        <v>14</v>
      </c>
      <c r="S45" s="668">
        <f t="shared" si="12"/>
        <v>100</v>
      </c>
      <c r="T45" s="667" t="s">
        <v>14</v>
      </c>
      <c r="U45" s="668">
        <f t="shared" si="13"/>
        <v>100</v>
      </c>
      <c r="V45" s="667" t="s">
        <v>14</v>
      </c>
      <c r="W45" s="668">
        <f t="shared" si="14"/>
        <v>100</v>
      </c>
      <c r="X45" s="1263"/>
      <c r="Y45" s="3427"/>
      <c r="Z45" s="1262">
        <f t="shared" si="15"/>
        <v>111</v>
      </c>
      <c r="AA45" s="1262">
        <f t="shared" si="3"/>
        <v>1</v>
      </c>
      <c r="AB45" s="1262">
        <f t="shared" si="4"/>
        <v>1</v>
      </c>
      <c r="AC45" s="1262">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86"/>
      <c r="Q46" s="1261">
        <f t="shared" si="11"/>
        <v>111</v>
      </c>
      <c r="R46" s="667" t="s">
        <v>14</v>
      </c>
      <c r="S46" s="668">
        <f t="shared" si="12"/>
        <v>100</v>
      </c>
      <c r="T46" s="667" t="s">
        <v>14</v>
      </c>
      <c r="U46" s="668">
        <f t="shared" si="13"/>
        <v>100</v>
      </c>
      <c r="V46" s="667" t="s">
        <v>14</v>
      </c>
      <c r="W46" s="668">
        <f t="shared" si="14"/>
        <v>100</v>
      </c>
      <c r="X46" s="1263"/>
      <c r="Y46" s="3487"/>
      <c r="Z46" s="1262">
        <f t="shared" si="15"/>
        <v>111</v>
      </c>
      <c r="AA46" s="1262">
        <f t="shared" si="3"/>
        <v>1</v>
      </c>
      <c r="AB46" s="1262">
        <f t="shared" si="4"/>
        <v>1</v>
      </c>
      <c r="AC46" s="1262">
        <f t="shared" si="5"/>
        <v>1</v>
      </c>
    </row>
    <row r="47" spans="1:29" ht="14.4">
      <c r="A47" s="416" t="s">
        <v>1705</v>
      </c>
      <c r="B47" s="417"/>
      <c r="C47" s="1080" t="s">
        <v>0</v>
      </c>
      <c r="D47" s="418"/>
      <c r="E47" s="419"/>
      <c r="F47" s="420"/>
      <c r="G47" s="421"/>
      <c r="H47" s="422"/>
      <c r="I47" s="419"/>
      <c r="J47" s="422"/>
      <c r="K47" s="674"/>
      <c r="L47" s="2493"/>
      <c r="M47" s="2486"/>
      <c r="N47" s="2486"/>
      <c r="O47" s="2486"/>
      <c r="P47" s="3419" t="str">
        <f>A47</f>
        <v>成交单价（元/平方米）</v>
      </c>
      <c r="Q47" s="3419"/>
      <c r="R47" s="3423">
        <f>E47</f>
        <v>0</v>
      </c>
      <c r="S47" s="3423"/>
      <c r="T47" s="3423">
        <f>G47</f>
        <v>0</v>
      </c>
      <c r="U47" s="3423"/>
      <c r="V47" s="3423">
        <f>I47</f>
        <v>0</v>
      </c>
      <c r="W47" s="3423"/>
      <c r="X47" s="385"/>
      <c r="Y47" s="673"/>
      <c r="Z47" s="385"/>
      <c r="AA47" s="385"/>
      <c r="AB47" s="385"/>
      <c r="AC47" s="385"/>
    </row>
    <row r="48" spans="1:29" ht="15" thickBot="1">
      <c r="A48" s="423" t="s">
        <v>1790</v>
      </c>
      <c r="B48" s="424"/>
      <c r="C48" s="1081" t="e">
        <f>R49</f>
        <v>#DIV/0!</v>
      </c>
      <c r="D48" s="2140" t="s">
        <v>2134</v>
      </c>
      <c r="E48" s="1082" t="e">
        <f>R48</f>
        <v>#DIV/0!</v>
      </c>
      <c r="F48" s="2141"/>
      <c r="G48" s="1081" t="e">
        <f>T48</f>
        <v>#DIV/0!</v>
      </c>
      <c r="H48" s="2141"/>
      <c r="I48" s="1082" t="e">
        <f>V48</f>
        <v>#DIV/0!</v>
      </c>
      <c r="J48" s="2141"/>
      <c r="K48" s="2143">
        <f>F48+H48+J48</f>
        <v>0</v>
      </c>
      <c r="L48" s="2493"/>
      <c r="M48" s="2486"/>
      <c r="N48" s="2486"/>
      <c r="O48" s="2486"/>
      <c r="P48" s="3419" t="str">
        <f>A48</f>
        <v>比较价值（元/平方米）</v>
      </c>
      <c r="Q48" s="3419"/>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 thickBot="1">
      <c r="A49" s="427" t="s">
        <v>1791</v>
      </c>
      <c r="B49" s="428"/>
      <c r="C49" s="351" t="e">
        <f>R49</f>
        <v>#DIV/0!</v>
      </c>
      <c r="D49" s="351"/>
      <c r="E49" s="351"/>
      <c r="F49" s="351"/>
      <c r="G49" s="351"/>
      <c r="H49" s="351"/>
      <c r="I49" s="351"/>
      <c r="J49" s="351"/>
      <c r="K49" s="675"/>
      <c r="L49" s="2493"/>
      <c r="M49" s="2486"/>
      <c r="N49" s="2486"/>
      <c r="O49" s="2486"/>
      <c r="P49" s="3416" t="str">
        <f>A49</f>
        <v>估价对象XX用房的比较价值（楼面单价，元/平方米）</v>
      </c>
      <c r="Q49" s="3417"/>
      <c r="R49" s="3483" t="e">
        <f>IF(F1="售价",ROUND(IF(D48="简单平均",AVERAGE(R48:V48),R48*F48+T48*H48+V48*J48),0),ROUND(IF(D48="简单平均",AVERAGE(R48:V48),R48*F48+T48*H48+V48*J48),1))</f>
        <v>#DIV/0!</v>
      </c>
      <c r="S49" s="3483"/>
      <c r="T49" s="3483"/>
      <c r="U49" s="3483"/>
      <c r="V49" s="3483"/>
      <c r="W49" s="348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1795</v>
      </c>
      <c r="B57" s="385"/>
      <c r="C57" s="659"/>
      <c r="D57" s="659"/>
      <c r="E57" s="659"/>
      <c r="F57" s="660"/>
      <c r="G57" s="660"/>
      <c r="H57" s="659"/>
      <c r="I57" s="659"/>
      <c r="J57" s="659"/>
      <c r="K57" s="661"/>
      <c r="L57" s="887"/>
      <c r="M57" s="885"/>
      <c r="N57" s="885"/>
      <c r="O57" s="885"/>
      <c r="P57" s="2506"/>
      <c r="Q57" s="2507"/>
      <c r="R57" s="2486"/>
      <c r="S57" s="2486"/>
      <c r="T57" s="2486"/>
      <c r="U57" s="2486"/>
      <c r="V57" s="2486"/>
      <c r="W57" s="2486"/>
      <c r="X57" s="2486"/>
      <c r="Y57" s="2486"/>
      <c r="Z57" s="2486"/>
      <c r="AA57" s="2486"/>
      <c r="AB57" s="2486"/>
      <c r="AC57" s="2486"/>
    </row>
    <row r="58" spans="1:29" s="442" customFormat="1" ht="14.4">
      <c r="A58" s="440" t="s">
        <v>1676</v>
      </c>
      <c r="B58" s="441"/>
      <c r="C58" s="1101" t="str">
        <f>YEAR(C7)&amp;"-"&amp;MONTH(C7)</f>
        <v>2024-6</v>
      </c>
      <c r="D58" s="1102">
        <f>EDATE(C58,-1)</f>
        <v>45413</v>
      </c>
      <c r="E58" s="1102">
        <f t="shared" ref="E58:N58" si="16">EDATE(D58,-1)</f>
        <v>45383</v>
      </c>
      <c r="F58" s="1102">
        <f t="shared" si="16"/>
        <v>45352</v>
      </c>
      <c r="G58" s="1102">
        <f t="shared" si="16"/>
        <v>45323</v>
      </c>
      <c r="H58" s="1102">
        <f t="shared" si="16"/>
        <v>45292</v>
      </c>
      <c r="I58" s="1102">
        <f t="shared" si="16"/>
        <v>45261</v>
      </c>
      <c r="J58" s="1102">
        <f t="shared" si="16"/>
        <v>45231</v>
      </c>
      <c r="K58" s="1102">
        <f t="shared" si="16"/>
        <v>45200</v>
      </c>
      <c r="L58" s="1102">
        <f t="shared" si="16"/>
        <v>45170</v>
      </c>
      <c r="M58" s="1102">
        <f t="shared" si="16"/>
        <v>45139</v>
      </c>
      <c r="N58" s="1102">
        <f t="shared" si="16"/>
        <v>45108</v>
      </c>
      <c r="O58" s="1102">
        <f>EDATE(N58,-1)</f>
        <v>45078</v>
      </c>
      <c r="P58" s="2508"/>
      <c r="Q58" s="2509"/>
      <c r="R58" s="2509"/>
      <c r="S58" s="2509"/>
      <c r="T58" s="2509"/>
      <c r="U58" s="2509"/>
      <c r="V58" s="2509"/>
      <c r="W58" s="2509"/>
      <c r="X58" s="2509"/>
      <c r="Y58" s="2509"/>
      <c r="Z58" s="2509"/>
      <c r="AA58" s="2509"/>
      <c r="AB58" s="2509"/>
      <c r="AC58" s="2509"/>
    </row>
    <row r="59" spans="1:29" s="102" customFormat="1">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1713</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1678</v>
      </c>
      <c r="B61" s="444"/>
      <c r="C61" s="456" t="s">
        <v>1773</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1716</v>
      </c>
      <c r="B63" s="460" t="s">
        <v>1682</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1685</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1687</v>
      </c>
      <c r="B76" s="460" t="s">
        <v>1717</v>
      </c>
      <c r="C76" s="504" t="s">
        <v>1718</v>
      </c>
      <c r="D76" s="504" t="s">
        <v>1719</v>
      </c>
      <c r="E76" s="504" t="s">
        <v>1720</v>
      </c>
      <c r="F76" s="504" t="s">
        <v>1721</v>
      </c>
      <c r="G76" s="504" t="s">
        <v>1722</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1723</v>
      </c>
      <c r="C78" s="509" t="s">
        <v>1718</v>
      </c>
      <c r="D78" s="509" t="s">
        <v>1719</v>
      </c>
      <c r="E78" s="509" t="s">
        <v>1720</v>
      </c>
      <c r="F78" s="509" t="s">
        <v>1721</v>
      </c>
      <c r="G78" s="509" t="s">
        <v>1722</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1724</v>
      </c>
      <c r="C80" s="509" t="s">
        <v>1718</v>
      </c>
      <c r="D80" s="509" t="s">
        <v>1719</v>
      </c>
      <c r="E80" s="509" t="s">
        <v>1720</v>
      </c>
      <c r="F80" s="509" t="s">
        <v>1721</v>
      </c>
      <c r="G80" s="509" t="s">
        <v>1722</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1776</v>
      </c>
      <c r="C82" s="581" t="s">
        <v>1796</v>
      </c>
      <c r="D82" s="581" t="s">
        <v>1797</v>
      </c>
      <c r="E82" s="581" t="s">
        <v>1798</v>
      </c>
      <c r="F82" s="581" t="s">
        <v>1799</v>
      </c>
      <c r="G82" s="581" t="s">
        <v>1800</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1730</v>
      </c>
      <c r="C84" s="509" t="s">
        <v>1718</v>
      </c>
      <c r="D84" s="509" t="s">
        <v>1719</v>
      </c>
      <c r="E84" s="509" t="s">
        <v>1720</v>
      </c>
      <c r="F84" s="509" t="s">
        <v>1721</v>
      </c>
      <c r="G84" s="509" t="s">
        <v>1722</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1801</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1691</v>
      </c>
      <c r="B100" s="460" t="s">
        <v>1802</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1734</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1735</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1737</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1739</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1803</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1804</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1805</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1806</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1741</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C43 E43 G43 I43" xr:uid="{00000000-0002-0000-2200-000001000000}">
      <formula1>内部装修维护情况</formula1>
    </dataValidation>
    <dataValidation type="list" allowBlank="1" showInputMessage="1" showErrorMessage="1" sqref="E20 I20 G20 C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25 E25 G25 I25" xr:uid="{00000000-0002-0000-2200-000005000000}">
      <formula1>商业临街状况</formula1>
    </dataValidation>
    <dataValidation type="list" allowBlank="1" showInputMessage="1" showErrorMessage="1" sqref="C27 E27 G27 I27" xr:uid="{00000000-0002-0000-2200-000006000000}">
      <formula1>商业人流量</formula1>
    </dataValidation>
    <dataValidation type="list" allowBlank="1" showInputMessage="1" showErrorMessage="1" sqref="C28 E28 G28 I28" xr:uid="{00000000-0002-0000-2200-000007000000}">
      <formula1>商业楼层</formula1>
    </dataValidation>
    <dataValidation type="list" allowBlank="1" showInputMessage="1" showErrorMessage="1" sqref="C32 E32 G32 I32" xr:uid="{00000000-0002-0000-2200-000008000000}">
      <formula1>商业类型</formula1>
    </dataValidation>
    <dataValidation type="list" allowBlank="1" showInputMessage="1" showErrorMessage="1" sqref="C34 E34 G34 I34" xr:uid="{00000000-0002-0000-2200-000009000000}">
      <formula1>商业建筑结构</formula1>
    </dataValidation>
    <dataValidation type="list" allowBlank="1" showInputMessage="1" showErrorMessage="1" sqref="C35 E35 G35 I35" xr:uid="{00000000-0002-0000-2200-00000A000000}">
      <formula1>商业公共部分装修</formula1>
    </dataValidation>
    <dataValidation type="list" allowBlank="1" showInputMessage="1" showErrorMessage="1" sqref="C37 E37 G37 I37" xr:uid="{00000000-0002-0000-2200-00000B000000}">
      <formula1>商业基础设施水平</formula1>
    </dataValidation>
    <dataValidation type="list" allowBlank="1" showInputMessage="1" showErrorMessage="1" sqref="C41 E41 G41 I41" xr:uid="{00000000-0002-0000-2200-00000C000000}">
      <formula1>商业进深比</formula1>
    </dataValidation>
    <dataValidation type="list" allowBlank="1" showInputMessage="1" showErrorMessage="1" sqref="C42 E42 G42 I42" xr:uid="{00000000-0002-0000-2200-00000D000000}">
      <formula1>商业内部装修</formula1>
    </dataValidation>
    <dataValidation type="list" allowBlank="1" showInputMessage="1" showErrorMessage="1" sqref="E9 G9 I9" xr:uid="{00000000-0002-0000-2200-00000E000000}">
      <formula1>商业用途</formula1>
    </dataValidation>
    <dataValidation type="list" allowBlank="1" showInputMessage="1" showErrorMessage="1" sqref="C38 E38 G38 I38" xr:uid="{00000000-0002-0000-2200-00000F000000}">
      <formula1>商业业态</formula1>
    </dataValidation>
    <dataValidation type="list" allowBlank="1" showInputMessage="1" showErrorMessage="1" sqref="C39 E39 G39 I39" xr:uid="{00000000-0002-0000-2200-000010000000}">
      <formula1>商业层高</formula1>
    </dataValidation>
    <dataValidation type="list" allowBlank="1" showInputMessage="1" showErrorMessage="1" sqref="C8 E8 G8 I8" xr:uid="{00000000-0002-0000-2200-000011000000}">
      <formula1>商业交易情况</formula1>
    </dataValidation>
    <dataValidation type="list" allowBlank="1" showInputMessage="1" showErrorMessage="1" sqref="C16 E16 G16 I16" xr:uid="{00000000-0002-0000-2200-000012000000}">
      <formula1>商业繁华度</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1657</v>
      </c>
      <c r="B1" s="1806" t="s">
        <v>1807</v>
      </c>
      <c r="C1" s="1139" t="s">
        <v>1659</v>
      </c>
      <c r="D1" s="1140"/>
      <c r="E1" s="3130"/>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1459</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1460</v>
      </c>
      <c r="F2" s="1737"/>
      <c r="G2" s="854"/>
      <c r="H2" s="854"/>
      <c r="I2" s="854"/>
      <c r="J2" s="854"/>
      <c r="K2" s="854"/>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f>IF(C2="——",C50,ROUND(B2*10000/D3,0))</f>
        <v>0</v>
      </c>
      <c r="C3" s="344" t="s">
        <v>1765</v>
      </c>
      <c r="D3" s="343">
        <f>IF(D1="",'数据-汇总表'!E3,SUMIF('数据-汇总表'!$C19:$C33,D1,'数据-汇总表'!$E19:$E33))</f>
        <v>20034.16</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3"/>
    </row>
    <row r="4" spans="1:29" ht="14.4">
      <c r="A4" s="345" t="s">
        <v>1766</v>
      </c>
      <c r="B4" s="346"/>
      <c r="C4" s="3431" t="s">
        <v>1767</v>
      </c>
      <c r="D4" s="3432"/>
      <c r="E4" s="3433" t="s">
        <v>1768</v>
      </c>
      <c r="F4" s="3434"/>
      <c r="G4" s="3431" t="s">
        <v>1769</v>
      </c>
      <c r="H4" s="3432"/>
      <c r="I4" s="3431" t="s">
        <v>1770</v>
      </c>
      <c r="J4" s="3432"/>
      <c r="K4" s="537" t="s">
        <v>1771</v>
      </c>
      <c r="L4" s="2485"/>
      <c r="M4" s="2486"/>
      <c r="N4" s="2486"/>
      <c r="O4" s="2486"/>
      <c r="P4" s="3496" t="s">
        <v>1772</v>
      </c>
      <c r="Q4" s="3497"/>
      <c r="R4" s="3491" t="s">
        <v>1768</v>
      </c>
      <c r="S4" s="3492"/>
      <c r="T4" s="3491" t="s">
        <v>1769</v>
      </c>
      <c r="U4" s="3492"/>
      <c r="V4" s="3500" t="s">
        <v>1770</v>
      </c>
      <c r="W4" s="3500"/>
      <c r="X4" s="1807"/>
      <c r="Y4" s="3491" t="s">
        <v>1772</v>
      </c>
      <c r="Z4" s="3492"/>
      <c r="AA4" s="3490" t="s">
        <v>1768</v>
      </c>
      <c r="AB4" s="3490" t="s">
        <v>1769</v>
      </c>
      <c r="AC4" s="3493" t="s">
        <v>1770</v>
      </c>
    </row>
    <row r="5" spans="1:29">
      <c r="A5" s="348"/>
      <c r="B5" s="349"/>
      <c r="C5" s="3449" t="s">
        <v>1670</v>
      </c>
      <c r="D5" s="3450"/>
      <c r="E5" s="3441" t="s">
        <v>1671</v>
      </c>
      <c r="F5" s="3442"/>
      <c r="G5" s="3449" t="s">
        <v>1672</v>
      </c>
      <c r="H5" s="3450"/>
      <c r="I5" s="3449" t="s">
        <v>1673</v>
      </c>
      <c r="J5" s="3450"/>
      <c r="K5" s="537"/>
      <c r="L5" s="2485"/>
      <c r="M5" s="2486"/>
      <c r="N5" s="2486"/>
      <c r="O5" s="2486"/>
      <c r="P5" s="3498"/>
      <c r="Q5" s="3438"/>
      <c r="R5" s="3447"/>
      <c r="S5" s="3448"/>
      <c r="T5" s="3447"/>
      <c r="U5" s="3448"/>
      <c r="V5" s="3423"/>
      <c r="W5" s="3423"/>
      <c r="X5" s="1263"/>
      <c r="Y5" s="3447"/>
      <c r="Z5" s="3448"/>
      <c r="AA5" s="3429"/>
      <c r="AB5" s="3429"/>
      <c r="AC5" s="3494"/>
    </row>
    <row r="6" spans="1:29" ht="15" thickBot="1">
      <c r="A6" s="350"/>
      <c r="B6" s="351"/>
      <c r="C6" s="3479" t="s">
        <v>1674</v>
      </c>
      <c r="D6" s="3480"/>
      <c r="E6" s="3481" t="s">
        <v>1674</v>
      </c>
      <c r="F6" s="3482"/>
      <c r="G6" s="3479" t="s">
        <v>1674</v>
      </c>
      <c r="H6" s="3480"/>
      <c r="I6" s="3479" t="s">
        <v>1674</v>
      </c>
      <c r="J6" s="3480"/>
      <c r="K6" s="537" t="s">
        <v>1675</v>
      </c>
      <c r="L6" s="2485"/>
      <c r="M6" s="2486"/>
      <c r="N6" s="2486"/>
      <c r="O6" s="2486"/>
      <c r="P6" s="3499"/>
      <c r="Q6" s="3440"/>
      <c r="R6" s="3447"/>
      <c r="S6" s="3448"/>
      <c r="T6" s="3456"/>
      <c r="U6" s="3457"/>
      <c r="V6" s="3423"/>
      <c r="W6" s="3423"/>
      <c r="X6" s="1263"/>
      <c r="Y6" s="3456"/>
      <c r="Z6" s="3457"/>
      <c r="AA6" s="3430"/>
      <c r="AB6" s="3430"/>
      <c r="AC6" s="3495"/>
    </row>
    <row r="7" spans="1:29" s="102" customFormat="1" ht="15" thickBot="1">
      <c r="A7" s="352" t="s">
        <v>1676</v>
      </c>
      <c r="B7" s="353"/>
      <c r="C7" s="354">
        <f>'数据-取费表'!B2</f>
        <v>45470</v>
      </c>
      <c r="D7" s="355">
        <v>100</v>
      </c>
      <c r="E7" s="356"/>
      <c r="F7" s="357">
        <f>SUMIF(59:59,YEAR(E7)&amp;"-"&amp;MONTH(E7),60:60)</f>
        <v>0</v>
      </c>
      <c r="G7" s="356"/>
      <c r="H7" s="355">
        <f>SUMIF(59:59,YEAR(G7)&amp;"-"&amp;MONTH(G7),60:60)</f>
        <v>0</v>
      </c>
      <c r="I7" s="356"/>
      <c r="J7" s="355">
        <f>SUMIF(59:59,YEAR(I7)&amp;"-"&amp;MONTH(I7),60:60)</f>
        <v>0</v>
      </c>
      <c r="K7" s="38"/>
      <c r="L7" s="2487"/>
      <c r="M7" s="2438"/>
      <c r="N7" s="2438"/>
      <c r="O7" s="2438"/>
      <c r="P7" s="3501" t="s">
        <v>1677</v>
      </c>
      <c r="Q7" s="3453"/>
      <c r="R7" s="664" t="s">
        <v>14</v>
      </c>
      <c r="S7" s="665">
        <f t="shared" ref="S7:S15" si="0">F7</f>
        <v>0</v>
      </c>
      <c r="T7" s="664" t="s">
        <v>14</v>
      </c>
      <c r="U7" s="665">
        <f t="shared" ref="U7:U15" si="1">H7</f>
        <v>0</v>
      </c>
      <c r="V7" s="664" t="s">
        <v>14</v>
      </c>
      <c r="W7" s="665">
        <f t="shared" ref="W7:W15" si="2">J7</f>
        <v>0</v>
      </c>
      <c r="X7" s="666"/>
      <c r="Y7" s="3421" t="s">
        <v>1677</v>
      </c>
      <c r="Z7" s="3422"/>
      <c r="AA7" s="50" t="e">
        <f>D7/F7</f>
        <v>#DIV/0!</v>
      </c>
      <c r="AB7" s="50" t="e">
        <f>D7/H7</f>
        <v>#DIV/0!</v>
      </c>
      <c r="AC7" s="801" t="e">
        <f>D7/J7</f>
        <v>#DIV/0!</v>
      </c>
    </row>
    <row r="8" spans="1:29" s="102" customFormat="1" ht="15" thickBot="1">
      <c r="A8" s="352" t="s">
        <v>1678</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01" t="s">
        <v>1680</v>
      </c>
      <c r="Q8" s="3422"/>
      <c r="R8" s="664" t="s">
        <v>14</v>
      </c>
      <c r="S8" s="665">
        <f t="shared" si="0"/>
        <v>100</v>
      </c>
      <c r="T8" s="664" t="s">
        <v>14</v>
      </c>
      <c r="U8" s="665">
        <f t="shared" si="1"/>
        <v>100</v>
      </c>
      <c r="V8" s="664" t="s">
        <v>14</v>
      </c>
      <c r="W8" s="665">
        <f t="shared" si="2"/>
        <v>100</v>
      </c>
      <c r="X8" s="666"/>
      <c r="Y8" s="3421" t="s">
        <v>1680</v>
      </c>
      <c r="Z8" s="3422"/>
      <c r="AA8" s="50">
        <f t="shared" ref="AA8:AA47" si="3">D8/F8</f>
        <v>1</v>
      </c>
      <c r="AB8" s="50">
        <f t="shared" ref="AB8:AB47" si="4">D8/H8</f>
        <v>1</v>
      </c>
      <c r="AC8" s="801">
        <f t="shared" ref="AC8:AC47" si="5">D8/J8</f>
        <v>1</v>
      </c>
    </row>
    <row r="9" spans="1:29" s="102" customFormat="1" ht="14.4">
      <c r="A9" s="359" t="s">
        <v>1681</v>
      </c>
      <c r="B9" s="60" t="s">
        <v>1682</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44" t="s">
        <v>1683</v>
      </c>
      <c r="Q9" s="530" t="str">
        <f t="shared" ref="Q9:Q15" si="6">B9</f>
        <v>用途</v>
      </c>
      <c r="R9" s="664" t="s">
        <v>14</v>
      </c>
      <c r="S9" s="665">
        <f t="shared" si="0"/>
        <v>100</v>
      </c>
      <c r="T9" s="664" t="s">
        <v>14</v>
      </c>
      <c r="U9" s="665">
        <f t="shared" si="1"/>
        <v>100</v>
      </c>
      <c r="V9" s="664" t="s">
        <v>14</v>
      </c>
      <c r="W9" s="665">
        <f t="shared" si="2"/>
        <v>100</v>
      </c>
      <c r="X9" s="666"/>
      <c r="Y9" s="3389" t="s">
        <v>1684</v>
      </c>
      <c r="Z9" s="50" t="str">
        <f t="shared" ref="Z9:Z15" si="7">Q9</f>
        <v>用途</v>
      </c>
      <c r="AA9" s="50">
        <f t="shared" si="3"/>
        <v>1</v>
      </c>
      <c r="AB9" s="50">
        <f t="shared" si="4"/>
        <v>1</v>
      </c>
      <c r="AC9" s="801">
        <f t="shared" si="5"/>
        <v>1</v>
      </c>
    </row>
    <row r="10" spans="1:29" s="366" customFormat="1" ht="28.8">
      <c r="A10" s="363"/>
      <c r="B10" s="364" t="s">
        <v>1685</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801">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44"/>
      <c r="Q11" s="530" t="str">
        <f t="shared" si="6"/>
        <v>容积率</v>
      </c>
      <c r="R11" s="664" t="s">
        <v>14</v>
      </c>
      <c r="S11" s="665">
        <f t="shared" si="0"/>
        <v>100</v>
      </c>
      <c r="T11" s="664" t="s">
        <v>14</v>
      </c>
      <c r="U11" s="665">
        <f t="shared" si="1"/>
        <v>100</v>
      </c>
      <c r="V11" s="664" t="s">
        <v>14</v>
      </c>
      <c r="W11" s="665">
        <f t="shared" si="2"/>
        <v>100</v>
      </c>
      <c r="X11" s="666"/>
      <c r="Y11" s="338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44"/>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44"/>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801">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44"/>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801">
        <f t="shared" si="5"/>
        <v>1</v>
      </c>
    </row>
    <row r="15" spans="1:29" ht="69">
      <c r="A15" s="379" t="s">
        <v>1687</v>
      </c>
      <c r="B15" s="554" t="s">
        <v>1808</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88" t="s">
        <v>1688</v>
      </c>
      <c r="Q15" s="1261" t="str">
        <f t="shared" si="6"/>
        <v>办公集聚程度</v>
      </c>
      <c r="R15" s="667" t="s">
        <v>14</v>
      </c>
      <c r="S15" s="668">
        <f t="shared" si="0"/>
        <v>100</v>
      </c>
      <c r="T15" s="667" t="s">
        <v>14</v>
      </c>
      <c r="U15" s="668">
        <f t="shared" si="1"/>
        <v>100</v>
      </c>
      <c r="V15" s="667" t="s">
        <v>14</v>
      </c>
      <c r="W15" s="668">
        <f t="shared" si="2"/>
        <v>100</v>
      </c>
      <c r="X15" s="1263"/>
      <c r="Y15" s="3424" t="s">
        <v>1688</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91"/>
      <c r="M16" s="2486"/>
      <c r="N16" s="2486"/>
      <c r="O16" s="2486"/>
      <c r="P16" s="3489"/>
      <c r="Q16" s="1261"/>
      <c r="R16" s="667"/>
      <c r="S16" s="668"/>
      <c r="T16" s="667"/>
      <c r="U16" s="668"/>
      <c r="V16" s="667"/>
      <c r="W16" s="668"/>
      <c r="X16" s="1263"/>
      <c r="Y16" s="3425"/>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89"/>
      <c r="Q17" s="1261" t="str">
        <f>B17</f>
        <v>交通便捷度</v>
      </c>
      <c r="R17" s="667" t="s">
        <v>14</v>
      </c>
      <c r="S17" s="668">
        <f>F17</f>
        <v>100</v>
      </c>
      <c r="T17" s="667" t="s">
        <v>14</v>
      </c>
      <c r="U17" s="668">
        <f>H17</f>
        <v>100</v>
      </c>
      <c r="V17" s="667" t="s">
        <v>14</v>
      </c>
      <c r="W17" s="668">
        <f>J17</f>
        <v>100</v>
      </c>
      <c r="X17" s="1263"/>
      <c r="Y17" s="3425"/>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91"/>
      <c r="M18" s="2486"/>
      <c r="N18" s="2486"/>
      <c r="O18" s="2486"/>
      <c r="P18" s="3489"/>
      <c r="Q18" s="1261"/>
      <c r="R18" s="667"/>
      <c r="S18" s="668"/>
      <c r="T18" s="667"/>
      <c r="U18" s="668"/>
      <c r="V18" s="667"/>
      <c r="W18" s="668"/>
      <c r="X18" s="1263"/>
      <c r="Y18" s="3425"/>
      <c r="Z18" s="1262"/>
      <c r="AA18" s="1262">
        <v>1</v>
      </c>
      <c r="AB18" s="1262">
        <v>1</v>
      </c>
      <c r="AC18" s="1810">
        <v>1</v>
      </c>
    </row>
    <row r="19" spans="1:29" ht="41.4">
      <c r="A19" s="367"/>
      <c r="B19" s="556" t="s">
        <v>1809</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89"/>
      <c r="Q19" s="1261" t="str">
        <f>B19</f>
        <v>公共配套设施</v>
      </c>
      <c r="R19" s="667" t="s">
        <v>14</v>
      </c>
      <c r="S19" s="668">
        <f>F19</f>
        <v>100</v>
      </c>
      <c r="T19" s="667" t="s">
        <v>14</v>
      </c>
      <c r="U19" s="668">
        <f>H19</f>
        <v>100</v>
      </c>
      <c r="V19" s="667" t="s">
        <v>14</v>
      </c>
      <c r="W19" s="668">
        <f>J19</f>
        <v>100</v>
      </c>
      <c r="X19" s="1263"/>
      <c r="Y19" s="3425"/>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91"/>
      <c r="M20" s="2486"/>
      <c r="N20" s="2486"/>
      <c r="O20" s="2486"/>
      <c r="P20" s="3489"/>
      <c r="Q20" s="1261"/>
      <c r="R20" s="667"/>
      <c r="S20" s="668"/>
      <c r="T20" s="667"/>
      <c r="U20" s="668"/>
      <c r="V20" s="667"/>
      <c r="W20" s="668"/>
      <c r="X20" s="1263"/>
      <c r="Y20" s="3425"/>
      <c r="Z20" s="1262"/>
      <c r="AA20" s="1262">
        <v>1</v>
      </c>
      <c r="AB20" s="1262">
        <v>1</v>
      </c>
      <c r="AC20" s="1810">
        <v>1</v>
      </c>
    </row>
    <row r="21" spans="1:29" ht="27.6">
      <c r="A21" s="367"/>
      <c r="B21" s="557" t="s">
        <v>1810</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89"/>
      <c r="Q21" s="1261" t="str">
        <f>B21</f>
        <v>基础设施水平</v>
      </c>
      <c r="R21" s="667" t="s">
        <v>14</v>
      </c>
      <c r="S21" s="668">
        <f>F21</f>
        <v>100</v>
      </c>
      <c r="T21" s="667" t="s">
        <v>14</v>
      </c>
      <c r="U21" s="668">
        <f>H21</f>
        <v>100</v>
      </c>
      <c r="V21" s="667" t="s">
        <v>14</v>
      </c>
      <c r="W21" s="668">
        <f>J21</f>
        <v>100</v>
      </c>
      <c r="X21" s="1263"/>
      <c r="Y21" s="3425"/>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3"/>
      <c r="L22" s="2491"/>
      <c r="M22" s="2486"/>
      <c r="N22" s="2486"/>
      <c r="O22" s="2486"/>
      <c r="P22" s="3489"/>
      <c r="Q22" s="1261"/>
      <c r="R22" s="667"/>
      <c r="S22" s="668"/>
      <c r="T22" s="667"/>
      <c r="U22" s="668"/>
      <c r="V22" s="667"/>
      <c r="W22" s="668"/>
      <c r="X22" s="1263"/>
      <c r="Y22" s="3425"/>
      <c r="Z22" s="1262"/>
      <c r="AA22" s="1262">
        <v>1</v>
      </c>
      <c r="AB22" s="1262">
        <v>1</v>
      </c>
      <c r="AC22" s="1810">
        <v>1</v>
      </c>
    </row>
    <row r="23" spans="1:29" ht="55.2">
      <c r="A23" s="367"/>
      <c r="B23" s="556" t="s">
        <v>1811</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89"/>
      <c r="Q23" s="1261" t="str">
        <f>B23</f>
        <v>环境质量</v>
      </c>
      <c r="R23" s="667" t="s">
        <v>14</v>
      </c>
      <c r="S23" s="668">
        <f>F23</f>
        <v>100</v>
      </c>
      <c r="T23" s="667" t="s">
        <v>14</v>
      </c>
      <c r="U23" s="668">
        <f>H23</f>
        <v>100</v>
      </c>
      <c r="V23" s="667" t="s">
        <v>14</v>
      </c>
      <c r="W23" s="668">
        <f>J23</f>
        <v>100</v>
      </c>
      <c r="X23" s="1263"/>
      <c r="Y23" s="3425"/>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91"/>
      <c r="M24" s="2486"/>
      <c r="N24" s="2486"/>
      <c r="O24" s="2486"/>
      <c r="P24" s="3489"/>
      <c r="Q24" s="1261"/>
      <c r="R24" s="667"/>
      <c r="S24" s="668"/>
      <c r="T24" s="667"/>
      <c r="U24" s="668"/>
      <c r="V24" s="667"/>
      <c r="W24" s="668"/>
      <c r="X24" s="1263"/>
      <c r="Y24" s="3425"/>
      <c r="Z24" s="1262"/>
      <c r="AA24" s="1262">
        <v>1</v>
      </c>
      <c r="AB24" s="1262">
        <v>1</v>
      </c>
      <c r="AC24" s="1810">
        <v>1</v>
      </c>
    </row>
    <row r="25" spans="1:29" ht="28.8">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489"/>
      <c r="Q25" s="1261" t="str">
        <f>B25</f>
        <v>毗邻道路的类型与等级</v>
      </c>
      <c r="R25" s="667" t="s">
        <v>14</v>
      </c>
      <c r="S25" s="668">
        <f>F25</f>
        <v>100</v>
      </c>
      <c r="T25" s="667" t="s">
        <v>14</v>
      </c>
      <c r="U25" s="668">
        <f>H25</f>
        <v>100</v>
      </c>
      <c r="V25" s="667" t="s">
        <v>14</v>
      </c>
      <c r="W25" s="668">
        <f>J25</f>
        <v>100</v>
      </c>
      <c r="X25" s="1263"/>
      <c r="Y25" s="3425"/>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91"/>
      <c r="M26" s="2486"/>
      <c r="N26" s="2486"/>
      <c r="O26" s="2486"/>
      <c r="P26" s="3489"/>
      <c r="Q26" s="1261"/>
      <c r="R26" s="667"/>
      <c r="S26" s="668"/>
      <c r="T26" s="667"/>
      <c r="U26" s="668"/>
      <c r="V26" s="667"/>
      <c r="W26" s="668"/>
      <c r="X26" s="1263"/>
      <c r="Y26" s="3425"/>
      <c r="Z26" s="1262"/>
      <c r="AA26" s="1262">
        <v>1</v>
      </c>
      <c r="AB26" s="1262">
        <v>1</v>
      </c>
      <c r="AC26" s="1810">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89"/>
      <c r="Q27" s="1261" t="str">
        <f t="shared" ref="Q27:Q47" si="11">B27</f>
        <v>楼层</v>
      </c>
      <c r="R27" s="667" t="s">
        <v>14</v>
      </c>
      <c r="S27" s="668">
        <f>F27</f>
        <v>100</v>
      </c>
      <c r="T27" s="667" t="s">
        <v>14</v>
      </c>
      <c r="U27" s="668">
        <f>H27</f>
        <v>100</v>
      </c>
      <c r="V27" s="667" t="s">
        <v>14</v>
      </c>
      <c r="W27" s="668">
        <f>J27</f>
        <v>100</v>
      </c>
      <c r="X27" s="1263"/>
      <c r="Y27" s="3425"/>
      <c r="Z27" s="1262" t="str">
        <f>Q27</f>
        <v>楼层</v>
      </c>
      <c r="AA27" s="1262">
        <f t="shared" si="3"/>
        <v>1</v>
      </c>
      <c r="AB27" s="1262">
        <f t="shared" si="4"/>
        <v>1</v>
      </c>
      <c r="AC27" s="1810">
        <f t="shared" si="5"/>
        <v>1</v>
      </c>
    </row>
    <row r="28" spans="1:29" s="102" customFormat="1" ht="15">
      <c r="A28" s="370"/>
      <c r="B28" s="556" t="s">
        <v>1813</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89"/>
      <c r="Q28" s="530" t="str">
        <f t="shared" si="11"/>
        <v>朝向</v>
      </c>
      <c r="R28" s="664" t="s">
        <v>14</v>
      </c>
      <c r="S28" s="665">
        <f>F28</f>
        <v>100</v>
      </c>
      <c r="T28" s="664" t="s">
        <v>14</v>
      </c>
      <c r="U28" s="665">
        <f>H28</f>
        <v>100</v>
      </c>
      <c r="V28" s="664" t="s">
        <v>14</v>
      </c>
      <c r="W28" s="665">
        <f>J28</f>
        <v>100</v>
      </c>
      <c r="X28" s="666"/>
      <c r="Y28" s="3425"/>
      <c r="Z28" s="50" t="str">
        <f>Q28</f>
        <v>朝向</v>
      </c>
      <c r="AA28" s="1262">
        <f>D28/F28</f>
        <v>1</v>
      </c>
      <c r="AB28" s="1262">
        <f>D28/H28</f>
        <v>1</v>
      </c>
      <c r="AC28" s="1810">
        <f>D28/J28</f>
        <v>1</v>
      </c>
    </row>
    <row r="29" spans="1:29" ht="15">
      <c r="A29" s="367"/>
      <c r="B29" s="1814">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89"/>
      <c r="Q29" s="1261">
        <f t="shared" si="11"/>
        <v>111</v>
      </c>
      <c r="R29" s="667" t="s">
        <v>14</v>
      </c>
      <c r="S29" s="668">
        <f t="shared" ref="S29:S47" si="12">F29</f>
        <v>100</v>
      </c>
      <c r="T29" s="667" t="s">
        <v>14</v>
      </c>
      <c r="U29" s="668">
        <f t="shared" ref="U29:U47" si="13">H29</f>
        <v>100</v>
      </c>
      <c r="V29" s="667" t="s">
        <v>14</v>
      </c>
      <c r="W29" s="668">
        <f t="shared" ref="W29:W47" si="14">J29</f>
        <v>100</v>
      </c>
      <c r="X29" s="1263"/>
      <c r="Y29" s="3425"/>
      <c r="Z29" s="1262">
        <f t="shared" ref="Z29:Z47" si="15">Q29</f>
        <v>111</v>
      </c>
      <c r="AA29" s="1262">
        <f t="shared" si="3"/>
        <v>1</v>
      </c>
      <c r="AB29" s="1262">
        <f t="shared" si="4"/>
        <v>1</v>
      </c>
      <c r="AC29" s="1810">
        <f t="shared" si="5"/>
        <v>1</v>
      </c>
    </row>
    <row r="30" spans="1:29" ht="15">
      <c r="A30" s="367"/>
      <c r="B30" s="1814">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89"/>
      <c r="Q30" s="1261">
        <f t="shared" si="11"/>
        <v>111</v>
      </c>
      <c r="R30" s="667" t="s">
        <v>14</v>
      </c>
      <c r="S30" s="668">
        <f t="shared" si="12"/>
        <v>100</v>
      </c>
      <c r="T30" s="667" t="s">
        <v>14</v>
      </c>
      <c r="U30" s="668">
        <f t="shared" si="13"/>
        <v>100</v>
      </c>
      <c r="V30" s="667" t="s">
        <v>14</v>
      </c>
      <c r="W30" s="668">
        <f t="shared" si="14"/>
        <v>100</v>
      </c>
      <c r="X30" s="1263"/>
      <c r="Y30" s="3425"/>
      <c r="Z30" s="1262">
        <f t="shared" si="15"/>
        <v>111</v>
      </c>
      <c r="AA30" s="1262">
        <f t="shared" si="3"/>
        <v>1</v>
      </c>
      <c r="AB30" s="1262">
        <f t="shared" si="4"/>
        <v>1</v>
      </c>
      <c r="AC30" s="1810">
        <f t="shared" si="5"/>
        <v>1</v>
      </c>
    </row>
    <row r="31" spans="1:29" ht="15">
      <c r="A31" s="367"/>
      <c r="B31" s="1814">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89"/>
      <c r="Q31" s="1261">
        <f t="shared" si="11"/>
        <v>111</v>
      </c>
      <c r="R31" s="667" t="s">
        <v>14</v>
      </c>
      <c r="S31" s="668">
        <f t="shared" si="12"/>
        <v>100</v>
      </c>
      <c r="T31" s="667" t="s">
        <v>14</v>
      </c>
      <c r="U31" s="668">
        <f t="shared" si="13"/>
        <v>100</v>
      </c>
      <c r="V31" s="667" t="s">
        <v>14</v>
      </c>
      <c r="W31" s="668">
        <f t="shared" si="14"/>
        <v>100</v>
      </c>
      <c r="X31" s="1263"/>
      <c r="Y31" s="3425"/>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89"/>
      <c r="Q32" s="1261">
        <f t="shared" si="11"/>
        <v>111</v>
      </c>
      <c r="R32" s="667" t="s">
        <v>14</v>
      </c>
      <c r="S32" s="668">
        <f t="shared" si="12"/>
        <v>100</v>
      </c>
      <c r="T32" s="667" t="s">
        <v>14</v>
      </c>
      <c r="U32" s="668">
        <f t="shared" si="13"/>
        <v>100</v>
      </c>
      <c r="V32" s="667" t="s">
        <v>14</v>
      </c>
      <c r="W32" s="668">
        <f t="shared" si="14"/>
        <v>100</v>
      </c>
      <c r="X32" s="1263"/>
      <c r="Y32" s="3425"/>
      <c r="Z32" s="1262">
        <f t="shared" si="15"/>
        <v>111</v>
      </c>
      <c r="AA32" s="1262">
        <f t="shared" si="3"/>
        <v>1</v>
      </c>
      <c r="AB32" s="1262">
        <f t="shared" si="4"/>
        <v>1</v>
      </c>
      <c r="AC32" s="1810">
        <f t="shared" si="5"/>
        <v>1</v>
      </c>
    </row>
    <row r="33" spans="1:29" ht="15">
      <c r="A33" s="379" t="s">
        <v>1691</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484" t="s">
        <v>1693</v>
      </c>
      <c r="Q33" s="1261" t="str">
        <f t="shared" si="11"/>
        <v>建筑类型</v>
      </c>
      <c r="R33" s="667" t="s">
        <v>14</v>
      </c>
      <c r="S33" s="668">
        <f t="shared" si="12"/>
        <v>100</v>
      </c>
      <c r="T33" s="667" t="s">
        <v>14</v>
      </c>
      <c r="U33" s="668">
        <f t="shared" si="13"/>
        <v>100</v>
      </c>
      <c r="V33" s="667" t="s">
        <v>14</v>
      </c>
      <c r="W33" s="668">
        <f t="shared" si="14"/>
        <v>100</v>
      </c>
      <c r="X33" s="1263"/>
      <c r="Y33" s="3427" t="s">
        <v>1693</v>
      </c>
      <c r="Z33" s="1262" t="str">
        <f t="shared" si="15"/>
        <v>建筑类型</v>
      </c>
      <c r="AA33" s="1262">
        <f t="shared" si="3"/>
        <v>1</v>
      </c>
      <c r="AB33" s="1262">
        <f t="shared" si="4"/>
        <v>1</v>
      </c>
      <c r="AC33" s="1810">
        <f t="shared" si="5"/>
        <v>1</v>
      </c>
    </row>
    <row r="34" spans="1:29" s="408" customFormat="1" ht="15">
      <c r="A34" s="406"/>
      <c r="B34" s="364" t="s">
        <v>1694</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85"/>
      <c r="Q34" s="531" t="str">
        <f t="shared" si="11"/>
        <v>项目建筑规模</v>
      </c>
      <c r="R34" s="669" t="s">
        <v>14</v>
      </c>
      <c r="S34" s="670" t="e">
        <f t="shared" si="12"/>
        <v>#N/A</v>
      </c>
      <c r="T34" s="669" t="s">
        <v>14</v>
      </c>
      <c r="U34" s="670" t="e">
        <f t="shared" si="13"/>
        <v>#N/A</v>
      </c>
      <c r="V34" s="669" t="s">
        <v>14</v>
      </c>
      <c r="W34" s="670" t="e">
        <f t="shared" si="14"/>
        <v>#N/A</v>
      </c>
      <c r="X34" s="671"/>
      <c r="Y34" s="3427"/>
      <c r="Z34" s="672" t="str">
        <f t="shared" si="15"/>
        <v>项目建筑规模</v>
      </c>
      <c r="AA34" s="1262" t="e">
        <f t="shared" si="3"/>
        <v>#N/A</v>
      </c>
      <c r="AB34" s="1262" t="e">
        <f t="shared" si="4"/>
        <v>#N/A</v>
      </c>
      <c r="AC34" s="1810" t="e">
        <f t="shared" si="5"/>
        <v>#N/A</v>
      </c>
    </row>
    <row r="35" spans="1:29" ht="1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85"/>
      <c r="Q35" s="1261" t="str">
        <f t="shared" si="11"/>
        <v>建筑结构</v>
      </c>
      <c r="R35" s="667" t="s">
        <v>14</v>
      </c>
      <c r="S35" s="668">
        <f t="shared" si="12"/>
        <v>100</v>
      </c>
      <c r="T35" s="667" t="s">
        <v>14</v>
      </c>
      <c r="U35" s="668">
        <f t="shared" si="13"/>
        <v>100</v>
      </c>
      <c r="V35" s="667" t="s">
        <v>14</v>
      </c>
      <c r="W35" s="668">
        <f t="shared" si="14"/>
        <v>100</v>
      </c>
      <c r="X35" s="1263"/>
      <c r="Y35" s="3427"/>
      <c r="Z35" s="1262" t="str">
        <f t="shared" si="15"/>
        <v>建筑结构</v>
      </c>
      <c r="AA35" s="1262">
        <f t="shared" si="3"/>
        <v>1</v>
      </c>
      <c r="AB35" s="1262">
        <f t="shared" si="4"/>
        <v>1</v>
      </c>
      <c r="AC35" s="1810">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85"/>
      <c r="Q36" s="1261" t="str">
        <f t="shared" si="11"/>
        <v>公共部分装修</v>
      </c>
      <c r="R36" s="667" t="s">
        <v>14</v>
      </c>
      <c r="S36" s="668">
        <f t="shared" si="12"/>
        <v>100</v>
      </c>
      <c r="T36" s="667" t="s">
        <v>14</v>
      </c>
      <c r="U36" s="668">
        <f t="shared" si="13"/>
        <v>100</v>
      </c>
      <c r="V36" s="667" t="s">
        <v>14</v>
      </c>
      <c r="W36" s="668">
        <f t="shared" si="14"/>
        <v>100</v>
      </c>
      <c r="X36" s="1263"/>
      <c r="Y36" s="3427"/>
      <c r="Z36" s="1262" t="str">
        <f t="shared" si="15"/>
        <v>公共部分装修</v>
      </c>
      <c r="AA36" s="1262">
        <f t="shared" si="3"/>
        <v>1</v>
      </c>
      <c r="AB36" s="1262">
        <f t="shared" si="4"/>
        <v>1</v>
      </c>
      <c r="AC36" s="1810">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85"/>
      <c r="Q37" s="1261" t="str">
        <f t="shared" si="11"/>
        <v>成新度</v>
      </c>
      <c r="R37" s="667" t="s">
        <v>14</v>
      </c>
      <c r="S37" s="668" t="e">
        <f t="shared" si="12"/>
        <v>#N/A</v>
      </c>
      <c r="T37" s="667" t="s">
        <v>14</v>
      </c>
      <c r="U37" s="668" t="e">
        <f t="shared" si="13"/>
        <v>#N/A</v>
      </c>
      <c r="V37" s="667" t="s">
        <v>14</v>
      </c>
      <c r="W37" s="668" t="e">
        <f t="shared" si="14"/>
        <v>#N/A</v>
      </c>
      <c r="X37" s="1263"/>
      <c r="Y37" s="3427"/>
      <c r="Z37" s="1262" t="str">
        <f t="shared" si="15"/>
        <v>成新度</v>
      </c>
      <c r="AA37" s="1262" t="e">
        <f t="shared" si="3"/>
        <v>#N/A</v>
      </c>
      <c r="AB37" s="1262" t="e">
        <f t="shared" si="4"/>
        <v>#N/A</v>
      </c>
      <c r="AC37" s="1810"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85"/>
      <c r="Q38" s="530" t="str">
        <f t="shared" si="11"/>
        <v>写字楼等级</v>
      </c>
      <c r="R38" s="664" t="s">
        <v>14</v>
      </c>
      <c r="S38" s="665">
        <f t="shared" si="12"/>
        <v>100</v>
      </c>
      <c r="T38" s="664" t="s">
        <v>14</v>
      </c>
      <c r="U38" s="665">
        <f t="shared" si="13"/>
        <v>100</v>
      </c>
      <c r="V38" s="664" t="s">
        <v>14</v>
      </c>
      <c r="W38" s="665">
        <f t="shared" si="14"/>
        <v>100</v>
      </c>
      <c r="X38" s="666"/>
      <c r="Y38" s="3427"/>
      <c r="Z38" s="50" t="str">
        <f t="shared" si="15"/>
        <v>写字楼等级</v>
      </c>
      <c r="AA38" s="50">
        <f t="shared" si="3"/>
        <v>1</v>
      </c>
      <c r="AB38" s="50">
        <f t="shared" si="4"/>
        <v>1</v>
      </c>
      <c r="AC38" s="801">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85" t="s">
        <v>1693</v>
      </c>
      <c r="Q39" s="1261" t="str">
        <f t="shared" si="11"/>
        <v>物业管理</v>
      </c>
      <c r="R39" s="667" t="s">
        <v>14</v>
      </c>
      <c r="S39" s="668">
        <f t="shared" si="12"/>
        <v>100</v>
      </c>
      <c r="T39" s="667" t="s">
        <v>14</v>
      </c>
      <c r="U39" s="668">
        <f t="shared" si="13"/>
        <v>100</v>
      </c>
      <c r="V39" s="667" t="s">
        <v>14</v>
      </c>
      <c r="W39" s="668">
        <f t="shared" si="14"/>
        <v>100</v>
      </c>
      <c r="X39" s="1263"/>
      <c r="Y39" s="3427" t="s">
        <v>1693</v>
      </c>
      <c r="Z39" s="1262" t="str">
        <f t="shared" si="15"/>
        <v>物业管理</v>
      </c>
      <c r="AA39" s="1262">
        <f t="shared" si="3"/>
        <v>1</v>
      </c>
      <c r="AB39" s="1262">
        <f t="shared" si="4"/>
        <v>1</v>
      </c>
      <c r="AC39" s="1810">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85"/>
      <c r="Q40" s="1261" t="str">
        <f t="shared" si="11"/>
        <v>市政基础设施</v>
      </c>
      <c r="R40" s="667" t="s">
        <v>14</v>
      </c>
      <c r="S40" s="668">
        <f t="shared" si="12"/>
        <v>100</v>
      </c>
      <c r="T40" s="667" t="s">
        <v>14</v>
      </c>
      <c r="U40" s="668">
        <f t="shared" si="13"/>
        <v>100</v>
      </c>
      <c r="V40" s="667" t="s">
        <v>14</v>
      </c>
      <c r="W40" s="668">
        <f t="shared" si="14"/>
        <v>100</v>
      </c>
      <c r="X40" s="1263"/>
      <c r="Y40" s="3427"/>
      <c r="Z40" s="1262" t="str">
        <f t="shared" si="15"/>
        <v>市政基础设施</v>
      </c>
      <c r="AA40" s="1262">
        <f t="shared" si="3"/>
        <v>1</v>
      </c>
      <c r="AB40" s="1262">
        <f t="shared" si="4"/>
        <v>1</v>
      </c>
      <c r="AC40" s="1810">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85"/>
      <c r="Q41" s="1261" t="str">
        <f t="shared" si="11"/>
        <v>层高</v>
      </c>
      <c r="R41" s="667" t="s">
        <v>14</v>
      </c>
      <c r="S41" s="668">
        <f t="shared" si="12"/>
        <v>100</v>
      </c>
      <c r="T41" s="667" t="s">
        <v>14</v>
      </c>
      <c r="U41" s="668">
        <f t="shared" si="13"/>
        <v>100</v>
      </c>
      <c r="V41" s="667" t="s">
        <v>14</v>
      </c>
      <c r="W41" s="668">
        <f t="shared" si="14"/>
        <v>100</v>
      </c>
      <c r="X41" s="1263"/>
      <c r="Y41" s="3427"/>
      <c r="Z41" s="1262" t="str">
        <f t="shared" si="15"/>
        <v>层高</v>
      </c>
      <c r="AA41" s="1262">
        <f t="shared" si="3"/>
        <v>1</v>
      </c>
      <c r="AB41" s="1262">
        <f t="shared" si="4"/>
        <v>1</v>
      </c>
      <c r="AC41" s="1810">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85"/>
      <c r="Q42" s="531" t="str">
        <f t="shared" si="11"/>
        <v>单套建筑面积</v>
      </c>
      <c r="R42" s="669" t="s">
        <v>14</v>
      </c>
      <c r="S42" s="670">
        <f t="shared" si="12"/>
        <v>100</v>
      </c>
      <c r="T42" s="669" t="s">
        <v>14</v>
      </c>
      <c r="U42" s="670">
        <f t="shared" si="13"/>
        <v>100</v>
      </c>
      <c r="V42" s="669" t="s">
        <v>14</v>
      </c>
      <c r="W42" s="670">
        <f t="shared" si="14"/>
        <v>100</v>
      </c>
      <c r="X42" s="671"/>
      <c r="Y42" s="3427"/>
      <c r="Z42" s="672" t="str">
        <f t="shared" si="15"/>
        <v>单套建筑面积</v>
      </c>
      <c r="AA42" s="1262">
        <f t="shared" si="3"/>
        <v>1</v>
      </c>
      <c r="AB42" s="1262">
        <f t="shared" si="4"/>
        <v>1</v>
      </c>
      <c r="AC42" s="1810">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85"/>
      <c r="Q43" s="1261" t="str">
        <f t="shared" si="11"/>
        <v>内部装修</v>
      </c>
      <c r="R43" s="667" t="s">
        <v>14</v>
      </c>
      <c r="S43" s="668">
        <f t="shared" si="12"/>
        <v>100</v>
      </c>
      <c r="T43" s="667" t="s">
        <v>14</v>
      </c>
      <c r="U43" s="668">
        <f t="shared" si="13"/>
        <v>100</v>
      </c>
      <c r="V43" s="667" t="s">
        <v>14</v>
      </c>
      <c r="W43" s="668">
        <f t="shared" si="14"/>
        <v>100</v>
      </c>
      <c r="X43" s="1263"/>
      <c r="Y43" s="3427"/>
      <c r="Z43" s="1262" t="str">
        <f t="shared" si="15"/>
        <v>内部装修</v>
      </c>
      <c r="AA43" s="1262">
        <f t="shared" si="3"/>
        <v>1</v>
      </c>
      <c r="AB43" s="1262">
        <f t="shared" si="4"/>
        <v>1</v>
      </c>
      <c r="AC43" s="1810">
        <f t="shared" si="5"/>
        <v>1</v>
      </c>
    </row>
    <row r="44" spans="1:29" ht="28.8">
      <c r="A44" s="409"/>
      <c r="B44" s="364" t="s">
        <v>1704</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485"/>
      <c r="Q44" s="1261" t="str">
        <f t="shared" si="11"/>
        <v>内部装修维护情况</v>
      </c>
      <c r="R44" s="667" t="s">
        <v>14</v>
      </c>
      <c r="S44" s="668">
        <f t="shared" si="12"/>
        <v>100</v>
      </c>
      <c r="T44" s="667" t="s">
        <v>14</v>
      </c>
      <c r="U44" s="668">
        <f t="shared" si="13"/>
        <v>100</v>
      </c>
      <c r="V44" s="667" t="s">
        <v>14</v>
      </c>
      <c r="W44" s="668">
        <f t="shared" si="14"/>
        <v>100</v>
      </c>
      <c r="X44" s="1263"/>
      <c r="Y44" s="3427"/>
      <c r="Z44" s="1262" t="str">
        <f t="shared" si="15"/>
        <v>内部装修维护情况</v>
      </c>
      <c r="AA44" s="1262">
        <f t="shared" si="3"/>
        <v>1</v>
      </c>
      <c r="AB44" s="1262">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85"/>
      <c r="Q45" s="530">
        <f t="shared" si="11"/>
        <v>111</v>
      </c>
      <c r="R45" s="664" t="s">
        <v>14</v>
      </c>
      <c r="S45" s="665">
        <f t="shared" si="12"/>
        <v>100</v>
      </c>
      <c r="T45" s="664" t="s">
        <v>14</v>
      </c>
      <c r="U45" s="665">
        <f t="shared" si="13"/>
        <v>100</v>
      </c>
      <c r="V45" s="664" t="s">
        <v>14</v>
      </c>
      <c r="W45" s="665">
        <f t="shared" si="14"/>
        <v>100</v>
      </c>
      <c r="X45" s="666"/>
      <c r="Y45" s="3427"/>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85"/>
      <c r="Q46" s="1261">
        <f t="shared" si="11"/>
        <v>111</v>
      </c>
      <c r="R46" s="667" t="s">
        <v>14</v>
      </c>
      <c r="S46" s="668">
        <f t="shared" si="12"/>
        <v>100</v>
      </c>
      <c r="T46" s="667" t="s">
        <v>14</v>
      </c>
      <c r="U46" s="668">
        <f t="shared" si="13"/>
        <v>100</v>
      </c>
      <c r="V46" s="667" t="s">
        <v>14</v>
      </c>
      <c r="W46" s="668">
        <f t="shared" si="14"/>
        <v>100</v>
      </c>
      <c r="X46" s="1263"/>
      <c r="Y46" s="3427"/>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86"/>
      <c r="Q47" s="1261">
        <f t="shared" si="11"/>
        <v>111</v>
      </c>
      <c r="R47" s="667" t="s">
        <v>14</v>
      </c>
      <c r="S47" s="668">
        <f t="shared" si="12"/>
        <v>100</v>
      </c>
      <c r="T47" s="667" t="s">
        <v>14</v>
      </c>
      <c r="U47" s="668">
        <f t="shared" si="13"/>
        <v>100</v>
      </c>
      <c r="V47" s="667" t="s">
        <v>14</v>
      </c>
      <c r="W47" s="668">
        <f t="shared" si="14"/>
        <v>100</v>
      </c>
      <c r="X47" s="1263"/>
      <c r="Y47" s="3487"/>
      <c r="Z47" s="1262">
        <f t="shared" si="15"/>
        <v>111</v>
      </c>
      <c r="AA47" s="1262">
        <f t="shared" si="3"/>
        <v>1</v>
      </c>
      <c r="AB47" s="1262">
        <f t="shared" si="4"/>
        <v>1</v>
      </c>
      <c r="AC47" s="1810">
        <f t="shared" si="5"/>
        <v>1</v>
      </c>
    </row>
    <row r="48" spans="1:29" ht="14.4">
      <c r="A48" s="416" t="s">
        <v>1705</v>
      </c>
      <c r="B48" s="417"/>
      <c r="C48" s="1080" t="s">
        <v>0</v>
      </c>
      <c r="D48" s="418"/>
      <c r="E48" s="419"/>
      <c r="F48" s="420"/>
      <c r="G48" s="421"/>
      <c r="H48" s="422"/>
      <c r="I48" s="419"/>
      <c r="J48" s="422"/>
      <c r="K48" s="674"/>
      <c r="L48" s="2493"/>
      <c r="M48" s="2486"/>
      <c r="N48" s="2486"/>
      <c r="O48" s="2486"/>
      <c r="P48" s="3444" t="str">
        <f>A48</f>
        <v>成交单价（元/平方米）</v>
      </c>
      <c r="Q48" s="3419"/>
      <c r="R48" s="3423">
        <f>E48</f>
        <v>0</v>
      </c>
      <c r="S48" s="3423"/>
      <c r="T48" s="3423">
        <f>G48</f>
        <v>0</v>
      </c>
      <c r="U48" s="3423"/>
      <c r="V48" s="3423">
        <f>I48</f>
        <v>0</v>
      </c>
      <c r="W48" s="3423"/>
      <c r="X48" s="385"/>
      <c r="Y48" s="673"/>
      <c r="Z48" s="385"/>
      <c r="AA48" s="385"/>
      <c r="AB48" s="385"/>
      <c r="AC48" s="555"/>
    </row>
    <row r="49" spans="1:29" ht="15" thickBot="1">
      <c r="A49" s="423" t="s">
        <v>1790</v>
      </c>
      <c r="B49" s="424"/>
      <c r="C49" s="1081" t="e">
        <f>R50</f>
        <v>#DIV/0!</v>
      </c>
      <c r="D49" s="2140" t="s">
        <v>2134</v>
      </c>
      <c r="E49" s="1082" t="e">
        <f>R49</f>
        <v>#DIV/0!</v>
      </c>
      <c r="F49" s="2141"/>
      <c r="G49" s="1081" t="e">
        <f>T49</f>
        <v>#DIV/0!</v>
      </c>
      <c r="H49" s="2141"/>
      <c r="I49" s="1082" t="e">
        <f>V49</f>
        <v>#DIV/0!</v>
      </c>
      <c r="J49" s="2141"/>
      <c r="K49" s="2143">
        <f>F49+H49+J49</f>
        <v>0</v>
      </c>
      <c r="L49" s="2493"/>
      <c r="M49" s="2486"/>
      <c r="N49" s="2486"/>
      <c r="O49" s="2486"/>
      <c r="P49" s="3444" t="str">
        <f>A49</f>
        <v>比较价值（元/平方米）</v>
      </c>
      <c r="Q49" s="3419"/>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5"/>
      <c r="Y49" s="385"/>
      <c r="Z49" s="385"/>
      <c r="AA49" s="385"/>
      <c r="AB49" s="385"/>
      <c r="AC49" s="555"/>
    </row>
    <row r="50" spans="1:29" ht="15" thickBot="1">
      <c r="A50" s="427" t="s">
        <v>1791</v>
      </c>
      <c r="B50" s="428"/>
      <c r="C50" s="351" t="e">
        <f>R50</f>
        <v>#DIV/0!</v>
      </c>
      <c r="D50" s="351"/>
      <c r="E50" s="351"/>
      <c r="F50" s="351"/>
      <c r="G50" s="351"/>
      <c r="H50" s="351"/>
      <c r="I50" s="351"/>
      <c r="J50" s="429"/>
      <c r="K50" s="675"/>
      <c r="L50" s="2493"/>
      <c r="M50" s="2486"/>
      <c r="N50" s="2486"/>
      <c r="O50" s="2486"/>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1795</v>
      </c>
      <c r="B58" s="385"/>
      <c r="C58" s="659"/>
      <c r="D58" s="659"/>
      <c r="E58" s="659"/>
      <c r="F58" s="660"/>
      <c r="G58" s="660"/>
      <c r="H58" s="659"/>
      <c r="I58" s="659"/>
      <c r="J58" s="659"/>
      <c r="K58" s="661"/>
      <c r="L58" s="887"/>
      <c r="M58" s="885"/>
      <c r="N58" s="2536"/>
      <c r="O58" s="2536"/>
      <c r="P58" s="2525"/>
      <c r="Q58" s="2507"/>
      <c r="R58" s="2486"/>
      <c r="S58" s="2486"/>
      <c r="T58" s="2486"/>
      <c r="U58" s="2486"/>
      <c r="V58" s="2486"/>
      <c r="W58" s="2486"/>
      <c r="X58" s="2486"/>
      <c r="Y58" s="2486"/>
      <c r="Z58" s="2486"/>
      <c r="AA58" s="2486"/>
      <c r="AB58" s="2486"/>
      <c r="AC58" s="2486"/>
    </row>
    <row r="59" spans="1:29" s="442" customFormat="1" ht="14.4">
      <c r="A59" s="440" t="s">
        <v>1676</v>
      </c>
      <c r="B59" s="441"/>
      <c r="C59" s="1101" t="str">
        <f>YEAR(C7)&amp;"-"&amp;MONTH(C7)</f>
        <v>2024-6</v>
      </c>
      <c r="D59" s="1102">
        <f>EDATE(C59,-1)</f>
        <v>45413</v>
      </c>
      <c r="E59" s="1102">
        <f>EDATE(D59,-1)</f>
        <v>45383</v>
      </c>
      <c r="F59" s="1102">
        <f t="shared" ref="F59:O59" si="16">EDATE(E59,-1)</f>
        <v>45352</v>
      </c>
      <c r="G59" s="1102">
        <f t="shared" si="16"/>
        <v>45323</v>
      </c>
      <c r="H59" s="1102">
        <f t="shared" si="16"/>
        <v>45292</v>
      </c>
      <c r="I59" s="1102">
        <f t="shared" si="16"/>
        <v>45261</v>
      </c>
      <c r="J59" s="1102">
        <f t="shared" si="16"/>
        <v>45231</v>
      </c>
      <c r="K59" s="1102">
        <f t="shared" si="16"/>
        <v>45200</v>
      </c>
      <c r="L59" s="1102">
        <f t="shared" si="16"/>
        <v>45170</v>
      </c>
      <c r="M59" s="1102">
        <f t="shared" si="16"/>
        <v>45139</v>
      </c>
      <c r="N59" s="1102">
        <f t="shared" si="16"/>
        <v>45108</v>
      </c>
      <c r="O59" s="1102">
        <f t="shared" si="16"/>
        <v>45078</v>
      </c>
      <c r="P59" s="2526"/>
      <c r="Q59" s="2509"/>
      <c r="R59" s="2509"/>
      <c r="S59" s="2509"/>
      <c r="T59" s="2509"/>
      <c r="U59" s="2509"/>
      <c r="V59" s="2509"/>
      <c r="W59" s="2509"/>
      <c r="X59" s="2509"/>
      <c r="Y59" s="2509"/>
      <c r="Z59" s="2509"/>
      <c r="AA59" s="2509"/>
      <c r="AB59" s="2509"/>
      <c r="AC59" s="2509"/>
    </row>
    <row r="60" spans="1:29" s="102" customFormat="1">
      <c r="A60" s="443"/>
      <c r="B60" s="444"/>
      <c r="C60" s="1100">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1713</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1678</v>
      </c>
      <c r="B62" s="444"/>
      <c r="C62" s="456" t="s">
        <v>1773</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1716</v>
      </c>
      <c r="B64" s="460" t="s">
        <v>1682</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1685</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1687</v>
      </c>
      <c r="B77" s="460" t="s">
        <v>1818</v>
      </c>
      <c r="C77" s="504" t="s">
        <v>1718</v>
      </c>
      <c r="D77" s="504" t="s">
        <v>1719</v>
      </c>
      <c r="E77" s="504" t="s">
        <v>1720</v>
      </c>
      <c r="F77" s="504" t="s">
        <v>1721</v>
      </c>
      <c r="G77" s="504" t="s">
        <v>1722</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1723</v>
      </c>
      <c r="C79" s="509" t="s">
        <v>1718</v>
      </c>
      <c r="D79" s="509" t="s">
        <v>1719</v>
      </c>
      <c r="E79" s="509" t="s">
        <v>1720</v>
      </c>
      <c r="F79" s="509" t="s">
        <v>1721</v>
      </c>
      <c r="G79" s="509" t="s">
        <v>1722</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1724</v>
      </c>
      <c r="C81" s="509" t="s">
        <v>1718</v>
      </c>
      <c r="D81" s="509" t="s">
        <v>1719</v>
      </c>
      <c r="E81" s="509" t="s">
        <v>1720</v>
      </c>
      <c r="F81" s="509" t="s">
        <v>1721</v>
      </c>
      <c r="G81" s="509" t="s">
        <v>1722</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1810</v>
      </c>
      <c r="C83" s="581" t="s">
        <v>1796</v>
      </c>
      <c r="D83" s="581" t="s">
        <v>1797</v>
      </c>
      <c r="E83" s="581" t="s">
        <v>1798</v>
      </c>
      <c r="F83" s="581" t="s">
        <v>1799</v>
      </c>
      <c r="G83" s="581" t="s">
        <v>1800</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1819</v>
      </c>
      <c r="C85" s="509" t="s">
        <v>1718</v>
      </c>
      <c r="D85" s="509" t="s">
        <v>1719</v>
      </c>
      <c r="E85" s="509" t="s">
        <v>1720</v>
      </c>
      <c r="F85" s="509" t="s">
        <v>1721</v>
      </c>
      <c r="G85" s="509" t="s">
        <v>1722</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1820</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1691</v>
      </c>
      <c r="B101" s="460" t="s">
        <v>1733</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1734</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1735</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1737</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1821</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1738</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1739</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1822</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1805</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1741</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37" zoomScale="90" zoomScaleNormal="60" zoomScaleSheetLayoutView="90" workbookViewId="0">
      <selection activeCell="D57" sqref="D57"/>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1657</v>
      </c>
      <c r="B1" s="1806" t="s">
        <v>1823</v>
      </c>
      <c r="C1" s="1139" t="s">
        <v>1659</v>
      </c>
      <c r="D1" s="1140" t="s">
        <v>21</v>
      </c>
      <c r="E1" s="3130" t="s">
        <v>3836</v>
      </c>
      <c r="F1" s="1733" t="s">
        <v>3837</v>
      </c>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1459</v>
      </c>
      <c r="B2" s="1084">
        <f>IF(E1="项目模式",IF(C2="——",ROUND(C43*D3/10000,0),ROUND(C43*D3/10000,0)-D2),IF(E1="单套模式",IF(C2="——",ROUND(C43*D3/10000,4),ROUND(C43*D3/10000,4)-D2)))</f>
        <v>2</v>
      </c>
      <c r="C2" s="1735" t="s">
        <v>43</v>
      </c>
      <c r="D2" s="853" t="e">
        <f ca="1">IF(E1="项目模式",SUMIF(INDIRECT("'"&amp;F2&amp;"'"&amp;"!A:A"),"承租人权益价值",INDIRECT("'"&amp;F2&amp;"'"&amp;"!c:c")),SUMIF(INDIRECT("'"&amp;F2&amp;"'"&amp;"!A:A"),"承租人权益价值（单套）",INDIRECT("'"&amp;F2&amp;"'"&amp;"!c:c")))</f>
        <v>#REF!</v>
      </c>
      <c r="E2" s="1736" t="s">
        <v>1460</v>
      </c>
      <c r="F2" s="1737"/>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2.1</v>
      </c>
      <c r="C3" s="344" t="s">
        <v>1765</v>
      </c>
      <c r="D3" s="343">
        <f>IF(D1="",'数据-汇总表'!E3,SUMIF('数据-汇总表'!$C19:$C33,D1,'数据-汇总表'!$E19:$E33))</f>
        <v>7231.66</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1766</v>
      </c>
      <c r="B4" s="346"/>
      <c r="C4" s="3431" t="s">
        <v>1767</v>
      </c>
      <c r="D4" s="3432"/>
      <c r="E4" s="3433" t="s">
        <v>1768</v>
      </c>
      <c r="F4" s="3434"/>
      <c r="G4" s="3431" t="s">
        <v>1769</v>
      </c>
      <c r="H4" s="3432"/>
      <c r="I4" s="3431" t="s">
        <v>1770</v>
      </c>
      <c r="J4" s="3432"/>
      <c r="K4" s="537" t="s">
        <v>1771</v>
      </c>
      <c r="L4" s="859"/>
      <c r="M4" s="860"/>
      <c r="N4" s="860"/>
      <c r="O4" s="860"/>
      <c r="P4" s="3435" t="s">
        <v>1772</v>
      </c>
      <c r="Q4" s="3436"/>
      <c r="R4" s="3445" t="s">
        <v>1768</v>
      </c>
      <c r="S4" s="3446"/>
      <c r="T4" s="3445" t="s">
        <v>1769</v>
      </c>
      <c r="U4" s="3446"/>
      <c r="V4" s="3423" t="s">
        <v>1770</v>
      </c>
      <c r="W4" s="3423"/>
      <c r="X4" s="1263"/>
      <c r="Y4" s="3445" t="s">
        <v>1772</v>
      </c>
      <c r="Z4" s="3446"/>
      <c r="AA4" s="3428" t="s">
        <v>1768</v>
      </c>
      <c r="AB4" s="3429" t="s">
        <v>1769</v>
      </c>
      <c r="AC4" s="3428" t="s">
        <v>1770</v>
      </c>
    </row>
    <row r="5" spans="1:29">
      <c r="A5" s="348"/>
      <c r="B5" s="349"/>
      <c r="C5" s="3449" t="s">
        <v>1670</v>
      </c>
      <c r="D5" s="3450"/>
      <c r="E5" s="3505" t="s">
        <v>3841</v>
      </c>
      <c r="F5" s="3442"/>
      <c r="G5" s="3506" t="s">
        <v>3849</v>
      </c>
      <c r="H5" s="3450"/>
      <c r="I5" s="3506" t="s">
        <v>3850</v>
      </c>
      <c r="J5" s="3450"/>
      <c r="K5" s="537"/>
      <c r="L5" s="859"/>
      <c r="M5" s="860"/>
      <c r="N5" s="860"/>
      <c r="O5" s="860"/>
      <c r="P5" s="3437"/>
      <c r="Q5" s="3438"/>
      <c r="R5" s="3447"/>
      <c r="S5" s="3448"/>
      <c r="T5" s="3447"/>
      <c r="U5" s="3448"/>
      <c r="V5" s="3423"/>
      <c r="W5" s="3423"/>
      <c r="X5" s="1263"/>
      <c r="Y5" s="3447"/>
      <c r="Z5" s="3448"/>
      <c r="AA5" s="3429"/>
      <c r="AB5" s="3429"/>
      <c r="AC5" s="3429"/>
    </row>
    <row r="6" spans="1:29" ht="15" thickBot="1">
      <c r="A6" s="350"/>
      <c r="B6" s="351"/>
      <c r="C6" s="3479" t="s">
        <v>1674</v>
      </c>
      <c r="D6" s="3480"/>
      <c r="E6" s="3507" t="s">
        <v>3842</v>
      </c>
      <c r="F6" s="3482"/>
      <c r="G6" s="3508" t="s">
        <v>3846</v>
      </c>
      <c r="H6" s="3480"/>
      <c r="I6" s="3479" t="s">
        <v>1674</v>
      </c>
      <c r="J6" s="3480"/>
      <c r="K6" s="537" t="s">
        <v>1675</v>
      </c>
      <c r="L6" s="859"/>
      <c r="M6" s="860"/>
      <c r="N6" s="860"/>
      <c r="O6" s="860"/>
      <c r="P6" s="3439"/>
      <c r="Q6" s="3440"/>
      <c r="R6" s="3447"/>
      <c r="S6" s="3448"/>
      <c r="T6" s="3456"/>
      <c r="U6" s="3457"/>
      <c r="V6" s="3423"/>
      <c r="W6" s="3423"/>
      <c r="X6" s="1263"/>
      <c r="Y6" s="3456"/>
      <c r="Z6" s="3457"/>
      <c r="AA6" s="3430"/>
      <c r="AB6" s="3430"/>
      <c r="AC6" s="3430"/>
    </row>
    <row r="7" spans="1:29" s="102" customFormat="1" ht="15" thickBot="1">
      <c r="A7" s="352" t="s">
        <v>1676</v>
      </c>
      <c r="B7" s="353"/>
      <c r="C7" s="354">
        <f>'数据-取费表'!B2</f>
        <v>45470</v>
      </c>
      <c r="D7" s="355">
        <v>100</v>
      </c>
      <c r="E7" s="356">
        <f>C7</f>
        <v>45470</v>
      </c>
      <c r="F7" s="357">
        <f>SUMIF(52:52,YEAR(E7)&amp;"-"&amp;MONTH(E7),53:53)</f>
        <v>100</v>
      </c>
      <c r="G7" s="356">
        <f>C7</f>
        <v>45470</v>
      </c>
      <c r="H7" s="355">
        <f>SUMIF(52:52,YEAR(G7)&amp;"-"&amp;MONTH(G7),53:53)</f>
        <v>100</v>
      </c>
      <c r="I7" s="356">
        <f>C7</f>
        <v>45470</v>
      </c>
      <c r="J7" s="355">
        <f>SUMIF(52:52,YEAR(I7)&amp;"-"&amp;MONTH(I7),53:53)</f>
        <v>100</v>
      </c>
      <c r="K7" s="38"/>
      <c r="L7" s="861"/>
      <c r="M7" s="862"/>
      <c r="N7" s="862"/>
      <c r="O7" s="862"/>
      <c r="P7" s="3421" t="s">
        <v>1677</v>
      </c>
      <c r="Q7" s="3453"/>
      <c r="R7" s="664" t="s">
        <v>14</v>
      </c>
      <c r="S7" s="665">
        <f t="shared" ref="S7:S15" si="0">F7</f>
        <v>100</v>
      </c>
      <c r="T7" s="664" t="s">
        <v>14</v>
      </c>
      <c r="U7" s="665">
        <f t="shared" ref="U7:U15" si="1">H7</f>
        <v>100</v>
      </c>
      <c r="V7" s="664" t="s">
        <v>14</v>
      </c>
      <c r="W7" s="665">
        <f t="shared" ref="W7:W15" si="2">J7</f>
        <v>100</v>
      </c>
      <c r="X7" s="666"/>
      <c r="Y7" s="3421" t="s">
        <v>1677</v>
      </c>
      <c r="Z7" s="3422"/>
      <c r="AA7" s="50">
        <f>D7/F7</f>
        <v>1</v>
      </c>
      <c r="AB7" s="50">
        <f>D7/H7</f>
        <v>1</v>
      </c>
      <c r="AC7" s="50">
        <f>D7/J7</f>
        <v>1</v>
      </c>
    </row>
    <row r="8" spans="1:29" s="102" customFormat="1" ht="15" thickBot="1">
      <c r="A8" s="352" t="s">
        <v>1678</v>
      </c>
      <c r="B8" s="353"/>
      <c r="C8" s="358" t="s">
        <v>3785</v>
      </c>
      <c r="D8" s="355">
        <v>100</v>
      </c>
      <c r="E8" s="358" t="s">
        <v>3839</v>
      </c>
      <c r="F8" s="357">
        <f>SUMIF(55:55,E8,56:56)-SUMIF(55:55,C8,56:56)+100</f>
        <v>104</v>
      </c>
      <c r="G8" s="358" t="s">
        <v>3839</v>
      </c>
      <c r="H8" s="355">
        <f>SUMIF(55:55,G8,56:56)-SUMIF(55:55,C8,56:56)+100</f>
        <v>104</v>
      </c>
      <c r="I8" s="358" t="s">
        <v>3839</v>
      </c>
      <c r="J8" s="355">
        <f>SUMIF(55:55,I8,56:56)-SUMIF(55:55,C8,56:56)+100</f>
        <v>104</v>
      </c>
      <c r="K8" s="38"/>
      <c r="L8" s="861"/>
      <c r="M8" s="862"/>
      <c r="N8" s="862"/>
      <c r="O8" s="862"/>
      <c r="P8" s="3421" t="s">
        <v>1680</v>
      </c>
      <c r="Q8" s="3422"/>
      <c r="R8" s="664" t="s">
        <v>14</v>
      </c>
      <c r="S8" s="665">
        <f t="shared" si="0"/>
        <v>104</v>
      </c>
      <c r="T8" s="664" t="s">
        <v>14</v>
      </c>
      <c r="U8" s="665">
        <f t="shared" si="1"/>
        <v>104</v>
      </c>
      <c r="V8" s="664" t="s">
        <v>14</v>
      </c>
      <c r="W8" s="665">
        <f t="shared" si="2"/>
        <v>104</v>
      </c>
      <c r="X8" s="666"/>
      <c r="Y8" s="3421" t="s">
        <v>1680</v>
      </c>
      <c r="Z8" s="3422"/>
      <c r="AA8" s="50">
        <f t="shared" ref="AA8:AA40" si="3">D8/F8</f>
        <v>0.96153846153846156</v>
      </c>
      <c r="AB8" s="50">
        <f t="shared" ref="AB8:AB40" si="4">D8/H8</f>
        <v>0.96153846153846156</v>
      </c>
      <c r="AC8" s="50">
        <f t="shared" ref="AC8:AC40" si="5">D8/J8</f>
        <v>0.96153846153846156</v>
      </c>
    </row>
    <row r="9" spans="1:29" s="102" customFormat="1" ht="14.4">
      <c r="A9" s="359" t="s">
        <v>1681</v>
      </c>
      <c r="B9" s="60" t="s">
        <v>1682</v>
      </c>
      <c r="C9" s="3185" t="s">
        <v>3838</v>
      </c>
      <c r="D9" s="59">
        <v>100</v>
      </c>
      <c r="E9" s="362" t="s">
        <v>3</v>
      </c>
      <c r="F9" s="59">
        <f>SUMIF(57:57,E9,58:58)-SUMIF(57:57,C9,58:58)+100</f>
        <v>100</v>
      </c>
      <c r="G9" s="361" t="s">
        <v>3</v>
      </c>
      <c r="H9" s="59">
        <f>SUMIF(57:57,G9,58:58)-SUMIF(57:57,C9,58:58)+100</f>
        <v>100</v>
      </c>
      <c r="I9" s="361" t="s">
        <v>3</v>
      </c>
      <c r="J9" s="59">
        <f>SUMIF(57:57,I9,58:58)-SUMIF(57:57,C9,58:58)+100</f>
        <v>100</v>
      </c>
      <c r="K9" s="38"/>
      <c r="L9" s="861"/>
      <c r="M9" s="862"/>
      <c r="N9" s="862"/>
      <c r="O9" s="863"/>
      <c r="P9" s="3419" t="s">
        <v>1683</v>
      </c>
      <c r="Q9" s="530" t="str">
        <f t="shared" ref="Q9:Q15" si="6">B9</f>
        <v>用途</v>
      </c>
      <c r="R9" s="664" t="s">
        <v>14</v>
      </c>
      <c r="S9" s="665">
        <f t="shared" si="0"/>
        <v>100</v>
      </c>
      <c r="T9" s="664" t="s">
        <v>14</v>
      </c>
      <c r="U9" s="665">
        <f t="shared" si="1"/>
        <v>100</v>
      </c>
      <c r="V9" s="664" t="s">
        <v>14</v>
      </c>
      <c r="W9" s="665">
        <f t="shared" si="2"/>
        <v>100</v>
      </c>
      <c r="X9" s="666"/>
      <c r="Y9" s="3389" t="s">
        <v>1684</v>
      </c>
      <c r="Z9" s="50" t="str">
        <f t="shared" ref="Z9:Z15" si="7">Q9</f>
        <v>用途</v>
      </c>
      <c r="AA9" s="50">
        <f t="shared" si="3"/>
        <v>1</v>
      </c>
      <c r="AB9" s="50">
        <f t="shared" si="4"/>
        <v>1</v>
      </c>
      <c r="AC9" s="50">
        <f t="shared" si="5"/>
        <v>1</v>
      </c>
    </row>
    <row r="10" spans="1:29" s="366" customFormat="1" ht="28.8">
      <c r="A10" s="363"/>
      <c r="B10" s="364" t="s">
        <v>1685</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19"/>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9"/>
      <c r="Q11" s="530" t="str">
        <f t="shared" si="6"/>
        <v>容积率</v>
      </c>
      <c r="R11" s="664" t="s">
        <v>14</v>
      </c>
      <c r="S11" s="665">
        <f t="shared" si="0"/>
        <v>100</v>
      </c>
      <c r="T11" s="664" t="s">
        <v>14</v>
      </c>
      <c r="U11" s="665">
        <f t="shared" si="1"/>
        <v>100</v>
      </c>
      <c r="V11" s="664" t="s">
        <v>14</v>
      </c>
      <c r="W11" s="665">
        <f t="shared" si="2"/>
        <v>100</v>
      </c>
      <c r="X11" s="666"/>
      <c r="Y11" s="338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9"/>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9"/>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9"/>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50">
        <f t="shared" si="5"/>
        <v>1</v>
      </c>
    </row>
    <row r="15" spans="1:29" ht="69">
      <c r="A15" s="379" t="s">
        <v>1687</v>
      </c>
      <c r="B15" s="58" t="s">
        <v>1824</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69"/>
      <c r="M15" s="860"/>
      <c r="N15" s="860"/>
      <c r="O15" s="868"/>
      <c r="P15" s="3424" t="s">
        <v>1688</v>
      </c>
      <c r="Q15" s="1261" t="str">
        <f t="shared" si="6"/>
        <v>产业集聚程度</v>
      </c>
      <c r="R15" s="667" t="s">
        <v>14</v>
      </c>
      <c r="S15" s="668">
        <f t="shared" si="0"/>
        <v>100</v>
      </c>
      <c r="T15" s="667" t="s">
        <v>14</v>
      </c>
      <c r="U15" s="668">
        <f t="shared" si="1"/>
        <v>100</v>
      </c>
      <c r="V15" s="667" t="s">
        <v>14</v>
      </c>
      <c r="W15" s="668">
        <f t="shared" si="2"/>
        <v>100</v>
      </c>
      <c r="X15" s="1263"/>
      <c r="Y15" s="3424" t="s">
        <v>1688</v>
      </c>
      <c r="Z15" s="1262" t="str">
        <f t="shared" si="7"/>
        <v>产业集聚程度</v>
      </c>
      <c r="AA15" s="1262">
        <f t="shared" si="3"/>
        <v>1</v>
      </c>
      <c r="AB15" s="1262">
        <f t="shared" si="4"/>
        <v>1</v>
      </c>
      <c r="AC15" s="1262">
        <f t="shared" si="5"/>
        <v>1</v>
      </c>
    </row>
    <row r="16" spans="1:29" ht="15">
      <c r="A16" s="367"/>
      <c r="B16" s="385"/>
      <c r="C16" s="386" t="s">
        <v>3782</v>
      </c>
      <c r="D16" s="387"/>
      <c r="E16" s="386" t="s">
        <v>3782</v>
      </c>
      <c r="F16" s="388"/>
      <c r="G16" s="386" t="s">
        <v>3782</v>
      </c>
      <c r="H16" s="389"/>
      <c r="I16" s="386" t="s">
        <v>3782</v>
      </c>
      <c r="J16" s="387"/>
      <c r="K16" s="541"/>
      <c r="L16" s="869"/>
      <c r="M16" s="860"/>
      <c r="N16" s="860"/>
      <c r="O16" s="868"/>
      <c r="P16" s="3425"/>
      <c r="Q16" s="1261"/>
      <c r="R16" s="667"/>
      <c r="S16" s="668"/>
      <c r="T16" s="667"/>
      <c r="U16" s="668"/>
      <c r="V16" s="667"/>
      <c r="W16" s="668"/>
      <c r="X16" s="1263"/>
      <c r="Y16" s="3425"/>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69"/>
      <c r="M17" s="860"/>
      <c r="N17" s="860"/>
      <c r="O17" s="868"/>
      <c r="P17" s="3425"/>
      <c r="Q17" s="1261" t="str">
        <f>B17</f>
        <v>交通便捷度</v>
      </c>
      <c r="R17" s="667" t="s">
        <v>14</v>
      </c>
      <c r="S17" s="668">
        <f>F17</f>
        <v>100</v>
      </c>
      <c r="T17" s="667" t="s">
        <v>14</v>
      </c>
      <c r="U17" s="668">
        <f>H17</f>
        <v>100</v>
      </c>
      <c r="V17" s="667" t="s">
        <v>14</v>
      </c>
      <c r="W17" s="668">
        <f>J17</f>
        <v>100</v>
      </c>
      <c r="X17" s="1263"/>
      <c r="Y17" s="3425"/>
      <c r="Z17" s="1262" t="str">
        <f>Q17</f>
        <v>交通便捷度</v>
      </c>
      <c r="AA17" s="1262">
        <f t="shared" si="3"/>
        <v>1</v>
      </c>
      <c r="AB17" s="1262">
        <f t="shared" si="4"/>
        <v>1</v>
      </c>
      <c r="AC17" s="1262">
        <f t="shared" si="5"/>
        <v>1</v>
      </c>
    </row>
    <row r="18" spans="1:29" ht="15">
      <c r="A18" s="367"/>
      <c r="B18" s="395"/>
      <c r="C18" s="1753" t="s">
        <v>3782</v>
      </c>
      <c r="D18" s="389"/>
      <c r="E18" s="1753" t="s">
        <v>3782</v>
      </c>
      <c r="F18" s="392"/>
      <c r="G18" s="1753" t="s">
        <v>3782</v>
      </c>
      <c r="H18" s="387"/>
      <c r="I18" s="1753" t="s">
        <v>3782</v>
      </c>
      <c r="J18" s="387"/>
      <c r="K18" s="541"/>
      <c r="L18" s="869"/>
      <c r="M18" s="860"/>
      <c r="N18" s="860"/>
      <c r="O18" s="868"/>
      <c r="P18" s="3425"/>
      <c r="Q18" s="1261"/>
      <c r="R18" s="667"/>
      <c r="S18" s="668"/>
      <c r="T18" s="667"/>
      <c r="U18" s="668"/>
      <c r="V18" s="667"/>
      <c r="W18" s="668"/>
      <c r="X18" s="1263"/>
      <c r="Y18" s="3425"/>
      <c r="Z18" s="1262"/>
      <c r="AA18" s="1262">
        <v>1</v>
      </c>
      <c r="AB18" s="1262">
        <v>1</v>
      </c>
      <c r="AC18" s="1262">
        <v>1</v>
      </c>
    </row>
    <row r="19" spans="1:29" ht="41.4">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3</v>
      </c>
      <c r="L19" s="869"/>
      <c r="M19" s="860"/>
      <c r="N19" s="860"/>
      <c r="O19" s="868"/>
      <c r="P19" s="3425"/>
      <c r="Q19" s="1261" t="str">
        <f>B19</f>
        <v>公共配套设施</v>
      </c>
      <c r="R19" s="667" t="s">
        <v>14</v>
      </c>
      <c r="S19" s="668">
        <f>F19</f>
        <v>100</v>
      </c>
      <c r="T19" s="667" t="s">
        <v>14</v>
      </c>
      <c r="U19" s="668">
        <f>H19</f>
        <v>100</v>
      </c>
      <c r="V19" s="667" t="s">
        <v>14</v>
      </c>
      <c r="W19" s="668">
        <f>J19</f>
        <v>100</v>
      </c>
      <c r="X19" s="1263"/>
      <c r="Y19" s="3425"/>
      <c r="Z19" s="1262" t="str">
        <f>Q19</f>
        <v>公共配套设施</v>
      </c>
      <c r="AA19" s="1262">
        <f t="shared" si="3"/>
        <v>1</v>
      </c>
      <c r="AB19" s="1262">
        <f t="shared" si="4"/>
        <v>1</v>
      </c>
      <c r="AC19" s="1262">
        <f t="shared" si="5"/>
        <v>1</v>
      </c>
    </row>
    <row r="20" spans="1:29" ht="15">
      <c r="A20" s="367"/>
      <c r="B20" s="395"/>
      <c r="C20" s="386" t="s">
        <v>3782</v>
      </c>
      <c r="D20" s="387"/>
      <c r="E20" s="386" t="s">
        <v>3782</v>
      </c>
      <c r="F20" s="388"/>
      <c r="G20" s="386" t="s">
        <v>3782</v>
      </c>
      <c r="H20" s="387"/>
      <c r="I20" s="386" t="s">
        <v>3782</v>
      </c>
      <c r="J20" s="387"/>
      <c r="K20" s="541"/>
      <c r="L20" s="869"/>
      <c r="M20" s="860"/>
      <c r="N20" s="860"/>
      <c r="O20" s="868"/>
      <c r="P20" s="3425"/>
      <c r="Q20" s="1261"/>
      <c r="R20" s="667"/>
      <c r="S20" s="668"/>
      <c r="T20" s="667"/>
      <c r="U20" s="668"/>
      <c r="V20" s="667"/>
      <c r="W20" s="668"/>
      <c r="X20" s="1263"/>
      <c r="Y20" s="3425"/>
      <c r="Z20" s="1262"/>
      <c r="AA20" s="1262">
        <v>1</v>
      </c>
      <c r="AB20" s="1262">
        <v>1</v>
      </c>
      <c r="AC20" s="1262">
        <v>1</v>
      </c>
    </row>
    <row r="21" spans="1:29" ht="41.4">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2</v>
      </c>
      <c r="L21" s="869"/>
      <c r="M21" s="860"/>
      <c r="N21" s="860"/>
      <c r="O21" s="868"/>
      <c r="P21" s="3425"/>
      <c r="Q21" s="1261" t="str">
        <f>B21</f>
        <v>基础设施水平</v>
      </c>
      <c r="R21" s="667" t="s">
        <v>14</v>
      </c>
      <c r="S21" s="668">
        <f>F21</f>
        <v>100</v>
      </c>
      <c r="T21" s="667" t="s">
        <v>14</v>
      </c>
      <c r="U21" s="668">
        <f>H21</f>
        <v>100</v>
      </c>
      <c r="V21" s="667" t="s">
        <v>14</v>
      </c>
      <c r="W21" s="668">
        <f>J21</f>
        <v>100</v>
      </c>
      <c r="X21" s="1263"/>
      <c r="Y21" s="3425"/>
      <c r="Z21" s="1262" t="str">
        <f>Q21</f>
        <v>基础设施水平</v>
      </c>
      <c r="AA21" s="1262">
        <f t="shared" ref="AA21" si="8">D21/F21</f>
        <v>1</v>
      </c>
      <c r="AB21" s="1262">
        <f t="shared" ref="AB21" si="9">D21/H21</f>
        <v>1</v>
      </c>
      <c r="AC21" s="1262">
        <f t="shared" ref="AC21" si="10">D21/J21</f>
        <v>1</v>
      </c>
    </row>
    <row r="22" spans="1:29" ht="15">
      <c r="A22" s="367"/>
      <c r="B22" s="586"/>
      <c r="C22" s="1753" t="s">
        <v>3775</v>
      </c>
      <c r="D22" s="387"/>
      <c r="E22" s="1753" t="s">
        <v>3775</v>
      </c>
      <c r="F22" s="388"/>
      <c r="G22" s="1753" t="s">
        <v>3775</v>
      </c>
      <c r="H22" s="387"/>
      <c r="I22" s="1753" t="s">
        <v>3775</v>
      </c>
      <c r="J22" s="387"/>
      <c r="K22" s="1063"/>
      <c r="L22" s="869"/>
      <c r="M22" s="860"/>
      <c r="N22" s="860"/>
      <c r="O22" s="868"/>
      <c r="P22" s="3425"/>
      <c r="Q22" s="1261"/>
      <c r="R22" s="667"/>
      <c r="S22" s="668"/>
      <c r="T22" s="667"/>
      <c r="U22" s="668"/>
      <c r="V22" s="667"/>
      <c r="W22" s="668"/>
      <c r="X22" s="1263"/>
      <c r="Y22" s="3425"/>
      <c r="Z22" s="1262"/>
      <c r="AA22" s="1262">
        <v>1</v>
      </c>
      <c r="AB22" s="1262">
        <v>1</v>
      </c>
      <c r="AC22" s="1262">
        <v>1</v>
      </c>
    </row>
    <row r="23" spans="1:29" ht="82.8">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3</v>
      </c>
      <c r="L23" s="869"/>
      <c r="M23" s="860"/>
      <c r="N23" s="860"/>
      <c r="O23" s="868"/>
      <c r="P23" s="3425"/>
      <c r="Q23" s="1261" t="str">
        <f>B23</f>
        <v>环境质量</v>
      </c>
      <c r="R23" s="667" t="s">
        <v>14</v>
      </c>
      <c r="S23" s="668">
        <f>F23</f>
        <v>100</v>
      </c>
      <c r="T23" s="667" t="s">
        <v>14</v>
      </c>
      <c r="U23" s="668">
        <f>H23</f>
        <v>100</v>
      </c>
      <c r="V23" s="667" t="s">
        <v>14</v>
      </c>
      <c r="W23" s="668">
        <f>J23</f>
        <v>100</v>
      </c>
      <c r="X23" s="1263"/>
      <c r="Y23" s="3425"/>
      <c r="Z23" s="1262" t="str">
        <f>Q23</f>
        <v>环境质量</v>
      </c>
      <c r="AA23" s="1262">
        <f t="shared" si="3"/>
        <v>1</v>
      </c>
      <c r="AB23" s="1262">
        <f t="shared" si="4"/>
        <v>1</v>
      </c>
      <c r="AC23" s="1262">
        <f t="shared" si="5"/>
        <v>1</v>
      </c>
    </row>
    <row r="24" spans="1:29" ht="15">
      <c r="A24" s="367"/>
      <c r="B24" s="586"/>
      <c r="C24" s="386" t="s">
        <v>3782</v>
      </c>
      <c r="D24" s="387"/>
      <c r="E24" s="386" t="s">
        <v>3782</v>
      </c>
      <c r="F24" s="388"/>
      <c r="G24" s="386" t="s">
        <v>3782</v>
      </c>
      <c r="H24" s="387"/>
      <c r="I24" s="386" t="s">
        <v>3782</v>
      </c>
      <c r="J24" s="387"/>
      <c r="K24" s="541"/>
      <c r="L24" s="869"/>
      <c r="M24" s="860"/>
      <c r="N24" s="860"/>
      <c r="O24" s="868"/>
      <c r="P24" s="3425"/>
      <c r="Q24" s="1261"/>
      <c r="R24" s="667"/>
      <c r="S24" s="668"/>
      <c r="T24" s="667"/>
      <c r="U24" s="668"/>
      <c r="V24" s="667"/>
      <c r="W24" s="668"/>
      <c r="X24" s="1263"/>
      <c r="Y24" s="3425"/>
      <c r="Z24" s="1262"/>
      <c r="AA24" s="1262">
        <v>1</v>
      </c>
      <c r="AB24" s="1262">
        <v>1</v>
      </c>
      <c r="AC24" s="1262">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25"/>
      <c r="Q25" s="1261">
        <f>B25</f>
        <v>111</v>
      </c>
      <c r="R25" s="667" t="s">
        <v>14</v>
      </c>
      <c r="S25" s="668">
        <f>F25</f>
        <v>100</v>
      </c>
      <c r="T25" s="667" t="s">
        <v>14</v>
      </c>
      <c r="U25" s="668">
        <f>H25</f>
        <v>100</v>
      </c>
      <c r="V25" s="667" t="s">
        <v>14</v>
      </c>
      <c r="W25" s="668">
        <f>J25</f>
        <v>100</v>
      </c>
      <c r="X25" s="1263"/>
      <c r="Y25" s="3425"/>
      <c r="Z25" s="1262">
        <f>Q25</f>
        <v>111</v>
      </c>
      <c r="AA25" s="1262">
        <f t="shared" si="3"/>
        <v>1</v>
      </c>
      <c r="AB25" s="1262">
        <f t="shared" si="4"/>
        <v>1</v>
      </c>
      <c r="AC25" s="1262">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25"/>
      <c r="Q26" s="1261">
        <f t="shared" ref="Q26:Q40" si="11">B26</f>
        <v>111</v>
      </c>
      <c r="R26" s="667" t="s">
        <v>14</v>
      </c>
      <c r="S26" s="668">
        <f>F26</f>
        <v>100</v>
      </c>
      <c r="T26" s="667" t="s">
        <v>14</v>
      </c>
      <c r="U26" s="668">
        <f>H26</f>
        <v>100</v>
      </c>
      <c r="V26" s="667" t="s">
        <v>14</v>
      </c>
      <c r="W26" s="668">
        <f>J26</f>
        <v>100</v>
      </c>
      <c r="X26" s="1263"/>
      <c r="Y26" s="3425"/>
      <c r="Z26" s="1262">
        <f>Q26</f>
        <v>111</v>
      </c>
      <c r="AA26" s="1262">
        <f t="shared" si="3"/>
        <v>1</v>
      </c>
      <c r="AB26" s="1262">
        <f t="shared" si="4"/>
        <v>1</v>
      </c>
      <c r="AC26" s="1262">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25"/>
      <c r="Q27" s="530">
        <f t="shared" si="11"/>
        <v>111</v>
      </c>
      <c r="R27" s="664" t="s">
        <v>14</v>
      </c>
      <c r="S27" s="665">
        <f>F27</f>
        <v>100</v>
      </c>
      <c r="T27" s="664" t="s">
        <v>14</v>
      </c>
      <c r="U27" s="665">
        <f>H27</f>
        <v>100</v>
      </c>
      <c r="V27" s="664" t="s">
        <v>14</v>
      </c>
      <c r="W27" s="665">
        <f>J27</f>
        <v>100</v>
      </c>
      <c r="X27" s="666"/>
      <c r="Y27" s="3425"/>
      <c r="Z27" s="50">
        <f>Q27</f>
        <v>111</v>
      </c>
      <c r="AA27" s="1262">
        <f>D27/F27</f>
        <v>1</v>
      </c>
      <c r="AB27" s="1262">
        <f>D27/H27</f>
        <v>1</v>
      </c>
      <c r="AC27" s="1262">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25"/>
      <c r="Q28" s="1261">
        <f t="shared" si="11"/>
        <v>111</v>
      </c>
      <c r="R28" s="667" t="s">
        <v>14</v>
      </c>
      <c r="S28" s="668">
        <f t="shared" ref="S28:S40" si="12">F28</f>
        <v>100</v>
      </c>
      <c r="T28" s="667" t="s">
        <v>14</v>
      </c>
      <c r="U28" s="668">
        <f t="shared" ref="U28:U40" si="13">H28</f>
        <v>100</v>
      </c>
      <c r="V28" s="667" t="s">
        <v>14</v>
      </c>
      <c r="W28" s="668">
        <f t="shared" ref="W28:W40" si="14">J28</f>
        <v>100</v>
      </c>
      <c r="X28" s="1263"/>
      <c r="Y28" s="3425"/>
      <c r="Z28" s="1262">
        <f t="shared" ref="Z28:Z40" si="15">Q28</f>
        <v>111</v>
      </c>
      <c r="AA28" s="1262">
        <f t="shared" si="3"/>
        <v>1</v>
      </c>
      <c r="AB28" s="1262">
        <f t="shared" si="4"/>
        <v>1</v>
      </c>
      <c r="AC28" s="1262">
        <f t="shared" si="5"/>
        <v>1</v>
      </c>
    </row>
    <row r="29" spans="1:29" ht="30">
      <c r="A29" s="404" t="s">
        <v>1691</v>
      </c>
      <c r="B29" s="60" t="s">
        <v>1814</v>
      </c>
      <c r="C29" s="1762" t="s">
        <v>21</v>
      </c>
      <c r="D29" s="405">
        <v>100</v>
      </c>
      <c r="E29" s="1762" t="s">
        <v>21</v>
      </c>
      <c r="F29" s="400">
        <f>SUMIF(88:88,E29,89:89)-SUMIF(88:88,C29,89:89)+100</f>
        <v>100</v>
      </c>
      <c r="G29" s="1762" t="s">
        <v>21</v>
      </c>
      <c r="H29" s="374">
        <f>SUMIF(88:88,G29,89:89)-SUMIF(88:88,C29,89:89)+100</f>
        <v>100</v>
      </c>
      <c r="I29" s="1762" t="s">
        <v>21</v>
      </c>
      <c r="J29" s="405">
        <f>SUMIF(88:88,I29,89:89)-SUMIF(88:88,C29,89:89)+100</f>
        <v>100</v>
      </c>
      <c r="K29" s="538">
        <v>5</v>
      </c>
      <c r="L29" s="869"/>
      <c r="M29" s="860"/>
      <c r="N29" s="860"/>
      <c r="O29" s="868"/>
      <c r="P29" s="3426" t="s">
        <v>1693</v>
      </c>
      <c r="Q29" s="1261" t="str">
        <f t="shared" si="11"/>
        <v>建筑类型</v>
      </c>
      <c r="R29" s="667" t="s">
        <v>14</v>
      </c>
      <c r="S29" s="668">
        <f t="shared" si="12"/>
        <v>100</v>
      </c>
      <c r="T29" s="667" t="s">
        <v>14</v>
      </c>
      <c r="U29" s="668">
        <f t="shared" si="13"/>
        <v>100</v>
      </c>
      <c r="V29" s="667" t="s">
        <v>14</v>
      </c>
      <c r="W29" s="668">
        <f t="shared" si="14"/>
        <v>100</v>
      </c>
      <c r="X29" s="1263"/>
      <c r="Y29" s="3427" t="s">
        <v>1693</v>
      </c>
      <c r="Z29" s="1262" t="str">
        <f t="shared" si="15"/>
        <v>建筑类型</v>
      </c>
      <c r="AA29" s="1262">
        <f t="shared" si="3"/>
        <v>1</v>
      </c>
      <c r="AB29" s="1262">
        <f t="shared" si="4"/>
        <v>1</v>
      </c>
      <c r="AC29" s="1262">
        <f t="shared" si="5"/>
        <v>1</v>
      </c>
    </row>
    <row r="30" spans="1:29" s="408" customFormat="1" ht="15">
      <c r="A30" s="406"/>
      <c r="B30" s="364" t="s">
        <v>1694</v>
      </c>
      <c r="C30" s="407"/>
      <c r="D30" s="119">
        <v>100</v>
      </c>
      <c r="E30" s="369">
        <v>2000</v>
      </c>
      <c r="F30" s="364">
        <f>LOOKUP(E30,91:91,92:92)-LOOKUP(C30,91:91,92:92)+100</f>
        <v>100</v>
      </c>
      <c r="G30" s="368">
        <v>2000</v>
      </c>
      <c r="H30" s="119">
        <f>LOOKUP(G30,91:91,92:92)-LOOKUP(C30,91:91,92:92)+100</f>
        <v>100</v>
      </c>
      <c r="I30" s="368">
        <v>12000</v>
      </c>
      <c r="J30" s="119">
        <f>LOOKUP(I30,91:91,92:92)-LOOKUP(C30,91:91,92:92)+100</f>
        <v>100</v>
      </c>
      <c r="K30" s="539"/>
      <c r="L30" s="867"/>
      <c r="M30" s="870"/>
      <c r="N30" s="870"/>
      <c r="O30" s="871"/>
      <c r="P30" s="3427"/>
      <c r="Q30" s="531" t="str">
        <f t="shared" si="11"/>
        <v>项目建筑规模</v>
      </c>
      <c r="R30" s="669" t="s">
        <v>14</v>
      </c>
      <c r="S30" s="670">
        <f t="shared" si="12"/>
        <v>100</v>
      </c>
      <c r="T30" s="669" t="s">
        <v>14</v>
      </c>
      <c r="U30" s="670">
        <f t="shared" si="13"/>
        <v>100</v>
      </c>
      <c r="V30" s="669" t="s">
        <v>14</v>
      </c>
      <c r="W30" s="670">
        <f t="shared" si="14"/>
        <v>100</v>
      </c>
      <c r="X30" s="671"/>
      <c r="Y30" s="3427"/>
      <c r="Z30" s="672" t="str">
        <f t="shared" si="15"/>
        <v>项目建筑规模</v>
      </c>
      <c r="AA30" s="1262">
        <f t="shared" si="3"/>
        <v>1</v>
      </c>
      <c r="AB30" s="1262">
        <f t="shared" si="4"/>
        <v>1</v>
      </c>
      <c r="AC30" s="1262">
        <f t="shared" si="5"/>
        <v>1</v>
      </c>
    </row>
    <row r="31" spans="1:29" ht="15">
      <c r="A31" s="409"/>
      <c r="B31" s="364" t="s">
        <v>1695</v>
      </c>
      <c r="C31" s="399" t="s">
        <v>3750</v>
      </c>
      <c r="D31" s="374">
        <v>100</v>
      </c>
      <c r="E31" s="399" t="s">
        <v>3750</v>
      </c>
      <c r="F31" s="400">
        <f>SUMIF(93:93,E31,94:94)-SUMIF(93:93,C31,94:94)+100</f>
        <v>100</v>
      </c>
      <c r="G31" s="399" t="s">
        <v>3750</v>
      </c>
      <c r="H31" s="374">
        <f>SUMIF(93:93,G31,94:94)-SUMIF(93:93,C31,94:94)+100</f>
        <v>100</v>
      </c>
      <c r="I31" s="399" t="s">
        <v>3750</v>
      </c>
      <c r="J31" s="374">
        <f>SUMIF(93:93,I31,94:94)-SUMIF(93:93,C31,94:94)+100</f>
        <v>100</v>
      </c>
      <c r="K31" s="538"/>
      <c r="L31" s="869"/>
      <c r="M31" s="860"/>
      <c r="N31" s="860"/>
      <c r="O31" s="868"/>
      <c r="P31" s="3427"/>
      <c r="Q31" s="1261" t="str">
        <f t="shared" si="11"/>
        <v>建筑结构</v>
      </c>
      <c r="R31" s="667" t="s">
        <v>14</v>
      </c>
      <c r="S31" s="668">
        <f t="shared" si="12"/>
        <v>100</v>
      </c>
      <c r="T31" s="667" t="s">
        <v>14</v>
      </c>
      <c r="U31" s="668">
        <f t="shared" si="13"/>
        <v>100</v>
      </c>
      <c r="V31" s="667" t="s">
        <v>14</v>
      </c>
      <c r="W31" s="668">
        <f t="shared" si="14"/>
        <v>100</v>
      </c>
      <c r="X31" s="1263"/>
      <c r="Y31" s="3427"/>
      <c r="Z31" s="1262" t="str">
        <f t="shared" si="15"/>
        <v>建筑结构</v>
      </c>
      <c r="AA31" s="1262">
        <f t="shared" si="3"/>
        <v>1</v>
      </c>
      <c r="AB31" s="1262">
        <f t="shared" si="4"/>
        <v>1</v>
      </c>
      <c r="AC31" s="1262">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27"/>
      <c r="Q32" s="1261" t="str">
        <f t="shared" si="11"/>
        <v>公共部分装修</v>
      </c>
      <c r="R32" s="667" t="s">
        <v>14</v>
      </c>
      <c r="S32" s="668">
        <f t="shared" si="12"/>
        <v>100</v>
      </c>
      <c r="T32" s="667" t="s">
        <v>14</v>
      </c>
      <c r="U32" s="668">
        <f t="shared" si="13"/>
        <v>100</v>
      </c>
      <c r="V32" s="667" t="s">
        <v>14</v>
      </c>
      <c r="W32" s="668">
        <f t="shared" si="14"/>
        <v>100</v>
      </c>
      <c r="X32" s="1263"/>
      <c r="Y32" s="3427"/>
      <c r="Z32" s="1262" t="str">
        <f t="shared" si="15"/>
        <v>公共部分装修</v>
      </c>
      <c r="AA32" s="1262">
        <f t="shared" si="3"/>
        <v>1</v>
      </c>
      <c r="AB32" s="1262">
        <f t="shared" si="4"/>
        <v>1</v>
      </c>
      <c r="AC32" s="1262">
        <f t="shared" si="5"/>
        <v>1</v>
      </c>
    </row>
    <row r="33" spans="1:29" ht="15">
      <c r="A33" s="409"/>
      <c r="B33" s="364" t="s">
        <v>1783</v>
      </c>
      <c r="C33" s="411">
        <v>0.8</v>
      </c>
      <c r="D33" s="374">
        <v>100</v>
      </c>
      <c r="E33" s="411">
        <v>0.8</v>
      </c>
      <c r="F33" s="400">
        <f>LOOKUP(E33,98:98,99:99)-LOOKUP(C33,98:98,99:99)+100</f>
        <v>100</v>
      </c>
      <c r="G33" s="411">
        <v>0.8</v>
      </c>
      <c r="H33" s="400">
        <f>LOOKUP(G33,98:98,99:99)-LOOKUP(C33,98:98,99:99)+100</f>
        <v>100</v>
      </c>
      <c r="I33" s="411">
        <v>0.8</v>
      </c>
      <c r="J33" s="374">
        <f>LOOKUP(I33,98:98,99:99)-LOOKUP(C33,98:98,99:99)+100</f>
        <v>100</v>
      </c>
      <c r="K33" s="538"/>
      <c r="L33" s="869"/>
      <c r="M33" s="860"/>
      <c r="N33" s="860"/>
      <c r="O33" s="868"/>
      <c r="P33" s="3427"/>
      <c r="Q33" s="1261" t="str">
        <f t="shared" si="11"/>
        <v>成新度</v>
      </c>
      <c r="R33" s="667" t="s">
        <v>14</v>
      </c>
      <c r="S33" s="668">
        <f t="shared" si="12"/>
        <v>100</v>
      </c>
      <c r="T33" s="667" t="s">
        <v>14</v>
      </c>
      <c r="U33" s="668">
        <f t="shared" si="13"/>
        <v>100</v>
      </c>
      <c r="V33" s="667" t="s">
        <v>14</v>
      </c>
      <c r="W33" s="668">
        <f t="shared" si="14"/>
        <v>100</v>
      </c>
      <c r="X33" s="1263"/>
      <c r="Y33" s="3427"/>
      <c r="Z33" s="1262" t="str">
        <f t="shared" si="15"/>
        <v>成新度</v>
      </c>
      <c r="AA33" s="1262">
        <f t="shared" si="3"/>
        <v>1</v>
      </c>
      <c r="AB33" s="1262">
        <f t="shared" si="4"/>
        <v>1</v>
      </c>
      <c r="AC33" s="1262">
        <f t="shared" si="5"/>
        <v>1</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27" t="s">
        <v>1693</v>
      </c>
      <c r="Q35" s="1261" t="str">
        <f t="shared" si="11"/>
        <v>市政基础设施</v>
      </c>
      <c r="R35" s="667" t="s">
        <v>14</v>
      </c>
      <c r="S35" s="668">
        <f t="shared" si="12"/>
        <v>100</v>
      </c>
      <c r="T35" s="667" t="s">
        <v>14</v>
      </c>
      <c r="U35" s="668">
        <f t="shared" si="13"/>
        <v>100</v>
      </c>
      <c r="V35" s="667" t="s">
        <v>14</v>
      </c>
      <c r="W35" s="668">
        <f t="shared" si="14"/>
        <v>100</v>
      </c>
      <c r="X35" s="1263"/>
      <c r="Y35" s="3427" t="s">
        <v>1693</v>
      </c>
      <c r="Z35" s="1262" t="str">
        <f t="shared" si="15"/>
        <v>市政基础设施</v>
      </c>
      <c r="AA35" s="1262">
        <f t="shared" si="3"/>
        <v>1</v>
      </c>
      <c r="AB35" s="1262">
        <f t="shared" si="4"/>
        <v>1</v>
      </c>
      <c r="AC35" s="1262">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27"/>
      <c r="Q36" s="1261" t="str">
        <f t="shared" si="11"/>
        <v>内部装修</v>
      </c>
      <c r="R36" s="667" t="s">
        <v>14</v>
      </c>
      <c r="S36" s="668">
        <f t="shared" si="12"/>
        <v>100</v>
      </c>
      <c r="T36" s="667" t="s">
        <v>14</v>
      </c>
      <c r="U36" s="668">
        <f t="shared" si="13"/>
        <v>100</v>
      </c>
      <c r="V36" s="667" t="s">
        <v>14</v>
      </c>
      <c r="W36" s="668">
        <f t="shared" si="14"/>
        <v>100</v>
      </c>
      <c r="X36" s="1263"/>
      <c r="Y36" s="3427"/>
      <c r="Z36" s="1262" t="str">
        <f t="shared" si="15"/>
        <v>内部装修</v>
      </c>
      <c r="AA36" s="1262">
        <f t="shared" si="3"/>
        <v>1</v>
      </c>
      <c r="AB36" s="1262">
        <f t="shared" si="4"/>
        <v>1</v>
      </c>
      <c r="AC36" s="1262">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27"/>
      <c r="Q37" s="1261" t="str">
        <f t="shared" si="11"/>
        <v>内部装修状况</v>
      </c>
      <c r="R37" s="667" t="s">
        <v>14</v>
      </c>
      <c r="S37" s="668">
        <f t="shared" si="12"/>
        <v>100</v>
      </c>
      <c r="T37" s="667" t="s">
        <v>14</v>
      </c>
      <c r="U37" s="668">
        <f t="shared" si="13"/>
        <v>100</v>
      </c>
      <c r="V37" s="667" t="s">
        <v>14</v>
      </c>
      <c r="W37" s="668">
        <f t="shared" si="14"/>
        <v>100</v>
      </c>
      <c r="X37" s="1263"/>
      <c r="Y37" s="3427"/>
      <c r="Z37" s="1262" t="str">
        <f t="shared" si="15"/>
        <v>内部装修状况</v>
      </c>
      <c r="AA37" s="1262">
        <f t="shared" si="3"/>
        <v>1</v>
      </c>
      <c r="AB37" s="1262">
        <f t="shared" si="4"/>
        <v>1</v>
      </c>
      <c r="AC37" s="1262">
        <f t="shared" si="5"/>
        <v>1</v>
      </c>
    </row>
    <row r="38" spans="1:29" s="408" customFormat="1" ht="43.2">
      <c r="A38" s="406"/>
      <c r="B38" s="1065">
        <v>111</v>
      </c>
      <c r="C38" s="407"/>
      <c r="D38" s="374">
        <v>100</v>
      </c>
      <c r="E38" s="373" t="s">
        <v>3843</v>
      </c>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2">
        <f t="shared" si="3"/>
        <v>1</v>
      </c>
      <c r="AB38" s="1262">
        <f t="shared" si="4"/>
        <v>1</v>
      </c>
      <c r="AC38" s="1262">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27"/>
      <c r="Q39" s="1261">
        <f t="shared" si="11"/>
        <v>111</v>
      </c>
      <c r="R39" s="667" t="s">
        <v>14</v>
      </c>
      <c r="S39" s="668">
        <f t="shared" si="12"/>
        <v>100</v>
      </c>
      <c r="T39" s="667" t="s">
        <v>14</v>
      </c>
      <c r="U39" s="668">
        <f t="shared" si="13"/>
        <v>100</v>
      </c>
      <c r="V39" s="667" t="s">
        <v>14</v>
      </c>
      <c r="W39" s="668">
        <f t="shared" si="14"/>
        <v>100</v>
      </c>
      <c r="X39" s="1263"/>
      <c r="Y39" s="3427"/>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87"/>
      <c r="Q40" s="1261">
        <f t="shared" si="11"/>
        <v>111</v>
      </c>
      <c r="R40" s="667" t="s">
        <v>14</v>
      </c>
      <c r="S40" s="668">
        <f t="shared" si="12"/>
        <v>100</v>
      </c>
      <c r="T40" s="667" t="s">
        <v>14</v>
      </c>
      <c r="U40" s="668">
        <f t="shared" si="13"/>
        <v>100</v>
      </c>
      <c r="V40" s="667" t="s">
        <v>14</v>
      </c>
      <c r="W40" s="668">
        <f t="shared" si="14"/>
        <v>100</v>
      </c>
      <c r="X40" s="1263"/>
      <c r="Y40" s="3487"/>
      <c r="Z40" s="1262">
        <f t="shared" si="15"/>
        <v>111</v>
      </c>
      <c r="AA40" s="1262">
        <f t="shared" si="3"/>
        <v>1</v>
      </c>
      <c r="AB40" s="1262">
        <f t="shared" si="4"/>
        <v>1</v>
      </c>
      <c r="AC40" s="1262">
        <f t="shared" si="5"/>
        <v>1</v>
      </c>
    </row>
    <row r="41" spans="1:29" ht="14.4">
      <c r="A41" s="416" t="s">
        <v>1705</v>
      </c>
      <c r="B41" s="417"/>
      <c r="C41" s="1080" t="s">
        <v>0</v>
      </c>
      <c r="D41" s="418"/>
      <c r="E41" s="419">
        <v>2.2999999999999998</v>
      </c>
      <c r="F41" s="420"/>
      <c r="G41" s="421">
        <v>2.1</v>
      </c>
      <c r="H41" s="422"/>
      <c r="I41" s="419">
        <v>2.1</v>
      </c>
      <c r="J41" s="422"/>
      <c r="K41" s="674"/>
      <c r="L41" s="872"/>
      <c r="M41" s="860"/>
      <c r="N41" s="860"/>
      <c r="O41" s="860"/>
      <c r="P41" s="3419" t="str">
        <f>A41</f>
        <v>成交单价（元/平方米）</v>
      </c>
      <c r="Q41" s="3419"/>
      <c r="R41" s="3423">
        <f>E41</f>
        <v>2.2999999999999998</v>
      </c>
      <c r="S41" s="3423"/>
      <c r="T41" s="3423">
        <f>G41</f>
        <v>2.1</v>
      </c>
      <c r="U41" s="3423"/>
      <c r="V41" s="3423">
        <f>I41</f>
        <v>2.1</v>
      </c>
      <c r="W41" s="3423"/>
      <c r="X41" s="385"/>
      <c r="Y41" s="673"/>
      <c r="Z41" s="385"/>
      <c r="AA41" s="385"/>
      <c r="AB41" s="385"/>
      <c r="AC41" s="385"/>
    </row>
    <row r="42" spans="1:29" ht="15" thickBot="1">
      <c r="A42" s="423" t="s">
        <v>1790</v>
      </c>
      <c r="B42" s="424"/>
      <c r="C42" s="1081">
        <f>R43</f>
        <v>2.1</v>
      </c>
      <c r="D42" s="2140" t="s">
        <v>2134</v>
      </c>
      <c r="E42" s="1082">
        <f>R42</f>
        <v>2.2000000000000002</v>
      </c>
      <c r="F42" s="2141"/>
      <c r="G42" s="1081">
        <f>T42</f>
        <v>2</v>
      </c>
      <c r="H42" s="2141"/>
      <c r="I42" s="1082">
        <f>V42</f>
        <v>2</v>
      </c>
      <c r="J42" s="2141"/>
      <c r="K42" s="2143">
        <f>F42+H42+J42</f>
        <v>0</v>
      </c>
      <c r="L42" s="872"/>
      <c r="M42" s="860"/>
      <c r="N42" s="860"/>
      <c r="O42" s="860"/>
      <c r="P42" s="3419" t="str">
        <f>A42</f>
        <v>比较价值（元/平方米）</v>
      </c>
      <c r="Q42" s="3419"/>
      <c r="R42" s="3423">
        <f>IF(F1="售价",ROUND(PRODUCT(R41,AA7:AA40),0),ROUND(PRODUCT(R41,AA7:AA40),1))</f>
        <v>2.2000000000000002</v>
      </c>
      <c r="S42" s="3423"/>
      <c r="T42" s="3423">
        <f>IF(F1="售价",ROUND(PRODUCT(T41,AB7:AB40),0),ROUND(PRODUCT(T41,AB7:AB40),1))</f>
        <v>2</v>
      </c>
      <c r="U42" s="3423"/>
      <c r="V42" s="3423">
        <f>IF(F1="售价",ROUND(PRODUCT(V41,AC7:AC40),0),ROUND(PRODUCT(V41,AC7:AC40),1))</f>
        <v>2</v>
      </c>
      <c r="W42" s="3423"/>
      <c r="X42" s="385"/>
      <c r="Y42" s="385"/>
      <c r="Z42" s="385"/>
      <c r="AA42" s="385"/>
      <c r="AB42" s="385"/>
      <c r="AC42" s="385"/>
    </row>
    <row r="43" spans="1:29" ht="15" thickBot="1">
      <c r="A43" s="427" t="s">
        <v>1791</v>
      </c>
      <c r="B43" s="428"/>
      <c r="C43" s="351">
        <f>R43</f>
        <v>2.1</v>
      </c>
      <c r="D43" s="351"/>
      <c r="E43" s="351"/>
      <c r="F43" s="351"/>
      <c r="G43" s="351"/>
      <c r="H43" s="351"/>
      <c r="I43" s="351"/>
      <c r="J43" s="351"/>
      <c r="K43" s="675"/>
      <c r="L43" s="872"/>
      <c r="M43" s="860"/>
      <c r="N43" s="860"/>
      <c r="O43" s="860"/>
      <c r="P43" s="3416" t="str">
        <f>A43</f>
        <v>估价对象XX用房的比较价值（楼面单价，元/平方米）</v>
      </c>
      <c r="Q43" s="3417"/>
      <c r="R43" s="3483">
        <f>IF(F1="售价",ROUND(IF(D42="简单平均",AVERAGE(R42:V42),R42*F42+T42*H42+V42*J42),0),ROUND(IF(D42="简单平均",AVERAGE(R42:V42),R42*F42+T42*H42+V42*J42),1))</f>
        <v>2.1</v>
      </c>
      <c r="S43" s="3483"/>
      <c r="T43" s="3483"/>
      <c r="U43" s="3483"/>
      <c r="V43" s="3483"/>
      <c r="W43" s="3483"/>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1792</v>
      </c>
      <c r="D46" s="433"/>
      <c r="E46" s="434">
        <f>IF(E41&lt;E42,E42/E41-1,E41/E42-1)</f>
        <v>4.5454545454545192E-2</v>
      </c>
      <c r="F46" s="435" t="str">
        <f>IF(OR(E46&gt;=0.3,E46&lt;=-0.3),"超过30%","")</f>
        <v/>
      </c>
      <c r="G46" s="434">
        <f>IF(G41&lt;G42,G42/G41-1,G41/G42-1)</f>
        <v>5.0000000000000044E-2</v>
      </c>
      <c r="H46" s="435" t="str">
        <f>IF(OR(G46&gt;=0.3,G46&lt;=-0.3),"超过30%","")</f>
        <v/>
      </c>
      <c r="I46" s="434">
        <f>IF(I41&lt;I42,I42/I41-1,I41/I42-1)</f>
        <v>5.0000000000000044E-2</v>
      </c>
      <c r="J46" s="435" t="str">
        <f>IF(OR(I46&gt;=0.3,I46&lt;=-0.3),"超过30%","")</f>
        <v/>
      </c>
      <c r="K46" s="2498"/>
      <c r="L46" s="835"/>
      <c r="M46" s="860"/>
      <c r="N46" s="860"/>
      <c r="O46" s="860"/>
    </row>
    <row r="47" spans="1:29" ht="13.5" customHeight="1">
      <c r="A47" s="2486"/>
      <c r="B47" s="2486"/>
      <c r="C47" s="432" t="s">
        <v>1793</v>
      </c>
      <c r="D47" s="436"/>
      <c r="E47" s="434">
        <f>IF(E42&lt;G42,G42/E42-1,E42/G42-1)</f>
        <v>0.10000000000000009</v>
      </c>
      <c r="F47" s="435" t="str">
        <f>IF(OR(E47&gt;=0.2,E47&lt;=-0.2),"超过20%","")</f>
        <v/>
      </c>
      <c r="G47" s="434">
        <f>IF(G42&lt;I42,I42/G42-1,G42/I42-1)</f>
        <v>0</v>
      </c>
      <c r="H47" s="435" t="str">
        <f>IF(OR(G47&gt;=0.2,G47&lt;=-0.2),"超过20%","")</f>
        <v/>
      </c>
      <c r="I47" s="434">
        <f>IF(I42&lt;E42,E42/I42-1,I42/E42-1)</f>
        <v>0.10000000000000009</v>
      </c>
      <c r="J47" s="435" t="str">
        <f>IF(OR(I47&gt;=0.2,I47&lt;=-0.2),"超过20%","")</f>
        <v/>
      </c>
      <c r="K47" s="2498"/>
      <c r="L47" s="835"/>
      <c r="M47" s="860"/>
      <c r="N47" s="860"/>
      <c r="O47" s="860"/>
    </row>
    <row r="48" spans="1:29" s="437" customFormat="1" ht="13.5" customHeight="1">
      <c r="A48" s="2496"/>
      <c r="B48" s="2496"/>
      <c r="C48" s="432" t="s">
        <v>1794</v>
      </c>
      <c r="D48" s="436"/>
      <c r="E48" s="434">
        <f>IF(E41&lt;G41,G41/E41-1,E41/G41-1)</f>
        <v>9.5238095238095122E-2</v>
      </c>
      <c r="F48" s="435" t="str">
        <f>IF(OR(E48&gt;=0.3,E48&lt;=-0.3),"超过30%","")</f>
        <v/>
      </c>
      <c r="G48" s="434">
        <f>IF(G41&lt;I41,I41/G41-1,G41/I41-1)</f>
        <v>0</v>
      </c>
      <c r="H48" s="435" t="str">
        <f>IF(OR(G48&gt;=0.3,G48&lt;=-0.3),"超过30%","")</f>
        <v/>
      </c>
      <c r="I48" s="434">
        <f>IF(I41&lt;E41,E41/I41-1,I41/E41-1)</f>
        <v>9.5238095238095122E-2</v>
      </c>
      <c r="J48" s="435" t="str">
        <f>IF(OR(I48&gt;=0.3,I48&lt;=-0.3),"超过30%","")</f>
        <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8" t="s">
        <v>1795</v>
      </c>
      <c r="B51" s="385"/>
      <c r="C51" s="659"/>
      <c r="D51" s="659"/>
      <c r="E51" s="659"/>
      <c r="F51" s="660"/>
      <c r="G51" s="660"/>
      <c r="H51" s="659"/>
      <c r="I51" s="659"/>
      <c r="J51" s="659"/>
      <c r="K51" s="886"/>
      <c r="L51" s="887"/>
      <c r="M51" s="885"/>
      <c r="N51" s="885"/>
      <c r="O51" s="885"/>
      <c r="P51" s="438"/>
      <c r="Q51" s="439"/>
    </row>
    <row r="52" spans="1:17" s="442" customFormat="1" ht="14.4">
      <c r="A52" s="440" t="s">
        <v>1676</v>
      </c>
      <c r="B52" s="441"/>
      <c r="C52" s="1101" t="str">
        <f>YEAR(C7)&amp;"-"&amp;MONTH(C7)</f>
        <v>2024-6</v>
      </c>
      <c r="D52" s="1102">
        <f>EDATE(C52,-1)</f>
        <v>45413</v>
      </c>
      <c r="E52" s="1102">
        <f t="shared" ref="E52:O52" si="16">EDATE(D52,-1)</f>
        <v>45383</v>
      </c>
      <c r="F52" s="1102">
        <f t="shared" si="16"/>
        <v>45352</v>
      </c>
      <c r="G52" s="1102">
        <f t="shared" si="16"/>
        <v>45323</v>
      </c>
      <c r="H52" s="1102">
        <f t="shared" si="16"/>
        <v>45292</v>
      </c>
      <c r="I52" s="1102">
        <f t="shared" si="16"/>
        <v>45261</v>
      </c>
      <c r="J52" s="1102">
        <f t="shared" si="16"/>
        <v>45231</v>
      </c>
      <c r="K52" s="1102">
        <f t="shared" si="16"/>
        <v>45200</v>
      </c>
      <c r="L52" s="1102">
        <f t="shared" si="16"/>
        <v>45170</v>
      </c>
      <c r="M52" s="1102">
        <f t="shared" si="16"/>
        <v>45139</v>
      </c>
      <c r="N52" s="1102">
        <f t="shared" si="16"/>
        <v>45108</v>
      </c>
      <c r="O52" s="1102">
        <f t="shared" si="16"/>
        <v>45078</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7"/>
      <c r="O54" s="2538"/>
      <c r="P54" s="439"/>
      <c r="Q54" s="439"/>
    </row>
    <row r="55" spans="1:17" s="102" customFormat="1" ht="14.4">
      <c r="A55" s="455" t="s">
        <v>1678</v>
      </c>
      <c r="B55" s="444"/>
      <c r="C55" s="456" t="s">
        <v>1773</v>
      </c>
      <c r="D55" s="3186" t="s">
        <v>3840</v>
      </c>
      <c r="E55" s="31"/>
      <c r="F55" s="31"/>
      <c r="G55" s="31"/>
      <c r="H55" s="31"/>
      <c r="I55" s="31"/>
      <c r="J55" s="31"/>
      <c r="K55" s="31"/>
      <c r="L55" s="457"/>
      <c r="M55" s="458"/>
      <c r="N55" s="877"/>
      <c r="O55" s="877"/>
      <c r="P55" s="459"/>
      <c r="Q55" s="439"/>
    </row>
    <row r="56" spans="1:17" s="102" customFormat="1" ht="14.4" thickBot="1">
      <c r="A56" s="455"/>
      <c r="B56" s="444"/>
      <c r="C56" s="563">
        <v>100</v>
      </c>
      <c r="D56" s="446">
        <v>104</v>
      </c>
      <c r="E56" s="446"/>
      <c r="F56" s="446"/>
      <c r="G56" s="446"/>
      <c r="H56" s="446"/>
      <c r="I56" s="446"/>
      <c r="J56" s="446"/>
      <c r="K56" s="446"/>
      <c r="L56" s="446"/>
      <c r="M56" s="448"/>
      <c r="N56" s="877"/>
      <c r="O56" s="877"/>
      <c r="P56" s="439"/>
      <c r="Q56" s="439"/>
    </row>
    <row r="57" spans="1:17" ht="14.4">
      <c r="A57" s="379" t="s">
        <v>1716</v>
      </c>
      <c r="B57" s="460" t="s">
        <v>1682</v>
      </c>
      <c r="C57" s="461" t="str">
        <f>C9</f>
        <v>工业</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1685</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8"/>
      <c r="O70" s="878"/>
      <c r="P70" s="508"/>
      <c r="Q70" s="439"/>
    </row>
    <row r="71" spans="1:17" ht="14.4" thickBot="1">
      <c r="A71" s="367"/>
      <c r="B71" s="474"/>
      <c r="C71" s="475">
        <v>100</v>
      </c>
      <c r="D71" s="475">
        <f>C71-$K15</f>
        <v>97</v>
      </c>
      <c r="E71" s="475">
        <f>D71-$K15</f>
        <v>94</v>
      </c>
      <c r="F71" s="475">
        <f>E71-$K15</f>
        <v>91</v>
      </c>
      <c r="G71" s="475">
        <f>F71-$K15</f>
        <v>88</v>
      </c>
      <c r="H71" s="475"/>
      <c r="I71" s="475"/>
      <c r="J71" s="475"/>
      <c r="K71" s="475"/>
      <c r="L71" s="475"/>
      <c r="M71" s="476"/>
      <c r="N71" s="879"/>
      <c r="O71" s="879"/>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8"/>
      <c r="O72" s="878"/>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79"/>
      <c r="O73" s="879"/>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8"/>
      <c r="O74" s="878"/>
      <c r="P74" s="40"/>
      <c r="Q74" s="439"/>
    </row>
    <row r="75" spans="1:17" ht="14.4" thickBot="1">
      <c r="A75" s="367"/>
      <c r="B75" s="474"/>
      <c r="C75" s="475">
        <v>100</v>
      </c>
      <c r="D75" s="475">
        <f>C75-$K19</f>
        <v>97</v>
      </c>
      <c r="E75" s="475">
        <f>D75-$K19</f>
        <v>94</v>
      </c>
      <c r="F75" s="475">
        <f>E75-$K19</f>
        <v>91</v>
      </c>
      <c r="G75" s="475">
        <f>F75-$K19</f>
        <v>88</v>
      </c>
      <c r="H75" s="475"/>
      <c r="I75" s="475"/>
      <c r="J75" s="475"/>
      <c r="K75" s="475"/>
      <c r="L75" s="475"/>
      <c r="M75" s="476"/>
      <c r="N75" s="879"/>
      <c r="O75" s="879"/>
      <c r="P75" s="40"/>
      <c r="Q75" s="439"/>
    </row>
    <row r="76" spans="1:17" ht="15" thickTop="1">
      <c r="A76" s="367"/>
      <c r="B76" s="477" t="s">
        <v>1810</v>
      </c>
      <c r="C76" s="581" t="s">
        <v>1796</v>
      </c>
      <c r="D76" s="581" t="s">
        <v>1797</v>
      </c>
      <c r="E76" s="581" t="s">
        <v>1798</v>
      </c>
      <c r="F76" s="581" t="s">
        <v>1799</v>
      </c>
      <c r="G76" s="581" t="s">
        <v>1800</v>
      </c>
      <c r="H76" s="470"/>
      <c r="I76" s="470"/>
      <c r="J76" s="470"/>
      <c r="K76" s="470"/>
      <c r="L76" s="470"/>
      <c r="M76" s="1062"/>
      <c r="N76" s="879"/>
      <c r="O76" s="879"/>
      <c r="P76" s="40"/>
      <c r="Q76" s="439"/>
    </row>
    <row r="77" spans="1:17" ht="14.4" thickBot="1">
      <c r="A77" s="367"/>
      <c r="B77" s="477"/>
      <c r="C77" s="475">
        <v>100</v>
      </c>
      <c r="D77" s="475">
        <f>C77-$K21</f>
        <v>98</v>
      </c>
      <c r="E77" s="475">
        <f>D77-$K21</f>
        <v>96</v>
      </c>
      <c r="F77" s="475">
        <f>E77-$K21</f>
        <v>94</v>
      </c>
      <c r="G77" s="475">
        <f>F77-$K21</f>
        <v>92</v>
      </c>
      <c r="H77" s="581"/>
      <c r="I77" s="581"/>
      <c r="J77" s="581"/>
      <c r="K77" s="581"/>
      <c r="L77" s="581"/>
      <c r="M77" s="389"/>
      <c r="N77" s="879"/>
      <c r="O77" s="879"/>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8"/>
      <c r="O78" s="878"/>
      <c r="P78" s="40"/>
      <c r="Q78" s="439"/>
    </row>
    <row r="79" spans="1:17" ht="14.4" thickBot="1">
      <c r="A79" s="367"/>
      <c r="B79" s="474"/>
      <c r="C79" s="475">
        <v>100</v>
      </c>
      <c r="D79" s="475">
        <f>C79-$K23</f>
        <v>97</v>
      </c>
      <c r="E79" s="475">
        <f>D79-$K23</f>
        <v>94</v>
      </c>
      <c r="F79" s="475">
        <f>E79-$K23</f>
        <v>91</v>
      </c>
      <c r="G79" s="475">
        <f>F79-$K23</f>
        <v>88</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28.8">
      <c r="A88" s="379" t="s">
        <v>1691</v>
      </c>
      <c r="B88" s="460" t="s">
        <v>1733</v>
      </c>
      <c r="C88" s="3171" t="s">
        <v>3844</v>
      </c>
      <c r="D88" s="3171" t="s">
        <v>3859</v>
      </c>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95</v>
      </c>
      <c r="E89" s="475">
        <f t="shared" si="19"/>
        <v>90</v>
      </c>
      <c r="F89" s="475">
        <f t="shared" si="19"/>
        <v>85</v>
      </c>
      <c r="G89" s="475">
        <f t="shared" si="19"/>
        <v>80</v>
      </c>
      <c r="H89" s="475">
        <f t="shared" si="19"/>
        <v>75</v>
      </c>
      <c r="I89" s="475">
        <f t="shared" si="19"/>
        <v>70</v>
      </c>
      <c r="J89" s="475">
        <f t="shared" si="19"/>
        <v>65</v>
      </c>
      <c r="K89" s="475">
        <f t="shared" si="19"/>
        <v>60</v>
      </c>
      <c r="L89" s="475">
        <f t="shared" si="19"/>
        <v>55</v>
      </c>
      <c r="M89" s="476">
        <f t="shared" si="19"/>
        <v>50</v>
      </c>
      <c r="N89" s="879"/>
      <c r="O89" s="879"/>
      <c r="P89" s="40"/>
      <c r="Q89" s="439"/>
    </row>
    <row r="90" spans="1:17" ht="15" thickTop="1">
      <c r="A90" s="367"/>
      <c r="B90" s="469" t="s">
        <v>1734</v>
      </c>
      <c r="C90" s="509" t="str">
        <f>C91&amp;"(含)"&amp;"-"&amp;D91</f>
        <v>0(含)-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v>0</v>
      </c>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1735</v>
      </c>
      <c r="C93" s="3173" t="s">
        <v>3860</v>
      </c>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1737</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1738</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1739</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1741</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1827</v>
      </c>
      <c r="C106" s="509" t="s">
        <v>1718</v>
      </c>
      <c r="D106" s="509" t="s">
        <v>1719</v>
      </c>
      <c r="E106" s="509" t="s">
        <v>1720</v>
      </c>
      <c r="F106" s="509" t="s">
        <v>1721</v>
      </c>
      <c r="G106" s="509" t="s">
        <v>1722</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1828</v>
      </c>
      <c r="B1" s="1138" t="s">
        <v>3333</v>
      </c>
      <c r="C1" s="1139" t="s">
        <v>1659</v>
      </c>
      <c r="D1" s="1140"/>
      <c r="E1" s="3130"/>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1459</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1460</v>
      </c>
      <c r="F2" s="1737"/>
      <c r="G2" s="854"/>
      <c r="H2" s="854"/>
      <c r="I2" s="854"/>
      <c r="J2" s="854"/>
      <c r="K2" s="856"/>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4.4">
      <c r="A4" s="345" t="s">
        <v>1766</v>
      </c>
      <c r="B4" s="346"/>
      <c r="C4" s="3431" t="s">
        <v>1767</v>
      </c>
      <c r="D4" s="3432"/>
      <c r="E4" s="3433" t="s">
        <v>1768</v>
      </c>
      <c r="F4" s="3434"/>
      <c r="G4" s="3431" t="s">
        <v>1769</v>
      </c>
      <c r="H4" s="3432"/>
      <c r="I4" s="3431" t="s">
        <v>1770</v>
      </c>
      <c r="J4" s="3432"/>
      <c r="K4" s="537" t="s">
        <v>1771</v>
      </c>
      <c r="L4" s="2485"/>
      <c r="M4" s="2486"/>
      <c r="N4" s="2486"/>
      <c r="O4" s="2486"/>
      <c r="P4" s="3435" t="s">
        <v>1772</v>
      </c>
      <c r="Q4" s="3436"/>
      <c r="R4" s="3445" t="s">
        <v>1768</v>
      </c>
      <c r="S4" s="3446"/>
      <c r="T4" s="3445" t="s">
        <v>1769</v>
      </c>
      <c r="U4" s="3446"/>
      <c r="V4" s="3423" t="s">
        <v>1770</v>
      </c>
      <c r="W4" s="3423"/>
      <c r="X4" s="1263"/>
      <c r="Y4" s="3445" t="s">
        <v>1772</v>
      </c>
      <c r="Z4" s="3446"/>
      <c r="AA4" s="3428" t="s">
        <v>1768</v>
      </c>
      <c r="AB4" s="3429" t="s">
        <v>1769</v>
      </c>
      <c r="AC4" s="3428" t="s">
        <v>1770</v>
      </c>
    </row>
    <row r="5" spans="1:29">
      <c r="A5" s="348"/>
      <c r="B5" s="349"/>
      <c r="C5" s="3449" t="s">
        <v>1670</v>
      </c>
      <c r="D5" s="3450"/>
      <c r="E5" s="3441" t="s">
        <v>1671</v>
      </c>
      <c r="F5" s="3442"/>
      <c r="G5" s="3449" t="s">
        <v>1672</v>
      </c>
      <c r="H5" s="3450"/>
      <c r="I5" s="3449" t="s">
        <v>1673</v>
      </c>
      <c r="J5" s="3450"/>
      <c r="K5" s="537"/>
      <c r="L5" s="2485"/>
      <c r="M5" s="2486"/>
      <c r="N5" s="2486"/>
      <c r="O5" s="2486"/>
      <c r="P5" s="3437"/>
      <c r="Q5" s="3438"/>
      <c r="R5" s="3447"/>
      <c r="S5" s="3448"/>
      <c r="T5" s="3447"/>
      <c r="U5" s="3448"/>
      <c r="V5" s="3423"/>
      <c r="W5" s="3423"/>
      <c r="X5" s="1263"/>
      <c r="Y5" s="3447"/>
      <c r="Z5" s="3448"/>
      <c r="AA5" s="3429"/>
      <c r="AB5" s="3429"/>
      <c r="AC5" s="3429"/>
    </row>
    <row r="6" spans="1:29" ht="15" thickBot="1">
      <c r="A6" s="350"/>
      <c r="B6" s="351"/>
      <c r="C6" s="3479" t="s">
        <v>1674</v>
      </c>
      <c r="D6" s="3480"/>
      <c r="E6" s="3481" t="s">
        <v>1674</v>
      </c>
      <c r="F6" s="3482"/>
      <c r="G6" s="3479" t="s">
        <v>1674</v>
      </c>
      <c r="H6" s="3480"/>
      <c r="I6" s="3479" t="s">
        <v>1674</v>
      </c>
      <c r="J6" s="3480"/>
      <c r="K6" s="537" t="s">
        <v>1675</v>
      </c>
      <c r="L6" s="2485"/>
      <c r="M6" s="2486"/>
      <c r="N6" s="2486"/>
      <c r="O6" s="2486"/>
      <c r="P6" s="3439"/>
      <c r="Q6" s="3440"/>
      <c r="R6" s="3447"/>
      <c r="S6" s="3448"/>
      <c r="T6" s="3456"/>
      <c r="U6" s="3457"/>
      <c r="V6" s="3423"/>
      <c r="W6" s="3423"/>
      <c r="X6" s="1263"/>
      <c r="Y6" s="3456"/>
      <c r="Z6" s="3457"/>
      <c r="AA6" s="3430"/>
      <c r="AB6" s="3430"/>
      <c r="AC6" s="3430"/>
    </row>
    <row r="7" spans="1:29" s="102" customFormat="1" ht="15" thickBot="1">
      <c r="A7" s="352" t="s">
        <v>1676</v>
      </c>
      <c r="B7" s="353"/>
      <c r="C7" s="354">
        <f>'数据-取费表'!B2</f>
        <v>45470</v>
      </c>
      <c r="D7" s="355">
        <v>100</v>
      </c>
      <c r="E7" s="356"/>
      <c r="F7" s="357">
        <f>SUMIF(48:48,YEAR(E7)&amp;"-"&amp;MONTH(E7),49:49)</f>
        <v>0</v>
      </c>
      <c r="G7" s="356"/>
      <c r="H7" s="355">
        <f>SUMIF(48:48,YEAR(G7)&amp;"-"&amp;MONTH(G7),49:49)</f>
        <v>0</v>
      </c>
      <c r="I7" s="356"/>
      <c r="J7" s="355">
        <f>SUMIF(48:48,YEAR(I7)&amp;"-"&amp;MONTH(I7),49:49)</f>
        <v>0</v>
      </c>
      <c r="K7" s="38"/>
      <c r="L7" s="2487"/>
      <c r="M7" s="2438"/>
      <c r="N7" s="2438"/>
      <c r="O7" s="2438"/>
      <c r="P7" s="3421" t="s">
        <v>1677</v>
      </c>
      <c r="Q7" s="3453"/>
      <c r="R7" s="664" t="s">
        <v>14</v>
      </c>
      <c r="S7" s="665">
        <f t="shared" ref="S7:S14" si="0">F7</f>
        <v>0</v>
      </c>
      <c r="T7" s="664" t="s">
        <v>14</v>
      </c>
      <c r="U7" s="665">
        <f t="shared" ref="U7:U14" si="1">H7</f>
        <v>0</v>
      </c>
      <c r="V7" s="664" t="s">
        <v>14</v>
      </c>
      <c r="W7" s="665">
        <f t="shared" ref="W7:W14" si="2">J7</f>
        <v>0</v>
      </c>
      <c r="X7" s="666"/>
      <c r="Y7" s="3421" t="s">
        <v>1677</v>
      </c>
      <c r="Z7" s="3422"/>
      <c r="AA7" s="50" t="e">
        <f>D7/F7</f>
        <v>#DIV/0!</v>
      </c>
      <c r="AB7" s="50" t="e">
        <f>D7/H7</f>
        <v>#DIV/0!</v>
      </c>
      <c r="AC7" s="50" t="e">
        <f>D7/J7</f>
        <v>#DIV/0!</v>
      </c>
    </row>
    <row r="8" spans="1:29" s="102" customFormat="1" ht="1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21" t="s">
        <v>1680</v>
      </c>
      <c r="Q8" s="3422"/>
      <c r="R8" s="664" t="s">
        <v>14</v>
      </c>
      <c r="S8" s="665">
        <f t="shared" si="0"/>
        <v>100</v>
      </c>
      <c r="T8" s="664" t="s">
        <v>14</v>
      </c>
      <c r="U8" s="665">
        <f t="shared" si="1"/>
        <v>100</v>
      </c>
      <c r="V8" s="664" t="s">
        <v>14</v>
      </c>
      <c r="W8" s="665">
        <f t="shared" si="2"/>
        <v>100</v>
      </c>
      <c r="X8" s="666"/>
      <c r="Y8" s="3421" t="s">
        <v>1680</v>
      </c>
      <c r="Z8" s="3422"/>
      <c r="AA8" s="50">
        <f t="shared" ref="AA8:AA36" si="3">D8/F8</f>
        <v>1</v>
      </c>
      <c r="AB8" s="50">
        <f t="shared" ref="AB8:AB36" si="4">D8/H8</f>
        <v>1</v>
      </c>
      <c r="AC8" s="50">
        <f t="shared" ref="AC8:AC36" si="5">D8/J8</f>
        <v>1</v>
      </c>
    </row>
    <row r="9" spans="1:29" s="102" customFormat="1" ht="14.4">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19" t="s">
        <v>1683</v>
      </c>
      <c r="Q9" s="530" t="str">
        <f t="shared" ref="Q9:Q14" si="6">B9</f>
        <v>用途</v>
      </c>
      <c r="R9" s="664" t="s">
        <v>14</v>
      </c>
      <c r="S9" s="665">
        <f t="shared" si="0"/>
        <v>100</v>
      </c>
      <c r="T9" s="664" t="s">
        <v>14</v>
      </c>
      <c r="U9" s="665">
        <f t="shared" si="1"/>
        <v>100</v>
      </c>
      <c r="V9" s="664" t="s">
        <v>14</v>
      </c>
      <c r="W9" s="665">
        <f t="shared" si="2"/>
        <v>100</v>
      </c>
      <c r="X9" s="666"/>
      <c r="Y9" s="3389" t="s">
        <v>1684</v>
      </c>
      <c r="Z9" s="50" t="str">
        <f t="shared" ref="Z9:Z14" si="7">Q9</f>
        <v>用途</v>
      </c>
      <c r="AA9" s="50">
        <f t="shared" si="3"/>
        <v>1</v>
      </c>
      <c r="AB9" s="50">
        <f t="shared" si="4"/>
        <v>1</v>
      </c>
      <c r="AC9" s="50">
        <f t="shared" si="5"/>
        <v>1</v>
      </c>
    </row>
    <row r="10" spans="1:29" s="366" customFormat="1" ht="28.8">
      <c r="A10" s="565"/>
      <c r="B10" s="566" t="s">
        <v>1685</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9"/>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9"/>
      <c r="Q11" s="530">
        <f t="shared" si="6"/>
        <v>111</v>
      </c>
      <c r="R11" s="664" t="s">
        <v>14</v>
      </c>
      <c r="S11" s="665">
        <f t="shared" si="0"/>
        <v>100</v>
      </c>
      <c r="T11" s="664" t="s">
        <v>14</v>
      </c>
      <c r="U11" s="665">
        <f t="shared" si="1"/>
        <v>100</v>
      </c>
      <c r="V11" s="664" t="s">
        <v>14</v>
      </c>
      <c r="W11" s="665">
        <f t="shared" si="2"/>
        <v>100</v>
      </c>
      <c r="X11" s="666"/>
      <c r="Y11" s="338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19"/>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9"/>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96.6">
      <c r="A14" s="345" t="s">
        <v>1687</v>
      </c>
      <c r="B14" s="554" t="s">
        <v>1830</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4" t="s">
        <v>1688</v>
      </c>
      <c r="Q14" s="1261" t="str">
        <f t="shared" si="6"/>
        <v>交通便捷度</v>
      </c>
      <c r="R14" s="667" t="s">
        <v>14</v>
      </c>
      <c r="S14" s="668">
        <f t="shared" si="0"/>
        <v>100</v>
      </c>
      <c r="T14" s="667" t="s">
        <v>14</v>
      </c>
      <c r="U14" s="668">
        <f t="shared" si="1"/>
        <v>100</v>
      </c>
      <c r="V14" s="667" t="s">
        <v>14</v>
      </c>
      <c r="W14" s="668">
        <f t="shared" si="2"/>
        <v>100</v>
      </c>
      <c r="X14" s="1263"/>
      <c r="Y14" s="3424" t="s">
        <v>1688</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1"/>
      <c r="M15" s="2486"/>
      <c r="N15" s="2486"/>
      <c r="O15" s="2486"/>
      <c r="P15" s="3425"/>
      <c r="Q15" s="1261"/>
      <c r="R15" s="667"/>
      <c r="S15" s="668"/>
      <c r="T15" s="667"/>
      <c r="U15" s="668"/>
      <c r="V15" s="667"/>
      <c r="W15" s="668"/>
      <c r="X15" s="1263"/>
      <c r="Y15" s="3425"/>
      <c r="Z15" s="1262"/>
      <c r="AA15" s="1262">
        <v>1</v>
      </c>
      <c r="AB15" s="1262">
        <v>1</v>
      </c>
      <c r="AC15" s="1262">
        <v>1</v>
      </c>
    </row>
    <row r="16" spans="1:29" ht="41.4">
      <c r="A16" s="348"/>
      <c r="B16" s="556" t="s">
        <v>1809</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5"/>
      <c r="Q16" s="1261" t="str">
        <f>B16</f>
        <v>公共配套设施</v>
      </c>
      <c r="R16" s="667" t="s">
        <v>14</v>
      </c>
      <c r="S16" s="668">
        <f>F16</f>
        <v>100</v>
      </c>
      <c r="T16" s="667" t="s">
        <v>14</v>
      </c>
      <c r="U16" s="668">
        <f>H16</f>
        <v>100</v>
      </c>
      <c r="V16" s="667" t="s">
        <v>14</v>
      </c>
      <c r="W16" s="668">
        <f>J16</f>
        <v>100</v>
      </c>
      <c r="X16" s="1263"/>
      <c r="Y16" s="3425"/>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425"/>
      <c r="Q17" s="1261"/>
      <c r="R17" s="667"/>
      <c r="S17" s="668"/>
      <c r="T17" s="667"/>
      <c r="U17" s="668"/>
      <c r="V17" s="667"/>
      <c r="W17" s="668"/>
      <c r="X17" s="1263"/>
      <c r="Y17" s="3425"/>
      <c r="Z17" s="1262"/>
      <c r="AA17" s="1262">
        <v>1</v>
      </c>
      <c r="AB17" s="1262">
        <v>1</v>
      </c>
      <c r="AC17" s="1262">
        <v>1</v>
      </c>
    </row>
    <row r="18" spans="1:29" ht="41.4">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5"/>
      <c r="Q18" s="1261" t="str">
        <f>B18</f>
        <v>基础设施水平</v>
      </c>
      <c r="R18" s="667" t="s">
        <v>14</v>
      </c>
      <c r="S18" s="668">
        <f>F18</f>
        <v>100</v>
      </c>
      <c r="T18" s="667" t="s">
        <v>14</v>
      </c>
      <c r="U18" s="668">
        <f>H18</f>
        <v>100</v>
      </c>
      <c r="V18" s="667" t="s">
        <v>14</v>
      </c>
      <c r="W18" s="668">
        <f>J18</f>
        <v>100</v>
      </c>
      <c r="X18" s="1263"/>
      <c r="Y18" s="3425"/>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3"/>
      <c r="L19" s="2491"/>
      <c r="M19" s="2486"/>
      <c r="N19" s="2486"/>
      <c r="O19" s="2486"/>
      <c r="P19" s="3425"/>
      <c r="Q19" s="1261"/>
      <c r="R19" s="667"/>
      <c r="S19" s="668"/>
      <c r="T19" s="667"/>
      <c r="U19" s="668"/>
      <c r="V19" s="667"/>
      <c r="W19" s="668"/>
      <c r="X19" s="1263"/>
      <c r="Y19" s="3425"/>
      <c r="Z19" s="1262"/>
      <c r="AA19" s="1262">
        <v>1</v>
      </c>
      <c r="AB19" s="1262">
        <v>1</v>
      </c>
      <c r="AC19" s="1262">
        <v>1</v>
      </c>
    </row>
    <row r="20" spans="1:29" ht="55.2">
      <c r="A20" s="348"/>
      <c r="B20" s="556" t="s">
        <v>1831</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5"/>
      <c r="Q20" s="1261" t="str">
        <f>B20</f>
        <v>自然及人文环境</v>
      </c>
      <c r="R20" s="667" t="s">
        <v>14</v>
      </c>
      <c r="S20" s="668">
        <f>F20</f>
        <v>100</v>
      </c>
      <c r="T20" s="667" t="s">
        <v>14</v>
      </c>
      <c r="U20" s="668">
        <f>H20</f>
        <v>100</v>
      </c>
      <c r="V20" s="667" t="s">
        <v>14</v>
      </c>
      <c r="W20" s="668">
        <f>J20</f>
        <v>100</v>
      </c>
      <c r="X20" s="1263"/>
      <c r="Y20" s="3425"/>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425"/>
      <c r="Q21" s="1261"/>
      <c r="R21" s="667"/>
      <c r="S21" s="668"/>
      <c r="T21" s="667"/>
      <c r="U21" s="668"/>
      <c r="V21" s="667"/>
      <c r="W21" s="668"/>
      <c r="X21" s="1263"/>
      <c r="Y21" s="3425"/>
      <c r="Z21" s="1262"/>
      <c r="AA21" s="1262">
        <v>1</v>
      </c>
      <c r="AB21" s="1262">
        <v>1</v>
      </c>
      <c r="AC21" s="1262">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5"/>
      <c r="Q22" s="1261" t="str">
        <f>B22</f>
        <v>楼层</v>
      </c>
      <c r="R22" s="667" t="s">
        <v>14</v>
      </c>
      <c r="S22" s="668">
        <f>F22</f>
        <v>100</v>
      </c>
      <c r="T22" s="667" t="s">
        <v>14</v>
      </c>
      <c r="U22" s="668">
        <f>H22</f>
        <v>100</v>
      </c>
      <c r="V22" s="667" t="s">
        <v>14</v>
      </c>
      <c r="W22" s="668">
        <f>J22</f>
        <v>100</v>
      </c>
      <c r="X22" s="1263"/>
      <c r="Y22" s="3425"/>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5"/>
      <c r="Q23" s="1261">
        <f>B23</f>
        <v>111</v>
      </c>
      <c r="R23" s="667" t="s">
        <v>14</v>
      </c>
      <c r="S23" s="668">
        <f>F23</f>
        <v>100</v>
      </c>
      <c r="T23" s="667" t="s">
        <v>14</v>
      </c>
      <c r="U23" s="668">
        <f>H23</f>
        <v>100</v>
      </c>
      <c r="V23" s="667" t="s">
        <v>14</v>
      </c>
      <c r="W23" s="668">
        <f>J23</f>
        <v>100</v>
      </c>
      <c r="X23" s="1263"/>
      <c r="Y23" s="3425"/>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5"/>
      <c r="Q24" s="1261">
        <f t="shared" ref="Q24:Q36" si="11">B24</f>
        <v>111</v>
      </c>
      <c r="R24" s="667" t="s">
        <v>14</v>
      </c>
      <c r="S24" s="668">
        <f>F24</f>
        <v>100</v>
      </c>
      <c r="T24" s="667" t="s">
        <v>14</v>
      </c>
      <c r="U24" s="668">
        <f>H24</f>
        <v>100</v>
      </c>
      <c r="V24" s="667" t="s">
        <v>14</v>
      </c>
      <c r="W24" s="668">
        <f>J24</f>
        <v>100</v>
      </c>
      <c r="X24" s="1263"/>
      <c r="Y24" s="3425"/>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25"/>
      <c r="Q25" s="530">
        <f t="shared" si="11"/>
        <v>111</v>
      </c>
      <c r="R25" s="664" t="s">
        <v>14</v>
      </c>
      <c r="S25" s="665">
        <f>F25</f>
        <v>100</v>
      </c>
      <c r="T25" s="664" t="s">
        <v>14</v>
      </c>
      <c r="U25" s="665">
        <f>H25</f>
        <v>100</v>
      </c>
      <c r="V25" s="664" t="s">
        <v>14</v>
      </c>
      <c r="W25" s="665">
        <f>J25</f>
        <v>100</v>
      </c>
      <c r="X25" s="666"/>
      <c r="Y25" s="3425"/>
      <c r="Z25" s="50">
        <f>Q25</f>
        <v>111</v>
      </c>
      <c r="AA25" s="1262">
        <f>D25/F25</f>
        <v>1</v>
      </c>
      <c r="AB25" s="1262">
        <f>D25/H25</f>
        <v>1</v>
      </c>
      <c r="AC25" s="1262">
        <f>D25/J25</f>
        <v>1</v>
      </c>
    </row>
    <row r="26" spans="1:29" ht="30">
      <c r="A26" s="574" t="s">
        <v>1691</v>
      </c>
      <c r="B26" s="59" t="s">
        <v>1833</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6" t="s">
        <v>1693</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27" t="s">
        <v>1693</v>
      </c>
      <c r="Z26" s="1262" t="str">
        <f t="shared" ref="Z26:Z36" si="15">Q26</f>
        <v>配套类型</v>
      </c>
      <c r="AA26" s="1262" t="e">
        <f t="shared" si="3"/>
        <v>#DIV/0!</v>
      </c>
      <c r="AB26" s="1262" t="e">
        <f t="shared" si="4"/>
        <v>#DIV/0!</v>
      </c>
      <c r="AC26" s="1262"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7"/>
      <c r="Q27" s="531" t="str">
        <f t="shared" si="11"/>
        <v>项目停车位配比</v>
      </c>
      <c r="R27" s="669" t="s">
        <v>14</v>
      </c>
      <c r="S27" s="670">
        <f t="shared" si="12"/>
        <v>100</v>
      </c>
      <c r="T27" s="669" t="s">
        <v>14</v>
      </c>
      <c r="U27" s="670">
        <f t="shared" si="13"/>
        <v>100</v>
      </c>
      <c r="V27" s="669" t="s">
        <v>14</v>
      </c>
      <c r="W27" s="670">
        <f t="shared" si="14"/>
        <v>100</v>
      </c>
      <c r="X27" s="671"/>
      <c r="Y27" s="3427"/>
      <c r="Z27" s="672" t="str">
        <f t="shared" si="15"/>
        <v>项目停车位配比</v>
      </c>
      <c r="AA27" s="1262">
        <f t="shared" si="3"/>
        <v>1</v>
      </c>
      <c r="AB27" s="1262">
        <f t="shared" si="4"/>
        <v>1</v>
      </c>
      <c r="AC27" s="1262">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7"/>
      <c r="Q28" s="1261" t="str">
        <f t="shared" si="11"/>
        <v>公共部分装修</v>
      </c>
      <c r="R28" s="667" t="s">
        <v>14</v>
      </c>
      <c r="S28" s="668">
        <f t="shared" si="12"/>
        <v>100</v>
      </c>
      <c r="T28" s="667" t="s">
        <v>14</v>
      </c>
      <c r="U28" s="668">
        <f t="shared" si="13"/>
        <v>100</v>
      </c>
      <c r="V28" s="667" t="s">
        <v>14</v>
      </c>
      <c r="W28" s="668">
        <f t="shared" si="14"/>
        <v>100</v>
      </c>
      <c r="X28" s="1263"/>
      <c r="Y28" s="3427"/>
      <c r="Z28" s="1262" t="str">
        <f t="shared" si="15"/>
        <v>公共部分装修</v>
      </c>
      <c r="AA28" s="1262">
        <f t="shared" si="3"/>
        <v>1</v>
      </c>
      <c r="AB28" s="1262">
        <f t="shared" si="4"/>
        <v>1</v>
      </c>
      <c r="AC28" s="1262">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7"/>
      <c r="Q29" s="1261" t="str">
        <f t="shared" si="11"/>
        <v>成新率</v>
      </c>
      <c r="R29" s="667" t="s">
        <v>14</v>
      </c>
      <c r="S29" s="668" t="e">
        <f t="shared" si="12"/>
        <v>#N/A</v>
      </c>
      <c r="T29" s="667" t="s">
        <v>14</v>
      </c>
      <c r="U29" s="668" t="e">
        <f t="shared" si="13"/>
        <v>#N/A</v>
      </c>
      <c r="V29" s="667" t="s">
        <v>14</v>
      </c>
      <c r="W29" s="668" t="e">
        <f t="shared" si="14"/>
        <v>#N/A</v>
      </c>
      <c r="X29" s="1263"/>
      <c r="Y29" s="3427"/>
      <c r="Z29" s="1262" t="str">
        <f t="shared" si="15"/>
        <v>成新率</v>
      </c>
      <c r="AA29" s="1262" t="e">
        <f t="shared" si="3"/>
        <v>#N/A</v>
      </c>
      <c r="AB29" s="1262" t="e">
        <f t="shared" si="4"/>
        <v>#N/A</v>
      </c>
      <c r="AC29" s="1262"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7"/>
      <c r="Q30" s="1261" t="str">
        <f t="shared" si="11"/>
        <v>物业等级</v>
      </c>
      <c r="R30" s="667" t="s">
        <v>14</v>
      </c>
      <c r="S30" s="668">
        <f t="shared" si="12"/>
        <v>100</v>
      </c>
      <c r="T30" s="667" t="s">
        <v>14</v>
      </c>
      <c r="U30" s="668">
        <f t="shared" si="13"/>
        <v>100</v>
      </c>
      <c r="V30" s="667" t="s">
        <v>14</v>
      </c>
      <c r="W30" s="668">
        <f t="shared" si="14"/>
        <v>100</v>
      </c>
      <c r="X30" s="1263"/>
      <c r="Y30" s="3427"/>
      <c r="Z30" s="1262" t="str">
        <f t="shared" si="15"/>
        <v>物业等级</v>
      </c>
      <c r="AA30" s="1262">
        <f t="shared" si="3"/>
        <v>1</v>
      </c>
      <c r="AB30" s="1262">
        <f t="shared" si="4"/>
        <v>1</v>
      </c>
      <c r="AC30" s="1262">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27"/>
      <c r="Q31" s="530" t="str">
        <f t="shared" si="11"/>
        <v>停车位面积</v>
      </c>
      <c r="R31" s="664" t="s">
        <v>14</v>
      </c>
      <c r="S31" s="665" t="e">
        <f t="shared" si="12"/>
        <v>#N/A</v>
      </c>
      <c r="T31" s="664" t="s">
        <v>14</v>
      </c>
      <c r="U31" s="665" t="e">
        <f t="shared" si="13"/>
        <v>#N/A</v>
      </c>
      <c r="V31" s="664" t="s">
        <v>14</v>
      </c>
      <c r="W31" s="665" t="e">
        <f t="shared" si="14"/>
        <v>#N/A</v>
      </c>
      <c r="X31" s="666"/>
      <c r="Y31" s="3427"/>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7" t="s">
        <v>1693</v>
      </c>
      <c r="Q32" s="1261" t="str">
        <f t="shared" si="11"/>
        <v>车位类型</v>
      </c>
      <c r="R32" s="667" t="s">
        <v>14</v>
      </c>
      <c r="S32" s="668">
        <f t="shared" si="12"/>
        <v>100</v>
      </c>
      <c r="T32" s="667" t="s">
        <v>14</v>
      </c>
      <c r="U32" s="668">
        <f t="shared" si="13"/>
        <v>100</v>
      </c>
      <c r="V32" s="667" t="s">
        <v>14</v>
      </c>
      <c r="W32" s="668">
        <f t="shared" si="14"/>
        <v>100</v>
      </c>
      <c r="X32" s="1263"/>
      <c r="Y32" s="3427" t="s">
        <v>1693</v>
      </c>
      <c r="Z32" s="1262" t="str">
        <f t="shared" si="15"/>
        <v>车位类型</v>
      </c>
      <c r="AA32" s="1262">
        <f t="shared" si="3"/>
        <v>1</v>
      </c>
      <c r="AB32" s="1262">
        <f t="shared" si="4"/>
        <v>1</v>
      </c>
      <c r="AC32" s="1262">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7"/>
      <c r="Q33" s="1261" t="str">
        <f t="shared" si="11"/>
        <v>是否直接入户</v>
      </c>
      <c r="R33" s="667" t="s">
        <v>14</v>
      </c>
      <c r="S33" s="668">
        <f t="shared" si="12"/>
        <v>100</v>
      </c>
      <c r="T33" s="667" t="s">
        <v>14</v>
      </c>
      <c r="U33" s="668">
        <f t="shared" si="13"/>
        <v>100</v>
      </c>
      <c r="V33" s="667" t="s">
        <v>14</v>
      </c>
      <c r="W33" s="668">
        <f t="shared" si="14"/>
        <v>100</v>
      </c>
      <c r="X33" s="1263"/>
      <c r="Y33" s="3427"/>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7"/>
      <c r="Q34" s="1261">
        <f t="shared" si="11"/>
        <v>111</v>
      </c>
      <c r="R34" s="667" t="s">
        <v>14</v>
      </c>
      <c r="S34" s="668">
        <f t="shared" si="12"/>
        <v>100</v>
      </c>
      <c r="T34" s="667" t="s">
        <v>14</v>
      </c>
      <c r="U34" s="668">
        <f t="shared" si="13"/>
        <v>100</v>
      </c>
      <c r="V34" s="667" t="s">
        <v>14</v>
      </c>
      <c r="W34" s="668">
        <f t="shared" si="14"/>
        <v>100</v>
      </c>
      <c r="X34" s="1263"/>
      <c r="Y34" s="3427"/>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7"/>
      <c r="Q35" s="531">
        <f t="shared" si="11"/>
        <v>111</v>
      </c>
      <c r="R35" s="669" t="s">
        <v>14</v>
      </c>
      <c r="S35" s="670">
        <f t="shared" si="12"/>
        <v>100</v>
      </c>
      <c r="T35" s="669" t="s">
        <v>14</v>
      </c>
      <c r="U35" s="670">
        <f t="shared" si="13"/>
        <v>100</v>
      </c>
      <c r="V35" s="669" t="s">
        <v>14</v>
      </c>
      <c r="W35" s="670">
        <f t="shared" si="14"/>
        <v>100</v>
      </c>
      <c r="X35" s="671"/>
      <c r="Y35" s="3427"/>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7"/>
      <c r="Q36" s="1261">
        <f t="shared" si="11"/>
        <v>111</v>
      </c>
      <c r="R36" s="667" t="s">
        <v>14</v>
      </c>
      <c r="S36" s="668">
        <f t="shared" si="12"/>
        <v>100</v>
      </c>
      <c r="T36" s="667" t="s">
        <v>14</v>
      </c>
      <c r="U36" s="668">
        <f t="shared" si="13"/>
        <v>100</v>
      </c>
      <c r="V36" s="667" t="s">
        <v>14</v>
      </c>
      <c r="W36" s="668">
        <f t="shared" si="14"/>
        <v>100</v>
      </c>
      <c r="X36" s="1263"/>
      <c r="Y36" s="3427"/>
      <c r="Z36" s="1262">
        <f t="shared" si="15"/>
        <v>111</v>
      </c>
      <c r="AA36" s="1262">
        <f t="shared" si="3"/>
        <v>1</v>
      </c>
      <c r="AB36" s="1262">
        <f t="shared" si="4"/>
        <v>1</v>
      </c>
      <c r="AC36" s="1262">
        <f t="shared" si="5"/>
        <v>1</v>
      </c>
    </row>
    <row r="37" spans="1:29" ht="14.4">
      <c r="A37" s="416" t="s">
        <v>1841</v>
      </c>
      <c r="B37" s="1820" t="s">
        <v>3354</v>
      </c>
      <c r="C37" s="1080" t="s">
        <v>0</v>
      </c>
      <c r="D37" s="418"/>
      <c r="E37" s="419"/>
      <c r="F37" s="420"/>
      <c r="G37" s="421"/>
      <c r="H37" s="422"/>
      <c r="I37" s="419"/>
      <c r="J37" s="422"/>
      <c r="K37" s="545"/>
      <c r="L37" s="2493"/>
      <c r="M37" s="2486"/>
      <c r="N37" s="2486"/>
      <c r="O37" s="2486"/>
      <c r="P37" s="3419" t="str">
        <f>A37</f>
        <v>成交单价</v>
      </c>
      <c r="Q37" s="3419"/>
      <c r="R37" s="3423">
        <f>E37</f>
        <v>0</v>
      </c>
      <c r="S37" s="3423"/>
      <c r="T37" s="3423">
        <f>G37</f>
        <v>0</v>
      </c>
      <c r="U37" s="3423"/>
      <c r="V37" s="3423">
        <f>I37</f>
        <v>0</v>
      </c>
      <c r="W37" s="3423"/>
      <c r="X37" s="385"/>
      <c r="Y37" s="673"/>
      <c r="Z37" s="385"/>
      <c r="AA37" s="385"/>
      <c r="AB37" s="385"/>
      <c r="AC37" s="385"/>
    </row>
    <row r="38" spans="1:29" ht="15" thickBot="1">
      <c r="A38" s="423" t="s">
        <v>1842</v>
      </c>
      <c r="B38" s="424" t="str">
        <f>B37</f>
        <v>元/平方米</v>
      </c>
      <c r="C38" s="1081" t="e">
        <f>R39</f>
        <v>#DIV/0!</v>
      </c>
      <c r="D38" s="2140" t="s">
        <v>2134</v>
      </c>
      <c r="E38" s="1082" t="e">
        <f>R38</f>
        <v>#DIV/0!</v>
      </c>
      <c r="F38" s="2141"/>
      <c r="G38" s="1081" t="e">
        <f>T38</f>
        <v>#DIV/0!</v>
      </c>
      <c r="H38" s="2141"/>
      <c r="I38" s="1082" t="e">
        <f>V38</f>
        <v>#DIV/0!</v>
      </c>
      <c r="J38" s="2141"/>
      <c r="K38" s="2143">
        <f>F38+H38+J38</f>
        <v>0</v>
      </c>
      <c r="L38" s="2493"/>
      <c r="M38" s="2486"/>
      <c r="N38" s="2486"/>
      <c r="O38" s="2486"/>
      <c r="P38" s="3419" t="str">
        <f>A38</f>
        <v>比较价值（元/平方米）</v>
      </c>
      <c r="Q38" s="3419"/>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 thickBot="1">
      <c r="A39" s="427" t="s">
        <v>1843</v>
      </c>
      <c r="B39" s="428"/>
      <c r="C39" s="351" t="e">
        <f>R39</f>
        <v>#DIV/0!</v>
      </c>
      <c r="D39" s="351"/>
      <c r="E39" s="351"/>
      <c r="F39" s="351"/>
      <c r="G39" s="351"/>
      <c r="H39" s="351"/>
      <c r="I39" s="351"/>
      <c r="J39" s="351"/>
      <c r="K39" s="546"/>
      <c r="L39" s="2493"/>
      <c r="M39" s="2486"/>
      <c r="N39" s="2486"/>
      <c r="O39" s="2486"/>
      <c r="P39" s="3416" t="str">
        <f>A39</f>
        <v>估价对象XX用房的比较价值（楼面单价，元/平方米）</v>
      </c>
      <c r="Q39" s="3417"/>
      <c r="R39" s="3509" t="e">
        <f>IF(F1="售价",ROUND(IF(D38="简单平均",AVERAGE(R38:W38),R38*F38+T38*H38+V38*J38),0),ROUND(IF(D38="简单平均",AVERAGE(R38:V38),R38*F38+T38*H38+V38*J38),1))</f>
        <v>#DIV/0!</v>
      </c>
      <c r="S39" s="3509"/>
      <c r="T39" s="3509"/>
      <c r="U39" s="3509"/>
      <c r="V39" s="3509"/>
      <c r="W39" s="350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1847</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4.4">
      <c r="A48" s="440" t="s">
        <v>1848</v>
      </c>
      <c r="B48" s="441"/>
      <c r="C48" s="1101" t="str">
        <f>YEAR(C7)&amp;"-"&amp;MONTH(C7)</f>
        <v>2024-6</v>
      </c>
      <c r="D48" s="1102">
        <f>EDATE(C48,-1)</f>
        <v>45413</v>
      </c>
      <c r="E48" s="1102">
        <f t="shared" ref="E48:O48" si="16">EDATE(D48,-1)</f>
        <v>45383</v>
      </c>
      <c r="F48" s="1102">
        <f t="shared" si="16"/>
        <v>45352</v>
      </c>
      <c r="G48" s="1102">
        <f t="shared" si="16"/>
        <v>45323</v>
      </c>
      <c r="H48" s="1102">
        <f t="shared" si="16"/>
        <v>45292</v>
      </c>
      <c r="I48" s="1102">
        <f t="shared" si="16"/>
        <v>45261</v>
      </c>
      <c r="J48" s="1102">
        <f t="shared" si="16"/>
        <v>45231</v>
      </c>
      <c r="K48" s="1102">
        <f t="shared" si="16"/>
        <v>45200</v>
      </c>
      <c r="L48" s="1102">
        <f t="shared" si="16"/>
        <v>45170</v>
      </c>
      <c r="M48" s="1102">
        <f t="shared" si="16"/>
        <v>45139</v>
      </c>
      <c r="N48" s="1102">
        <f t="shared" si="16"/>
        <v>45108</v>
      </c>
      <c r="O48" s="1102">
        <f t="shared" si="16"/>
        <v>45078</v>
      </c>
      <c r="P48" s="2526"/>
      <c r="Q48" s="2509"/>
      <c r="R48" s="2509"/>
      <c r="S48" s="2509"/>
      <c r="T48" s="2509"/>
      <c r="U48" s="2509"/>
      <c r="V48" s="2509"/>
      <c r="W48" s="2509"/>
      <c r="X48" s="2509"/>
      <c r="Y48" s="2509"/>
      <c r="Z48" s="2509"/>
      <c r="AA48" s="2509"/>
      <c r="AB48" s="2509"/>
      <c r="AC48" s="2509"/>
    </row>
    <row r="49" spans="1:29" s="102" customFormat="1">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1713</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1678</v>
      </c>
      <c r="B51" s="444"/>
      <c r="C51" s="456" t="s">
        <v>1773</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1716</v>
      </c>
      <c r="B53" s="460" t="s">
        <v>1682</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1685</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1724</v>
      </c>
      <c r="C65" s="509" t="s">
        <v>1718</v>
      </c>
      <c r="D65" s="509" t="s">
        <v>1719</v>
      </c>
      <c r="E65" s="509" t="s">
        <v>1720</v>
      </c>
      <c r="F65" s="509" t="s">
        <v>1721</v>
      </c>
      <c r="G65" s="509" t="s">
        <v>1722</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1810</v>
      </c>
      <c r="C67" s="581" t="s">
        <v>1796</v>
      </c>
      <c r="D67" s="581" t="s">
        <v>1797</v>
      </c>
      <c r="E67" s="581" t="s">
        <v>1798</v>
      </c>
      <c r="F67" s="581" t="s">
        <v>1799</v>
      </c>
      <c r="G67" s="581" t="s">
        <v>1800</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1730</v>
      </c>
      <c r="C69" s="509" t="s">
        <v>1718</v>
      </c>
      <c r="D69" s="509" t="s">
        <v>1719</v>
      </c>
      <c r="E69" s="509" t="s">
        <v>1720</v>
      </c>
      <c r="F69" s="509" t="s">
        <v>1721</v>
      </c>
      <c r="G69" s="509" t="s">
        <v>1722</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1849</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1691</v>
      </c>
      <c r="B79" s="460" t="s">
        <v>1850</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1851</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1737</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1853</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1855</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1856</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1828</v>
      </c>
      <c r="B1" s="1138" t="s">
        <v>3334</v>
      </c>
      <c r="C1" s="1139" t="s">
        <v>1659</v>
      </c>
      <c r="D1" s="1140"/>
      <c r="E1" s="3130"/>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1459</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1460</v>
      </c>
      <c r="F2" s="1737"/>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4.4">
      <c r="A4" s="345" t="s">
        <v>1766</v>
      </c>
      <c r="B4" s="346"/>
      <c r="C4" s="3431" t="s">
        <v>1767</v>
      </c>
      <c r="D4" s="3432"/>
      <c r="E4" s="3433" t="s">
        <v>1768</v>
      </c>
      <c r="F4" s="3434"/>
      <c r="G4" s="3431" t="s">
        <v>1769</v>
      </c>
      <c r="H4" s="3432"/>
      <c r="I4" s="3431" t="s">
        <v>1770</v>
      </c>
      <c r="J4" s="3432"/>
      <c r="K4" s="537" t="s">
        <v>1771</v>
      </c>
      <c r="L4" s="2485"/>
      <c r="M4" s="2486"/>
      <c r="N4" s="2486"/>
      <c r="O4" s="2486"/>
      <c r="P4" s="3435" t="s">
        <v>1772</v>
      </c>
      <c r="Q4" s="3436"/>
      <c r="R4" s="3445" t="s">
        <v>1768</v>
      </c>
      <c r="S4" s="3446"/>
      <c r="T4" s="3445" t="s">
        <v>1769</v>
      </c>
      <c r="U4" s="3446"/>
      <c r="V4" s="3423" t="s">
        <v>1770</v>
      </c>
      <c r="W4" s="3423"/>
      <c r="X4" s="1263"/>
      <c r="Y4" s="3445" t="s">
        <v>1772</v>
      </c>
      <c r="Z4" s="3446"/>
      <c r="AA4" s="3428" t="s">
        <v>1768</v>
      </c>
      <c r="AB4" s="3429" t="s">
        <v>1769</v>
      </c>
      <c r="AC4" s="3428" t="s">
        <v>1770</v>
      </c>
    </row>
    <row r="5" spans="1:29">
      <c r="A5" s="348"/>
      <c r="B5" s="349"/>
      <c r="C5" s="3449" t="s">
        <v>1670</v>
      </c>
      <c r="D5" s="3450"/>
      <c r="E5" s="3441" t="s">
        <v>1671</v>
      </c>
      <c r="F5" s="3442"/>
      <c r="G5" s="3449" t="s">
        <v>1672</v>
      </c>
      <c r="H5" s="3450"/>
      <c r="I5" s="3449" t="s">
        <v>1673</v>
      </c>
      <c r="J5" s="3450"/>
      <c r="K5" s="537"/>
      <c r="L5" s="2485"/>
      <c r="M5" s="2486"/>
      <c r="N5" s="2486"/>
      <c r="O5" s="2486"/>
      <c r="P5" s="3437"/>
      <c r="Q5" s="3438"/>
      <c r="R5" s="3447"/>
      <c r="S5" s="3448"/>
      <c r="T5" s="3447"/>
      <c r="U5" s="3448"/>
      <c r="V5" s="3423"/>
      <c r="W5" s="3423"/>
      <c r="X5" s="1263"/>
      <c r="Y5" s="3447"/>
      <c r="Z5" s="3448"/>
      <c r="AA5" s="3429"/>
      <c r="AB5" s="3429"/>
      <c r="AC5" s="3429"/>
    </row>
    <row r="6" spans="1:29" ht="15" thickBot="1">
      <c r="A6" s="350"/>
      <c r="B6" s="351"/>
      <c r="C6" s="3479" t="s">
        <v>1674</v>
      </c>
      <c r="D6" s="3480"/>
      <c r="E6" s="3481" t="s">
        <v>1674</v>
      </c>
      <c r="F6" s="3482"/>
      <c r="G6" s="3479" t="s">
        <v>1674</v>
      </c>
      <c r="H6" s="3480"/>
      <c r="I6" s="3479" t="s">
        <v>1674</v>
      </c>
      <c r="J6" s="3480"/>
      <c r="K6" s="537" t="s">
        <v>1675</v>
      </c>
      <c r="L6" s="2485"/>
      <c r="M6" s="2486"/>
      <c r="N6" s="2486"/>
      <c r="O6" s="2486"/>
      <c r="P6" s="3439"/>
      <c r="Q6" s="3440"/>
      <c r="R6" s="3447"/>
      <c r="S6" s="3448"/>
      <c r="T6" s="3456"/>
      <c r="U6" s="3457"/>
      <c r="V6" s="3423"/>
      <c r="W6" s="3423"/>
      <c r="X6" s="1263"/>
      <c r="Y6" s="3456"/>
      <c r="Z6" s="3457"/>
      <c r="AA6" s="3430"/>
      <c r="AB6" s="3430"/>
      <c r="AC6" s="3430"/>
    </row>
    <row r="7" spans="1:29" s="102" customFormat="1" ht="15" thickBot="1">
      <c r="A7" s="352" t="s">
        <v>1676</v>
      </c>
      <c r="B7" s="353"/>
      <c r="C7" s="354">
        <f>'数据-取费表'!B2</f>
        <v>45470</v>
      </c>
      <c r="D7" s="355">
        <v>100</v>
      </c>
      <c r="E7" s="356"/>
      <c r="F7" s="357">
        <f>SUMIF(46:46,YEAR(E7)&amp;"-"&amp;MONTH(E7),47:47)</f>
        <v>0</v>
      </c>
      <c r="G7" s="1821"/>
      <c r="H7" s="355">
        <f>SUMIF(46:46,YEAR(G7)&amp;"-"&amp;MONTH(G7),47:47)</f>
        <v>0</v>
      </c>
      <c r="I7" s="356"/>
      <c r="J7" s="355">
        <f>SUMIF(46:46,YEAR(I7)&amp;"-"&amp;MONTH(I7),47:47)</f>
        <v>0</v>
      </c>
      <c r="K7" s="38"/>
      <c r="L7" s="2487"/>
      <c r="M7" s="2438"/>
      <c r="N7" s="2438"/>
      <c r="O7" s="2438"/>
      <c r="P7" s="3421" t="s">
        <v>1677</v>
      </c>
      <c r="Q7" s="3453"/>
      <c r="R7" s="664" t="s">
        <v>14</v>
      </c>
      <c r="S7" s="665">
        <f t="shared" ref="S7:S14" si="0">F7</f>
        <v>0</v>
      </c>
      <c r="T7" s="664" t="s">
        <v>14</v>
      </c>
      <c r="U7" s="665">
        <f t="shared" ref="U7:U14" si="1">H7</f>
        <v>0</v>
      </c>
      <c r="V7" s="664" t="s">
        <v>14</v>
      </c>
      <c r="W7" s="665">
        <f t="shared" ref="W7:W14" si="2">J7</f>
        <v>0</v>
      </c>
      <c r="X7" s="666"/>
      <c r="Y7" s="3421" t="s">
        <v>1677</v>
      </c>
      <c r="Z7" s="3422"/>
      <c r="AA7" s="50" t="e">
        <f>D7/F7</f>
        <v>#DIV/0!</v>
      </c>
      <c r="AB7" s="50" t="e">
        <f>D7/H7</f>
        <v>#DIV/0!</v>
      </c>
      <c r="AC7" s="50" t="e">
        <f>D7/J7</f>
        <v>#DIV/0!</v>
      </c>
    </row>
    <row r="8" spans="1:29" s="102" customFormat="1" ht="1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21" t="s">
        <v>1680</v>
      </c>
      <c r="Q8" s="3422"/>
      <c r="R8" s="664" t="s">
        <v>14</v>
      </c>
      <c r="S8" s="665">
        <f t="shared" si="0"/>
        <v>100</v>
      </c>
      <c r="T8" s="664" t="s">
        <v>14</v>
      </c>
      <c r="U8" s="665">
        <f t="shared" si="1"/>
        <v>100</v>
      </c>
      <c r="V8" s="664" t="s">
        <v>14</v>
      </c>
      <c r="W8" s="665">
        <f t="shared" si="2"/>
        <v>100</v>
      </c>
      <c r="X8" s="666"/>
      <c r="Y8" s="3421" t="s">
        <v>1680</v>
      </c>
      <c r="Z8" s="3422"/>
      <c r="AA8" s="50">
        <f t="shared" ref="AA8:AA34" si="3">D8/F8</f>
        <v>1</v>
      </c>
      <c r="AB8" s="50">
        <f t="shared" ref="AB8:AB34" si="4">D8/H8</f>
        <v>1</v>
      </c>
      <c r="AC8" s="50">
        <f t="shared" ref="AC8:AC34" si="5">D8/J8</f>
        <v>1</v>
      </c>
    </row>
    <row r="9" spans="1:29" s="102" customFormat="1" ht="14.4">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19" t="s">
        <v>1683</v>
      </c>
      <c r="Q9" s="530" t="str">
        <f t="shared" ref="Q9:Q14" si="6">B9</f>
        <v>用途</v>
      </c>
      <c r="R9" s="664" t="s">
        <v>14</v>
      </c>
      <c r="S9" s="665">
        <f t="shared" si="0"/>
        <v>100</v>
      </c>
      <c r="T9" s="664" t="s">
        <v>14</v>
      </c>
      <c r="U9" s="665">
        <f t="shared" si="1"/>
        <v>100</v>
      </c>
      <c r="V9" s="664" t="s">
        <v>14</v>
      </c>
      <c r="W9" s="665">
        <f t="shared" si="2"/>
        <v>100</v>
      </c>
      <c r="X9" s="666"/>
      <c r="Y9" s="3389" t="s">
        <v>1684</v>
      </c>
      <c r="Z9" s="50" t="str">
        <f t="shared" ref="Z9:Z14" si="7">Q9</f>
        <v>用途</v>
      </c>
      <c r="AA9" s="50">
        <f t="shared" si="3"/>
        <v>1</v>
      </c>
      <c r="AB9" s="50">
        <f t="shared" si="4"/>
        <v>1</v>
      </c>
      <c r="AC9" s="50">
        <f t="shared" si="5"/>
        <v>1</v>
      </c>
    </row>
    <row r="10" spans="1:29" s="366" customFormat="1" ht="28.8">
      <c r="A10" s="363"/>
      <c r="B10" s="364" t="s">
        <v>1685</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9"/>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9"/>
      <c r="Q11" s="530">
        <f t="shared" si="6"/>
        <v>111</v>
      </c>
      <c r="R11" s="664" t="s">
        <v>14</v>
      </c>
      <c r="S11" s="665">
        <f t="shared" si="0"/>
        <v>100</v>
      </c>
      <c r="T11" s="664" t="s">
        <v>14</v>
      </c>
      <c r="U11" s="665">
        <f t="shared" si="1"/>
        <v>100</v>
      </c>
      <c r="V11" s="664" t="s">
        <v>14</v>
      </c>
      <c r="W11" s="665">
        <f t="shared" si="2"/>
        <v>100</v>
      </c>
      <c r="X11" s="666"/>
      <c r="Y11" s="338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19"/>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96.6">
      <c r="A14" s="379" t="s">
        <v>1687</v>
      </c>
      <c r="B14" s="58" t="s">
        <v>1830</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4" t="s">
        <v>1688</v>
      </c>
      <c r="Q14" s="1261" t="str">
        <f t="shared" si="6"/>
        <v>交通便捷度</v>
      </c>
      <c r="R14" s="667" t="s">
        <v>14</v>
      </c>
      <c r="S14" s="668">
        <f t="shared" si="0"/>
        <v>100</v>
      </c>
      <c r="T14" s="667" t="s">
        <v>14</v>
      </c>
      <c r="U14" s="668">
        <f t="shared" si="1"/>
        <v>100</v>
      </c>
      <c r="V14" s="667" t="s">
        <v>14</v>
      </c>
      <c r="W14" s="668">
        <f t="shared" si="2"/>
        <v>100</v>
      </c>
      <c r="X14" s="1263"/>
      <c r="Y14" s="3424" t="s">
        <v>1688</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425"/>
      <c r="Q15" s="1261"/>
      <c r="R15" s="667"/>
      <c r="S15" s="668"/>
      <c r="T15" s="667"/>
      <c r="U15" s="668"/>
      <c r="V15" s="667"/>
      <c r="W15" s="668"/>
      <c r="X15" s="1263"/>
      <c r="Y15" s="3425"/>
      <c r="Z15" s="1262"/>
      <c r="AA15" s="1262">
        <v>1</v>
      </c>
      <c r="AB15" s="1262">
        <v>1</v>
      </c>
      <c r="AC15" s="1262">
        <v>1</v>
      </c>
    </row>
    <row r="16" spans="1:29" ht="41.4">
      <c r="A16" s="367"/>
      <c r="B16" s="390" t="s">
        <v>1809</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5"/>
      <c r="Q16" s="1261" t="str">
        <f>B16</f>
        <v>公共配套设施</v>
      </c>
      <c r="R16" s="667" t="s">
        <v>14</v>
      </c>
      <c r="S16" s="668">
        <f>F16</f>
        <v>100</v>
      </c>
      <c r="T16" s="667" t="s">
        <v>14</v>
      </c>
      <c r="U16" s="668">
        <f>H16</f>
        <v>100</v>
      </c>
      <c r="V16" s="667" t="s">
        <v>14</v>
      </c>
      <c r="W16" s="668">
        <f>J16</f>
        <v>100</v>
      </c>
      <c r="X16" s="1263"/>
      <c r="Y16" s="3425"/>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425"/>
      <c r="Q17" s="1261"/>
      <c r="R17" s="667"/>
      <c r="S17" s="668"/>
      <c r="T17" s="667"/>
      <c r="U17" s="668"/>
      <c r="V17" s="667"/>
      <c r="W17" s="668"/>
      <c r="X17" s="1263"/>
      <c r="Y17" s="3425"/>
      <c r="Z17" s="1262"/>
      <c r="AA17" s="1262">
        <v>1</v>
      </c>
      <c r="AB17" s="1262">
        <v>1</v>
      </c>
      <c r="AC17" s="1262">
        <v>1</v>
      </c>
    </row>
    <row r="18" spans="1:29" ht="41.4">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5"/>
      <c r="Q18" s="1261" t="str">
        <f>B18</f>
        <v>基础设施水平</v>
      </c>
      <c r="R18" s="667" t="s">
        <v>14</v>
      </c>
      <c r="S18" s="668">
        <f>F18</f>
        <v>100</v>
      </c>
      <c r="T18" s="667" t="s">
        <v>14</v>
      </c>
      <c r="U18" s="668">
        <f>H18</f>
        <v>100</v>
      </c>
      <c r="V18" s="667" t="s">
        <v>14</v>
      </c>
      <c r="W18" s="668">
        <f>J18</f>
        <v>100</v>
      </c>
      <c r="X18" s="1263"/>
      <c r="Y18" s="3425"/>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3"/>
      <c r="L19" s="2491"/>
      <c r="M19" s="2486"/>
      <c r="N19" s="2486"/>
      <c r="O19" s="2541"/>
      <c r="P19" s="3425"/>
      <c r="Q19" s="1261"/>
      <c r="R19" s="667"/>
      <c r="S19" s="668"/>
      <c r="T19" s="667"/>
      <c r="U19" s="668"/>
      <c r="V19" s="667"/>
      <c r="W19" s="668"/>
      <c r="X19" s="1263"/>
      <c r="Y19" s="3425"/>
      <c r="Z19" s="1262"/>
      <c r="AA19" s="1262">
        <v>1</v>
      </c>
      <c r="AB19" s="1262">
        <v>1</v>
      </c>
      <c r="AC19" s="1262">
        <v>1</v>
      </c>
    </row>
    <row r="20" spans="1:29" ht="55.2">
      <c r="A20" s="367"/>
      <c r="B20" s="390" t="s">
        <v>1831</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5"/>
      <c r="Q20" s="1261" t="str">
        <f>B20</f>
        <v>自然及人文环境</v>
      </c>
      <c r="R20" s="667" t="s">
        <v>14</v>
      </c>
      <c r="S20" s="668">
        <f>F20</f>
        <v>100</v>
      </c>
      <c r="T20" s="667" t="s">
        <v>14</v>
      </c>
      <c r="U20" s="668">
        <f>H20</f>
        <v>100</v>
      </c>
      <c r="V20" s="667" t="s">
        <v>14</v>
      </c>
      <c r="W20" s="668">
        <f>J20</f>
        <v>100</v>
      </c>
      <c r="X20" s="1263"/>
      <c r="Y20" s="3425"/>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425"/>
      <c r="Q21" s="1261"/>
      <c r="R21" s="667"/>
      <c r="S21" s="668"/>
      <c r="T21" s="667"/>
      <c r="U21" s="668"/>
      <c r="V21" s="667"/>
      <c r="W21" s="668"/>
      <c r="X21" s="1263"/>
      <c r="Y21" s="3425"/>
      <c r="Z21" s="1262"/>
      <c r="AA21" s="1262">
        <v>1</v>
      </c>
      <c r="AB21" s="1262">
        <v>1</v>
      </c>
      <c r="AC21" s="1262">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5"/>
      <c r="Q22" s="1261" t="str">
        <f>B22</f>
        <v>楼层</v>
      </c>
      <c r="R22" s="667" t="s">
        <v>14</v>
      </c>
      <c r="S22" s="668">
        <f>F22</f>
        <v>100</v>
      </c>
      <c r="T22" s="667" t="s">
        <v>14</v>
      </c>
      <c r="U22" s="668">
        <f>H22</f>
        <v>100</v>
      </c>
      <c r="V22" s="667" t="s">
        <v>14</v>
      </c>
      <c r="W22" s="668">
        <f>J22</f>
        <v>100</v>
      </c>
      <c r="X22" s="1263"/>
      <c r="Y22" s="3425"/>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5"/>
      <c r="Q23" s="1261">
        <f>B23</f>
        <v>111</v>
      </c>
      <c r="R23" s="667" t="s">
        <v>14</v>
      </c>
      <c r="S23" s="668">
        <f>F23</f>
        <v>100</v>
      </c>
      <c r="T23" s="667" t="s">
        <v>14</v>
      </c>
      <c r="U23" s="668">
        <f>H23</f>
        <v>100</v>
      </c>
      <c r="V23" s="667" t="s">
        <v>14</v>
      </c>
      <c r="W23" s="668">
        <f>J23</f>
        <v>100</v>
      </c>
      <c r="X23" s="1263"/>
      <c r="Y23" s="3425"/>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5"/>
      <c r="Q24" s="1261">
        <f t="shared" ref="Q24:Q34" si="11">B24</f>
        <v>111</v>
      </c>
      <c r="R24" s="667" t="s">
        <v>14</v>
      </c>
      <c r="S24" s="668">
        <f>F24</f>
        <v>100</v>
      </c>
      <c r="T24" s="667" t="s">
        <v>14</v>
      </c>
      <c r="U24" s="668">
        <f>H24</f>
        <v>100</v>
      </c>
      <c r="V24" s="667" t="s">
        <v>14</v>
      </c>
      <c r="W24" s="668">
        <f>J24</f>
        <v>100</v>
      </c>
      <c r="X24" s="1263"/>
      <c r="Y24" s="3425"/>
      <c r="Z24" s="1262">
        <f>Q24</f>
        <v>111</v>
      </c>
      <c r="AA24" s="1262">
        <f t="shared" si="3"/>
        <v>1</v>
      </c>
      <c r="AB24" s="1262">
        <f t="shared" si="4"/>
        <v>1</v>
      </c>
      <c r="AC24" s="1262">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425"/>
      <c r="Q25" s="530">
        <f t="shared" si="11"/>
        <v>111</v>
      </c>
      <c r="R25" s="664" t="s">
        <v>14</v>
      </c>
      <c r="S25" s="665">
        <f>F25</f>
        <v>100</v>
      </c>
      <c r="T25" s="664" t="s">
        <v>14</v>
      </c>
      <c r="U25" s="665">
        <f>H25</f>
        <v>100</v>
      </c>
      <c r="V25" s="664" t="s">
        <v>14</v>
      </c>
      <c r="W25" s="665">
        <f>J25</f>
        <v>100</v>
      </c>
      <c r="X25" s="666"/>
      <c r="Y25" s="3425"/>
      <c r="Z25" s="50">
        <f>Q25</f>
        <v>111</v>
      </c>
      <c r="AA25" s="1262">
        <f>D25/F25</f>
        <v>1</v>
      </c>
      <c r="AB25" s="1262">
        <f>D25/H25</f>
        <v>1</v>
      </c>
      <c r="AC25" s="1262">
        <f>D25/J25</f>
        <v>1</v>
      </c>
    </row>
    <row r="26" spans="1:29" ht="30">
      <c r="A26" s="404" t="s">
        <v>1691</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26" t="s">
        <v>1693</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27" t="s">
        <v>1693</v>
      </c>
      <c r="Z26" s="1262" t="str">
        <f t="shared" ref="Z26:Z34" si="15">Q26</f>
        <v>公共部分装修</v>
      </c>
      <c r="AA26" s="1262">
        <f t="shared" si="3"/>
        <v>1</v>
      </c>
      <c r="AB26" s="1262">
        <f t="shared" si="4"/>
        <v>1</v>
      </c>
      <c r="AC26" s="1262">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7"/>
      <c r="Q27" s="531" t="str">
        <f t="shared" si="11"/>
        <v>成新率</v>
      </c>
      <c r="R27" s="669" t="s">
        <v>14</v>
      </c>
      <c r="S27" s="670" t="e">
        <f t="shared" si="12"/>
        <v>#N/A</v>
      </c>
      <c r="T27" s="669" t="s">
        <v>14</v>
      </c>
      <c r="U27" s="670" t="e">
        <f t="shared" si="13"/>
        <v>#N/A</v>
      </c>
      <c r="V27" s="669" t="s">
        <v>14</v>
      </c>
      <c r="W27" s="670" t="e">
        <f t="shared" si="14"/>
        <v>#N/A</v>
      </c>
      <c r="X27" s="671"/>
      <c r="Y27" s="3427"/>
      <c r="Z27" s="672" t="str">
        <f t="shared" si="15"/>
        <v>成新率</v>
      </c>
      <c r="AA27" s="1262" t="e">
        <f t="shared" si="3"/>
        <v>#N/A</v>
      </c>
      <c r="AB27" s="1262" t="e">
        <f t="shared" si="4"/>
        <v>#N/A</v>
      </c>
      <c r="AC27" s="1262"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7"/>
      <c r="Q28" s="1261" t="str">
        <f t="shared" si="11"/>
        <v>物业等级</v>
      </c>
      <c r="R28" s="667" t="s">
        <v>14</v>
      </c>
      <c r="S28" s="668">
        <f t="shared" si="12"/>
        <v>100</v>
      </c>
      <c r="T28" s="667" t="s">
        <v>14</v>
      </c>
      <c r="U28" s="668">
        <f t="shared" si="13"/>
        <v>100</v>
      </c>
      <c r="V28" s="667" t="s">
        <v>14</v>
      </c>
      <c r="W28" s="668">
        <f t="shared" si="14"/>
        <v>100</v>
      </c>
      <c r="X28" s="1263"/>
      <c r="Y28" s="3427"/>
      <c r="Z28" s="1262" t="str">
        <f t="shared" si="15"/>
        <v>物业等级</v>
      </c>
      <c r="AA28" s="1262">
        <f t="shared" si="3"/>
        <v>1</v>
      </c>
      <c r="AB28" s="1262">
        <f t="shared" si="4"/>
        <v>1</v>
      </c>
      <c r="AC28" s="1262">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7"/>
      <c r="Q29" s="1261" t="str">
        <f t="shared" si="11"/>
        <v>有无电梯</v>
      </c>
      <c r="R29" s="667" t="s">
        <v>14</v>
      </c>
      <c r="S29" s="668">
        <f t="shared" si="12"/>
        <v>100</v>
      </c>
      <c r="T29" s="667" t="s">
        <v>14</v>
      </c>
      <c r="U29" s="668">
        <f t="shared" si="13"/>
        <v>100</v>
      </c>
      <c r="V29" s="667" t="s">
        <v>14</v>
      </c>
      <c r="W29" s="668">
        <f t="shared" si="14"/>
        <v>100</v>
      </c>
      <c r="X29" s="1263"/>
      <c r="Y29" s="3427"/>
      <c r="Z29" s="1262" t="str">
        <f t="shared" si="15"/>
        <v>有无电梯</v>
      </c>
      <c r="AA29" s="1262">
        <f t="shared" si="3"/>
        <v>1</v>
      </c>
      <c r="AB29" s="1262">
        <f t="shared" si="4"/>
        <v>1</v>
      </c>
      <c r="AC29" s="1262">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7"/>
      <c r="Q30" s="1261" t="str">
        <f t="shared" si="11"/>
        <v>建筑面积</v>
      </c>
      <c r="R30" s="667" t="s">
        <v>14</v>
      </c>
      <c r="S30" s="668" t="e">
        <f t="shared" si="12"/>
        <v>#N/A</v>
      </c>
      <c r="T30" s="667" t="s">
        <v>14</v>
      </c>
      <c r="U30" s="668" t="e">
        <f t="shared" si="13"/>
        <v>#N/A</v>
      </c>
      <c r="V30" s="667" t="s">
        <v>14</v>
      </c>
      <c r="W30" s="668" t="e">
        <f t="shared" si="14"/>
        <v>#N/A</v>
      </c>
      <c r="X30" s="1263"/>
      <c r="Y30" s="3427"/>
      <c r="Z30" s="1262" t="str">
        <f t="shared" si="15"/>
        <v>建筑面积</v>
      </c>
      <c r="AA30" s="1262" t="e">
        <f t="shared" si="3"/>
        <v>#N/A</v>
      </c>
      <c r="AB30" s="1262" t="e">
        <f t="shared" si="4"/>
        <v>#N/A</v>
      </c>
      <c r="AC30" s="1262"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27"/>
      <c r="Q31" s="530" t="str">
        <f t="shared" si="11"/>
        <v>是否封闭</v>
      </c>
      <c r="R31" s="664" t="s">
        <v>14</v>
      </c>
      <c r="S31" s="665">
        <f t="shared" si="12"/>
        <v>100</v>
      </c>
      <c r="T31" s="664" t="s">
        <v>14</v>
      </c>
      <c r="U31" s="665">
        <f t="shared" si="13"/>
        <v>100</v>
      </c>
      <c r="V31" s="664" t="s">
        <v>14</v>
      </c>
      <c r="W31" s="665">
        <f t="shared" si="14"/>
        <v>100</v>
      </c>
      <c r="X31" s="666"/>
      <c r="Y31" s="342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7" t="s">
        <v>1693</v>
      </c>
      <c r="Q32" s="1261">
        <f t="shared" si="11"/>
        <v>111</v>
      </c>
      <c r="R32" s="667" t="s">
        <v>14</v>
      </c>
      <c r="S32" s="668">
        <f t="shared" si="12"/>
        <v>100</v>
      </c>
      <c r="T32" s="667" t="s">
        <v>14</v>
      </c>
      <c r="U32" s="668">
        <f t="shared" si="13"/>
        <v>100</v>
      </c>
      <c r="V32" s="667" t="s">
        <v>14</v>
      </c>
      <c r="W32" s="668">
        <f t="shared" si="14"/>
        <v>100</v>
      </c>
      <c r="X32" s="1263"/>
      <c r="Y32" s="3427" t="s">
        <v>1693</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7"/>
      <c r="Q33" s="1261">
        <f t="shared" si="11"/>
        <v>111</v>
      </c>
      <c r="R33" s="667" t="s">
        <v>14</v>
      </c>
      <c r="S33" s="668">
        <f t="shared" si="12"/>
        <v>100</v>
      </c>
      <c r="T33" s="667" t="s">
        <v>14</v>
      </c>
      <c r="U33" s="668">
        <f t="shared" si="13"/>
        <v>100</v>
      </c>
      <c r="V33" s="667" t="s">
        <v>14</v>
      </c>
      <c r="W33" s="668">
        <f t="shared" si="14"/>
        <v>100</v>
      </c>
      <c r="X33" s="1263"/>
      <c r="Y33" s="3427"/>
      <c r="Z33" s="1262">
        <f t="shared" si="15"/>
        <v>111</v>
      </c>
      <c r="AA33" s="1262">
        <f t="shared" si="3"/>
        <v>1</v>
      </c>
      <c r="AB33" s="1262">
        <f t="shared" si="4"/>
        <v>1</v>
      </c>
      <c r="AC33" s="1262">
        <f t="shared" si="5"/>
        <v>1</v>
      </c>
    </row>
    <row r="34" spans="1:30" ht="15.6" thickBot="1">
      <c r="A34" s="415"/>
      <c r="B34" s="1747">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27"/>
      <c r="Q34" s="1261">
        <f t="shared" si="11"/>
        <v>111</v>
      </c>
      <c r="R34" s="667" t="s">
        <v>14</v>
      </c>
      <c r="S34" s="668">
        <f t="shared" si="12"/>
        <v>100</v>
      </c>
      <c r="T34" s="667" t="s">
        <v>14</v>
      </c>
      <c r="U34" s="668">
        <f t="shared" si="13"/>
        <v>100</v>
      </c>
      <c r="V34" s="667" t="s">
        <v>14</v>
      </c>
      <c r="W34" s="668">
        <f t="shared" si="14"/>
        <v>100</v>
      </c>
      <c r="X34" s="1263"/>
      <c r="Y34" s="3427"/>
      <c r="Z34" s="1262">
        <f t="shared" si="15"/>
        <v>111</v>
      </c>
      <c r="AA34" s="1262">
        <f t="shared" si="3"/>
        <v>1</v>
      </c>
      <c r="AB34" s="1262">
        <f t="shared" si="4"/>
        <v>1</v>
      </c>
      <c r="AC34" s="1262">
        <f t="shared" si="5"/>
        <v>1</v>
      </c>
    </row>
    <row r="35" spans="1:30" ht="14.4">
      <c r="A35" s="416" t="s">
        <v>1705</v>
      </c>
      <c r="B35" s="417"/>
      <c r="C35" s="1080" t="s">
        <v>0</v>
      </c>
      <c r="D35" s="418"/>
      <c r="E35" s="419"/>
      <c r="F35" s="420"/>
      <c r="G35" s="421"/>
      <c r="H35" s="422"/>
      <c r="I35" s="419"/>
      <c r="J35" s="422"/>
      <c r="K35" s="674"/>
      <c r="L35" s="2493"/>
      <c r="M35" s="2486"/>
      <c r="N35" s="2486"/>
      <c r="O35" s="2486"/>
      <c r="P35" s="3419" t="str">
        <f>A35</f>
        <v>成交单价（元/平方米）</v>
      </c>
      <c r="Q35" s="3419"/>
      <c r="R35" s="3423">
        <f>E35</f>
        <v>0</v>
      </c>
      <c r="S35" s="3423"/>
      <c r="T35" s="3423">
        <f>G35</f>
        <v>0</v>
      </c>
      <c r="U35" s="3423"/>
      <c r="V35" s="3423">
        <f>I35</f>
        <v>0</v>
      </c>
      <c r="W35" s="3423"/>
      <c r="X35" s="385"/>
      <c r="Y35" s="673"/>
      <c r="Z35" s="385"/>
      <c r="AA35" s="385"/>
      <c r="AB35" s="385"/>
      <c r="AC35" s="385"/>
    </row>
    <row r="36" spans="1:30" ht="15" thickBot="1">
      <c r="A36" s="423" t="s">
        <v>1790</v>
      </c>
      <c r="B36" s="424"/>
      <c r="C36" s="1081" t="e">
        <f>R37</f>
        <v>#DIV/0!</v>
      </c>
      <c r="D36" s="2140" t="s">
        <v>2134</v>
      </c>
      <c r="E36" s="1082" t="e">
        <f>R36</f>
        <v>#DIV/0!</v>
      </c>
      <c r="F36" s="2141"/>
      <c r="G36" s="1081" t="e">
        <f>T36</f>
        <v>#DIV/0!</v>
      </c>
      <c r="H36" s="2141"/>
      <c r="I36" s="1082" t="e">
        <f>V36</f>
        <v>#DIV/0!</v>
      </c>
      <c r="J36" s="2141"/>
      <c r="K36" s="2143">
        <f>F36+H36+J36</f>
        <v>0</v>
      </c>
      <c r="L36" s="2493"/>
      <c r="M36" s="2486"/>
      <c r="N36" s="2486"/>
      <c r="O36" s="2486"/>
      <c r="P36" s="3419" t="str">
        <f>A36</f>
        <v>比较价值（元/平方米）</v>
      </c>
      <c r="Q36" s="3419"/>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 thickBot="1">
      <c r="A37" s="427" t="s">
        <v>1791</v>
      </c>
      <c r="B37" s="428"/>
      <c r="C37" s="351" t="e">
        <f>R37</f>
        <v>#DIV/0!</v>
      </c>
      <c r="D37" s="351"/>
      <c r="E37" s="351"/>
      <c r="F37" s="351"/>
      <c r="G37" s="351"/>
      <c r="H37" s="351"/>
      <c r="I37" s="351"/>
      <c r="J37" s="351"/>
      <c r="K37" s="675"/>
      <c r="L37" s="2493"/>
      <c r="M37" s="2486"/>
      <c r="N37" s="2486"/>
      <c r="O37" s="2486"/>
      <c r="P37" s="3416" t="str">
        <f>A37</f>
        <v>估价对象XX用房的比较价值（楼面单价，元/平方米）</v>
      </c>
      <c r="Q37" s="3417"/>
      <c r="R37" s="3509" t="e">
        <f>IF(F1="售价",ROUND(IF(D36="简单平均",AVERAGE(R36:W36),R36*F36+T36*H36+V36*J36),0),ROUND(IF(D36="简单平均",AVERAGE(R36:V36),R36*F36+T36*H36+V36*J36),1))</f>
        <v>#DIV/0!</v>
      </c>
      <c r="S37" s="3509"/>
      <c r="T37" s="3509"/>
      <c r="U37" s="3509"/>
      <c r="V37" s="3509"/>
      <c r="W37" s="350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1795</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1676</v>
      </c>
      <c r="B46" s="441"/>
      <c r="C46" s="1101" t="str">
        <f>YEAR(C7)&amp;"-"&amp;MONTH(C7)</f>
        <v>2024-6</v>
      </c>
      <c r="D46" s="1102">
        <f>EDATE(C46,-1)</f>
        <v>45413</v>
      </c>
      <c r="E46" s="1102">
        <f t="shared" ref="E46:O46" si="16">EDATE(D46,-1)</f>
        <v>45383</v>
      </c>
      <c r="F46" s="1102">
        <f t="shared" si="16"/>
        <v>45352</v>
      </c>
      <c r="G46" s="1102">
        <f t="shared" si="16"/>
        <v>45323</v>
      </c>
      <c r="H46" s="1102">
        <f t="shared" si="16"/>
        <v>45292</v>
      </c>
      <c r="I46" s="1102">
        <f t="shared" si="16"/>
        <v>45261</v>
      </c>
      <c r="J46" s="1102">
        <f t="shared" si="16"/>
        <v>45231</v>
      </c>
      <c r="K46" s="1102">
        <f t="shared" si="16"/>
        <v>45200</v>
      </c>
      <c r="L46" s="1102">
        <f t="shared" si="16"/>
        <v>45170</v>
      </c>
      <c r="M46" s="1102">
        <f t="shared" si="16"/>
        <v>45139</v>
      </c>
      <c r="N46" s="1102">
        <f t="shared" si="16"/>
        <v>45108</v>
      </c>
      <c r="O46" s="1102">
        <f t="shared" si="16"/>
        <v>45078</v>
      </c>
      <c r="P46" s="2509"/>
      <c r="Q46" s="2509"/>
      <c r="R46" s="2509"/>
      <c r="S46" s="2509"/>
      <c r="T46" s="2509"/>
      <c r="U46" s="2509"/>
      <c r="V46" s="2509"/>
      <c r="W46" s="2509"/>
      <c r="X46" s="2509"/>
      <c r="Y46" s="2509"/>
      <c r="Z46" s="2509"/>
      <c r="AA46" s="2509"/>
      <c r="AB46" s="2509"/>
      <c r="AC46" s="2509"/>
      <c r="AD46" s="2509"/>
    </row>
    <row r="47" spans="1:30" s="102" customFormat="1">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1713</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1678</v>
      </c>
      <c r="B49" s="444"/>
      <c r="C49" s="456" t="s">
        <v>1773</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1716</v>
      </c>
      <c r="B51" s="460" t="s">
        <v>1682</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1685</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1860</v>
      </c>
      <c r="C63" s="509" t="s">
        <v>1718</v>
      </c>
      <c r="D63" s="509" t="s">
        <v>1719</v>
      </c>
      <c r="E63" s="509" t="s">
        <v>1720</v>
      </c>
      <c r="F63" s="509" t="s">
        <v>1721</v>
      </c>
      <c r="G63" s="509" t="s">
        <v>1722</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1810</v>
      </c>
      <c r="C65" s="581" t="s">
        <v>1796</v>
      </c>
      <c r="D65" s="581" t="s">
        <v>1797</v>
      </c>
      <c r="E65" s="581" t="s">
        <v>1798</v>
      </c>
      <c r="F65" s="581" t="s">
        <v>1799</v>
      </c>
      <c r="G65" s="581" t="s">
        <v>1800</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1730</v>
      </c>
      <c r="C67" s="509" t="s">
        <v>1718</v>
      </c>
      <c r="D67" s="509" t="s">
        <v>1719</v>
      </c>
      <c r="E67" s="509" t="s">
        <v>1720</v>
      </c>
      <c r="F67" s="509" t="s">
        <v>1721</v>
      </c>
      <c r="G67" s="509" t="s">
        <v>1722</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1849</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1691</v>
      </c>
      <c r="B77" s="460" t="s">
        <v>1737</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1853</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1861</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1863</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8 E8 G8 I8" xr:uid="{00000000-0002-0000-2600-000003000000}">
      <formula1>仓储交易情况</formula1>
    </dataValidation>
    <dataValidation type="list" allowBlank="1" showInputMessage="1" showErrorMessage="1" sqref="E9 G9 I9" xr:uid="{00000000-0002-0000-2600-000004000000}">
      <formula1>仓储用途</formula1>
    </dataValidation>
    <dataValidation type="list" allowBlank="1" showInputMessage="1" showErrorMessage="1" sqref="C21 E21 G21 I21" xr:uid="{00000000-0002-0000-2600-000005000000}">
      <formula1>环境</formula1>
    </dataValidation>
    <dataValidation type="list" allowBlank="1" showInputMessage="1" showErrorMessage="1" sqref="C22 E22 G22 I22" xr:uid="{00000000-0002-0000-2600-000006000000}">
      <formula1>仓储楼层</formula1>
    </dataValidation>
    <dataValidation type="list" allowBlank="1" showInputMessage="1" showErrorMessage="1" sqref="C26 E26 G26 I26" xr:uid="{00000000-0002-0000-2600-000007000000}">
      <formula1>仓储公共部分装修</formula1>
    </dataValidation>
    <dataValidation type="list" allowBlank="1" showInputMessage="1" showErrorMessage="1" sqref="C29 E29 G29 I29" xr:uid="{00000000-0002-0000-2600-000008000000}">
      <formula1>有无电梯</formula1>
    </dataValidation>
    <dataValidation type="list" allowBlank="1" showInputMessage="1" showErrorMessage="1" sqref="C31 E31 G31 I31" xr:uid="{00000000-0002-0000-2600-000009000000}">
      <formula1>是否封闭</formula1>
    </dataValidation>
    <dataValidation type="list" allowBlank="1" showInputMessage="1" showErrorMessage="1" sqref="B1" xr:uid="{00000000-0002-0000-2600-00000A000000}">
      <formula1>地类判定</formula1>
    </dataValidation>
    <dataValidation type="list" allowBlank="1" showInputMessage="1" showErrorMessage="1" sqref="C28 E28 G28 I28" xr:uid="{00000000-0002-0000-2600-00000B000000}">
      <formula1>仓储物业等级</formula1>
    </dataValidation>
    <dataValidation type="list" allowBlank="1" showInputMessage="1" showErrorMessage="1" sqref="C19 E19 G19 I19" xr:uid="{00000000-0002-0000-2600-00000C000000}">
      <formula1>基础设施水平</formula1>
    </dataValidation>
    <dataValidation type="list" allowBlank="1" showInputMessage="1" showErrorMessage="1" sqref="F1" xr:uid="{00000000-0002-0000-2600-00000D000000}">
      <formula1>"售价,租金"</formula1>
    </dataValidation>
    <dataValidation type="list" allowBlank="1" showInputMessage="1" showErrorMessage="1" sqref="C2" xr:uid="{00000000-0002-0000-2600-00000E000000}">
      <formula1>"需扣减承租人权益,——"</formula1>
    </dataValidation>
    <dataValidation type="list" allowBlank="1" showInputMessage="1" showErrorMessage="1" sqref="F2" xr:uid="{00000000-0002-0000-2600-00000F000000}">
      <formula1>估价方法</formula1>
    </dataValidation>
    <dataValidation type="list" allowBlank="1" showInputMessage="1" showErrorMessage="1" sqref="D36" xr:uid="{00000000-0002-0000-2600-000010000000}">
      <formula1>"简单平均,加权平均"</formula1>
    </dataValidation>
    <dataValidation type="list" allowBlank="1" showInputMessage="1" showErrorMessage="1" sqref="E1" xr:uid="{00000000-0002-0000-26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7.399999999999999">
      <c r="A3" s="3219" t="str">
        <f>IF(项目基本情况!B9="房地产市场价值","估价结果一览表（市场价值不需“结果表-1”）","估价结果一览表")</f>
        <v>估价结果一览表</v>
      </c>
      <c r="B3" s="3219"/>
      <c r="C3" s="3219"/>
      <c r="D3" s="3219"/>
      <c r="E3" s="3219"/>
    </row>
    <row r="4" spans="1:5" ht="18" thickBot="1">
      <c r="A4" s="1389"/>
      <c r="B4" s="3217" t="s">
        <v>917</v>
      </c>
      <c r="C4" s="3217"/>
      <c r="D4" s="3217"/>
      <c r="E4" s="1389"/>
    </row>
    <row r="5" spans="1:5" ht="16.2" thickTop="1">
      <c r="B5" s="3215" t="s">
        <v>909</v>
      </c>
      <c r="C5" s="1390" t="s">
        <v>910</v>
      </c>
      <c r="D5" s="796">
        <f ca="1">结果表!H101</f>
        <v>13644</v>
      </c>
    </row>
    <row r="6" spans="1:5" ht="15.6">
      <c r="B6" s="3215"/>
      <c r="C6" s="1390" t="s">
        <v>911</v>
      </c>
      <c r="D6" s="796" t="str">
        <f ca="1">NUMBERSTRING(INT(D5*10000),2)&amp;"元整"</f>
        <v>壹亿叁仟陆佰肆拾肆万元整</v>
      </c>
    </row>
    <row r="7" spans="1:5" ht="15.6">
      <c r="B7" s="3220"/>
      <c r="C7" s="1391" t="s">
        <v>912</v>
      </c>
      <c r="D7" s="797">
        <f ca="1">结果表!H102</f>
        <v>6810</v>
      </c>
    </row>
    <row r="8" spans="1:5" ht="15.6">
      <c r="B8" s="3221" t="str">
        <f>结果表!E103</f>
        <v>2.估价师知悉的法定优先受偿款</v>
      </c>
      <c r="C8" s="1392" t="s">
        <v>913</v>
      </c>
      <c r="D8" s="797">
        <f>结果表!H103</f>
        <v>0</v>
      </c>
    </row>
    <row r="9" spans="1:5" ht="15.6">
      <c r="B9" s="3223"/>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214" t="str">
        <f>结果表!E107</f>
        <v>3.房地产抵押价值</v>
      </c>
      <c r="C13" s="1395" t="s">
        <v>910</v>
      </c>
      <c r="D13" s="799">
        <f ca="1">结果表!H107</f>
        <v>13644</v>
      </c>
    </row>
    <row r="14" spans="1:5" ht="15.6">
      <c r="B14" s="3215"/>
      <c r="C14" s="1390" t="s">
        <v>911</v>
      </c>
      <c r="D14" s="796" t="str">
        <f ca="1">NUMBERSTRING(INT(D13*10000),2)&amp;"元整"</f>
        <v>壹亿叁仟陆佰肆拾肆万元整</v>
      </c>
    </row>
    <row r="15" spans="1:5" ht="15.6">
      <c r="B15" s="3220"/>
      <c r="C15" s="1391" t="s">
        <v>921</v>
      </c>
      <c r="D15" s="805">
        <f ca="1">结果表!H108</f>
        <v>6810</v>
      </c>
    </row>
    <row r="16" spans="1:5" ht="15.6">
      <c r="B16" s="3221" t="str">
        <f>结果表!E109</f>
        <v>——</v>
      </c>
      <c r="C16" s="1395" t="s">
        <v>922</v>
      </c>
      <c r="D16" s="1396" t="str">
        <f>结果表!H109</f>
        <v>——</v>
      </c>
    </row>
    <row r="17" spans="1:5" ht="15.6">
      <c r="B17" s="3222"/>
      <c r="C17" s="1390" t="s">
        <v>923</v>
      </c>
      <c r="D17" s="796" t="e">
        <f>NUMBERSTRING(INT(D16*10000),2)&amp;"元整"</f>
        <v>#VALUE!</v>
      </c>
    </row>
    <row r="18" spans="1:5" ht="15.6">
      <c r="B18" s="3223"/>
      <c r="C18" s="1391" t="s">
        <v>912</v>
      </c>
      <c r="D18" s="805" t="str">
        <f>结果表!H110</f>
        <v>——</v>
      </c>
    </row>
    <row r="19" spans="1:5" ht="15.6">
      <c r="B19" s="3214" t="str">
        <f>结果表!E111</f>
        <v>——</v>
      </c>
      <c r="C19" s="1395" t="s">
        <v>910</v>
      </c>
      <c r="D19" s="797" t="str">
        <f>结果表!H111</f>
        <v>——</v>
      </c>
    </row>
    <row r="20" spans="1:5" ht="15.6">
      <c r="B20" s="3215"/>
      <c r="C20" s="1390" t="s">
        <v>923</v>
      </c>
      <c r="D20" s="796" t="e">
        <f>NUMBERSTRING(INT(D19*10000),2)&amp;"元整"</f>
        <v>#VALUE!</v>
      </c>
    </row>
    <row r="21" spans="1:5" ht="16.2" thickBot="1">
      <c r="B21" s="3216"/>
      <c r="C21" s="1397" t="s">
        <v>921</v>
      </c>
      <c r="D21" s="806"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6"/>
      <c r="AC3" s="663"/>
    </row>
    <row r="4" spans="1:29" ht="14.4">
      <c r="A4" s="345" t="s">
        <v>1766</v>
      </c>
      <c r="B4" s="346"/>
      <c r="C4" s="3431" t="s">
        <v>1767</v>
      </c>
      <c r="D4" s="3432"/>
      <c r="E4" s="3433" t="s">
        <v>1768</v>
      </c>
      <c r="F4" s="3434"/>
      <c r="G4" s="3431" t="s">
        <v>1769</v>
      </c>
      <c r="H4" s="3432"/>
      <c r="I4" s="3431" t="s">
        <v>1770</v>
      </c>
      <c r="J4" s="3432"/>
      <c r="K4" s="537" t="s">
        <v>1771</v>
      </c>
      <c r="L4" s="2485"/>
      <c r="M4" s="2486"/>
      <c r="N4" s="2486"/>
      <c r="O4" s="2486"/>
      <c r="P4" s="3435" t="s">
        <v>1772</v>
      </c>
      <c r="Q4" s="3436"/>
      <c r="R4" s="3445" t="s">
        <v>1768</v>
      </c>
      <c r="S4" s="3446"/>
      <c r="T4" s="3445" t="s">
        <v>1769</v>
      </c>
      <c r="U4" s="3446"/>
      <c r="V4" s="3423" t="s">
        <v>1770</v>
      </c>
      <c r="W4" s="3423"/>
      <c r="X4" s="1263"/>
      <c r="Y4" s="3445" t="s">
        <v>1772</v>
      </c>
      <c r="Z4" s="3446"/>
      <c r="AA4" s="3428" t="s">
        <v>1768</v>
      </c>
      <c r="AB4" s="3429" t="s">
        <v>1769</v>
      </c>
      <c r="AC4" s="3428" t="s">
        <v>1770</v>
      </c>
    </row>
    <row r="5" spans="1:29">
      <c r="A5" s="348"/>
      <c r="B5" s="349"/>
      <c r="C5" s="3449" t="s">
        <v>1670</v>
      </c>
      <c r="D5" s="3450"/>
      <c r="E5" s="3441" t="s">
        <v>1671</v>
      </c>
      <c r="F5" s="3442"/>
      <c r="G5" s="3449" t="s">
        <v>1672</v>
      </c>
      <c r="H5" s="3450"/>
      <c r="I5" s="3449" t="s">
        <v>1673</v>
      </c>
      <c r="J5" s="3450"/>
      <c r="K5" s="537"/>
      <c r="L5" s="2485"/>
      <c r="M5" s="2486"/>
      <c r="N5" s="2486"/>
      <c r="O5" s="2486"/>
      <c r="P5" s="3437"/>
      <c r="Q5" s="3438"/>
      <c r="R5" s="3447"/>
      <c r="S5" s="3448"/>
      <c r="T5" s="3447"/>
      <c r="U5" s="3448"/>
      <c r="V5" s="3423"/>
      <c r="W5" s="3423"/>
      <c r="X5" s="1263"/>
      <c r="Y5" s="3447"/>
      <c r="Z5" s="3448"/>
      <c r="AA5" s="3429"/>
      <c r="AB5" s="3429"/>
      <c r="AC5" s="3429"/>
    </row>
    <row r="6" spans="1:29" ht="15" thickBot="1">
      <c r="A6" s="350"/>
      <c r="B6" s="351"/>
      <c r="C6" s="3479" t="s">
        <v>1674</v>
      </c>
      <c r="D6" s="3480"/>
      <c r="E6" s="3481" t="s">
        <v>1674</v>
      </c>
      <c r="F6" s="3482"/>
      <c r="G6" s="3479" t="s">
        <v>1674</v>
      </c>
      <c r="H6" s="3480"/>
      <c r="I6" s="3479" t="s">
        <v>1674</v>
      </c>
      <c r="J6" s="3480"/>
      <c r="K6" s="537" t="s">
        <v>1675</v>
      </c>
      <c r="L6" s="2485"/>
      <c r="M6" s="2486"/>
      <c r="N6" s="2486"/>
      <c r="O6" s="2486"/>
      <c r="P6" s="3439"/>
      <c r="Q6" s="3440"/>
      <c r="R6" s="3447"/>
      <c r="S6" s="3448"/>
      <c r="T6" s="3456"/>
      <c r="U6" s="3457"/>
      <c r="V6" s="3423"/>
      <c r="W6" s="3423"/>
      <c r="X6" s="1263"/>
      <c r="Y6" s="3456"/>
      <c r="Z6" s="3457"/>
      <c r="AA6" s="3430"/>
      <c r="AB6" s="3430"/>
      <c r="AC6" s="3430"/>
    </row>
    <row r="7" spans="1:29" s="102" customFormat="1" ht="15" thickBot="1">
      <c r="A7" s="352" t="s">
        <v>1676</v>
      </c>
      <c r="B7" s="353"/>
      <c r="C7" s="354">
        <f>'数据-取费表'!B2</f>
        <v>45470</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421" t="s">
        <v>1677</v>
      </c>
      <c r="Q7" s="3453"/>
      <c r="R7" s="664" t="s">
        <v>14</v>
      </c>
      <c r="S7" s="665">
        <f t="shared" ref="S7:S15" si="0">F7</f>
        <v>0</v>
      </c>
      <c r="T7" s="664" t="s">
        <v>14</v>
      </c>
      <c r="U7" s="665">
        <f t="shared" ref="U7:U15" si="1">H7</f>
        <v>0</v>
      </c>
      <c r="V7" s="664" t="s">
        <v>14</v>
      </c>
      <c r="W7" s="665">
        <f t="shared" ref="W7:W15" si="2">J7</f>
        <v>0</v>
      </c>
      <c r="X7" s="666"/>
      <c r="Y7" s="3421" t="s">
        <v>1677</v>
      </c>
      <c r="Z7" s="3422"/>
      <c r="AA7" s="50" t="e">
        <f>D7/F7</f>
        <v>#DIV/0!</v>
      </c>
      <c r="AB7" s="50" t="e">
        <f>D7/H7</f>
        <v>#DIV/0!</v>
      </c>
      <c r="AC7" s="50" t="e">
        <f>D7/J7</f>
        <v>#DIV/0!</v>
      </c>
    </row>
    <row r="8" spans="1:29" s="102" customFormat="1" ht="1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21" t="s">
        <v>1680</v>
      </c>
      <c r="Q8" s="3422"/>
      <c r="R8" s="664" t="s">
        <v>14</v>
      </c>
      <c r="S8" s="665">
        <f t="shared" si="0"/>
        <v>0</v>
      </c>
      <c r="T8" s="664" t="s">
        <v>14</v>
      </c>
      <c r="U8" s="665">
        <f t="shared" si="1"/>
        <v>0</v>
      </c>
      <c r="V8" s="664" t="s">
        <v>14</v>
      </c>
      <c r="W8" s="665">
        <f t="shared" si="2"/>
        <v>0</v>
      </c>
      <c r="X8" s="666"/>
      <c r="Y8" s="3421" t="s">
        <v>1680</v>
      </c>
      <c r="Z8" s="3422"/>
      <c r="AA8" s="50" t="e">
        <f t="shared" ref="AA8:AA45" si="3">D8/F8</f>
        <v>#DIV/0!</v>
      </c>
      <c r="AB8" s="50" t="e">
        <f t="shared" ref="AB8:AB45" si="4">D8/H8</f>
        <v>#DIV/0!</v>
      </c>
      <c r="AC8" s="50" t="e">
        <f t="shared" ref="AC8:AC45" si="5">D8/J8</f>
        <v>#DIV/0!</v>
      </c>
    </row>
    <row r="9" spans="1:29" s="102" customFormat="1" ht="14.4">
      <c r="A9" s="359" t="s">
        <v>1681</v>
      </c>
      <c r="B9" s="60" t="s">
        <v>1682</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419" t="s">
        <v>1683</v>
      </c>
      <c r="Q9" s="530" t="str">
        <f t="shared" ref="Q9:Q15" si="6">B9</f>
        <v>用途</v>
      </c>
      <c r="R9" s="664" t="s">
        <v>14</v>
      </c>
      <c r="S9" s="665">
        <f t="shared" si="0"/>
        <v>100</v>
      </c>
      <c r="T9" s="664" t="s">
        <v>14</v>
      </c>
      <c r="U9" s="665">
        <f t="shared" si="1"/>
        <v>100</v>
      </c>
      <c r="V9" s="664" t="s">
        <v>14</v>
      </c>
      <c r="W9" s="665">
        <f t="shared" si="2"/>
        <v>100</v>
      </c>
      <c r="X9" s="666"/>
      <c r="Y9" s="3389"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403"/>
      <c r="F10" s="119">
        <f>ROUND(100/'数据-取费表'!G16,0)</f>
        <v>116</v>
      </c>
      <c r="G10" s="402"/>
      <c r="H10" s="119">
        <f>ROUND(100/'数据-取费表'!G16,0)</f>
        <v>116</v>
      </c>
      <c r="I10" s="402"/>
      <c r="J10" s="119">
        <f>ROUND(100/'数据-取费表'!G16,0)</f>
        <v>116</v>
      </c>
      <c r="K10" s="592"/>
      <c r="L10" s="2488"/>
      <c r="M10" s="2489"/>
      <c r="N10" s="2489"/>
      <c r="O10" s="2540"/>
      <c r="P10" s="3419"/>
      <c r="Q10" s="530" t="str">
        <f t="shared" si="6"/>
        <v>土地使用年限（年）</v>
      </c>
      <c r="R10" s="664" t="s">
        <v>14</v>
      </c>
      <c r="S10" s="665">
        <f t="shared" si="0"/>
        <v>116</v>
      </c>
      <c r="T10" s="664" t="s">
        <v>14</v>
      </c>
      <c r="U10" s="665">
        <f t="shared" si="1"/>
        <v>116</v>
      </c>
      <c r="V10" s="664" t="s">
        <v>14</v>
      </c>
      <c r="W10" s="665">
        <f t="shared" si="2"/>
        <v>116</v>
      </c>
      <c r="X10" s="666"/>
      <c r="Y10" s="3389"/>
      <c r="Z10" s="50" t="str">
        <f t="shared" si="7"/>
        <v>土地使用年限（年）</v>
      </c>
      <c r="AA10" s="50">
        <f t="shared" si="3"/>
        <v>0.86206896551724133</v>
      </c>
      <c r="AB10" s="50">
        <f t="shared" si="4"/>
        <v>0.86206896551724133</v>
      </c>
      <c r="AC10" s="50">
        <f t="shared" si="5"/>
        <v>0.86206896551724133</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9"/>
      <c r="Q11" s="530" t="str">
        <f t="shared" si="6"/>
        <v>容积率</v>
      </c>
      <c r="R11" s="664" t="s">
        <v>14</v>
      </c>
      <c r="S11" s="665" t="e">
        <f t="shared" si="0"/>
        <v>#N/A</v>
      </c>
      <c r="T11" s="664" t="s">
        <v>14</v>
      </c>
      <c r="U11" s="665" t="e">
        <f t="shared" si="1"/>
        <v>#N/A</v>
      </c>
      <c r="V11" s="664" t="s">
        <v>14</v>
      </c>
      <c r="W11" s="665" t="e">
        <f t="shared" si="2"/>
        <v>#N/A</v>
      </c>
      <c r="X11" s="666"/>
      <c r="Y11" s="3389"/>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19"/>
      <c r="Q12" s="530" t="str">
        <f t="shared" si="6"/>
        <v>配建</v>
      </c>
      <c r="R12" s="664" t="s">
        <v>14</v>
      </c>
      <c r="S12" s="665">
        <f t="shared" si="0"/>
        <v>100</v>
      </c>
      <c r="T12" s="664" t="s">
        <v>14</v>
      </c>
      <c r="U12" s="665">
        <f t="shared" si="1"/>
        <v>100</v>
      </c>
      <c r="V12" s="664" t="s">
        <v>14</v>
      </c>
      <c r="W12" s="665">
        <f t="shared" si="2"/>
        <v>100</v>
      </c>
      <c r="X12" s="666"/>
      <c r="Y12" s="338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9"/>
      <c r="Q13" s="530">
        <f t="shared" si="6"/>
        <v>111</v>
      </c>
      <c r="R13" s="664" t="s">
        <v>14</v>
      </c>
      <c r="S13" s="665">
        <f t="shared" si="0"/>
        <v>100</v>
      </c>
      <c r="T13" s="664" t="s">
        <v>14</v>
      </c>
      <c r="U13" s="665">
        <f t="shared" si="1"/>
        <v>100</v>
      </c>
      <c r="V13" s="664" t="s">
        <v>14</v>
      </c>
      <c r="W13" s="665">
        <f t="shared" si="2"/>
        <v>100</v>
      </c>
      <c r="X13" s="666"/>
      <c r="Y13" s="3389"/>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9"/>
      <c r="Q14" s="530">
        <f t="shared" si="6"/>
        <v>111</v>
      </c>
      <c r="R14" s="664" t="s">
        <v>14</v>
      </c>
      <c r="S14" s="665">
        <f t="shared" si="0"/>
        <v>100</v>
      </c>
      <c r="T14" s="664" t="s">
        <v>14</v>
      </c>
      <c r="U14" s="665">
        <f t="shared" si="1"/>
        <v>100</v>
      </c>
      <c r="V14" s="664" t="s">
        <v>14</v>
      </c>
      <c r="W14" s="665">
        <f t="shared" si="2"/>
        <v>100</v>
      </c>
      <c r="X14" s="666"/>
      <c r="Y14" s="3389"/>
      <c r="Z14" s="50">
        <f t="shared" si="7"/>
        <v>111</v>
      </c>
      <c r="AA14" s="50">
        <f>D14/F14</f>
        <v>1</v>
      </c>
      <c r="AB14" s="50">
        <f>D14/H14</f>
        <v>1</v>
      </c>
      <c r="AC14" s="50">
        <f>D14/J14</f>
        <v>1</v>
      </c>
    </row>
    <row r="15" spans="1:29" ht="96.6">
      <c r="A15" s="379" t="s">
        <v>1687</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4" t="s">
        <v>1688</v>
      </c>
      <c r="Q15" s="1261" t="str">
        <f t="shared" si="6"/>
        <v>居住社区成熟度</v>
      </c>
      <c r="R15" s="667" t="s">
        <v>14</v>
      </c>
      <c r="S15" s="668">
        <f t="shared" si="0"/>
        <v>100</v>
      </c>
      <c r="T15" s="667" t="s">
        <v>14</v>
      </c>
      <c r="U15" s="668">
        <f t="shared" si="1"/>
        <v>100</v>
      </c>
      <c r="V15" s="667" t="s">
        <v>14</v>
      </c>
      <c r="W15" s="668">
        <f t="shared" si="2"/>
        <v>100</v>
      </c>
      <c r="X15" s="1263"/>
      <c r="Y15" s="3424" t="s">
        <v>1688</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1"/>
      <c r="M16" s="2486"/>
      <c r="N16" s="2486"/>
      <c r="O16" s="2541"/>
      <c r="P16" s="3425"/>
      <c r="Q16" s="1261"/>
      <c r="R16" s="667"/>
      <c r="S16" s="668"/>
      <c r="T16" s="667"/>
      <c r="U16" s="668"/>
      <c r="V16" s="667"/>
      <c r="W16" s="668"/>
      <c r="X16" s="1263"/>
      <c r="Y16" s="3425"/>
      <c r="Z16" s="1262"/>
      <c r="AA16" s="1262">
        <v>1</v>
      </c>
      <c r="AB16" s="1262">
        <v>1</v>
      </c>
      <c r="AC16" s="1262">
        <v>1</v>
      </c>
    </row>
    <row r="17" spans="1:29" ht="82.8">
      <c r="A17" s="367"/>
      <c r="B17" s="390" t="s">
        <v>1774</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5"/>
      <c r="Q17" s="1261" t="str">
        <f>B17</f>
        <v>商业繁华度</v>
      </c>
      <c r="R17" s="667" t="s">
        <v>14</v>
      </c>
      <c r="S17" s="668">
        <f>F17</f>
        <v>100</v>
      </c>
      <c r="T17" s="667" t="s">
        <v>14</v>
      </c>
      <c r="U17" s="668">
        <f>H17</f>
        <v>100</v>
      </c>
      <c r="V17" s="667" t="s">
        <v>14</v>
      </c>
      <c r="W17" s="668">
        <f>J17</f>
        <v>100</v>
      </c>
      <c r="X17" s="1263"/>
      <c r="Y17" s="3425"/>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1"/>
      <c r="M18" s="2486"/>
      <c r="N18" s="2486"/>
      <c r="O18" s="2541"/>
      <c r="P18" s="3425"/>
      <c r="Q18" s="1261"/>
      <c r="R18" s="667"/>
      <c r="S18" s="668"/>
      <c r="T18" s="667"/>
      <c r="U18" s="668"/>
      <c r="V18" s="667"/>
      <c r="W18" s="668"/>
      <c r="X18" s="1263"/>
      <c r="Y18" s="3425"/>
      <c r="Z18" s="1262"/>
      <c r="AA18" s="1262">
        <v>1</v>
      </c>
      <c r="AB18" s="1262">
        <v>1</v>
      </c>
      <c r="AC18" s="1262">
        <v>1</v>
      </c>
    </row>
    <row r="19" spans="1:29" ht="82.8">
      <c r="A19" s="367"/>
      <c r="B19" s="390" t="s">
        <v>1808</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5"/>
      <c r="Q19" s="1261" t="str">
        <f>B19</f>
        <v>办公集聚程度</v>
      </c>
      <c r="R19" s="667" t="s">
        <v>14</v>
      </c>
      <c r="S19" s="668">
        <f>F19</f>
        <v>100</v>
      </c>
      <c r="T19" s="667" t="s">
        <v>14</v>
      </c>
      <c r="U19" s="668">
        <f>H19</f>
        <v>100</v>
      </c>
      <c r="V19" s="667" t="s">
        <v>14</v>
      </c>
      <c r="W19" s="668">
        <f>J19</f>
        <v>100</v>
      </c>
      <c r="X19" s="1263"/>
      <c r="Y19" s="3425"/>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1"/>
      <c r="M20" s="2486"/>
      <c r="N20" s="2486"/>
      <c r="O20" s="2541"/>
      <c r="P20" s="3425"/>
      <c r="Q20" s="1261"/>
      <c r="R20" s="667"/>
      <c r="S20" s="668"/>
      <c r="T20" s="667"/>
      <c r="U20" s="668"/>
      <c r="V20" s="667"/>
      <c r="W20" s="668"/>
      <c r="X20" s="1263"/>
      <c r="Y20" s="3425"/>
      <c r="Z20" s="1262"/>
      <c r="AA20" s="1262">
        <v>1</v>
      </c>
      <c r="AB20" s="1262">
        <v>1</v>
      </c>
      <c r="AC20" s="1262">
        <v>1</v>
      </c>
    </row>
    <row r="21" spans="1:29" ht="96.6">
      <c r="A21" s="367"/>
      <c r="B21" s="390" t="s">
        <v>1830</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5"/>
      <c r="Q21" s="1261" t="str">
        <f>B21</f>
        <v>交通便捷度</v>
      </c>
      <c r="R21" s="667" t="s">
        <v>14</v>
      </c>
      <c r="S21" s="668">
        <f>F21</f>
        <v>100</v>
      </c>
      <c r="T21" s="667" t="s">
        <v>14</v>
      </c>
      <c r="U21" s="668">
        <f>H21</f>
        <v>100</v>
      </c>
      <c r="V21" s="667" t="s">
        <v>14</v>
      </c>
      <c r="W21" s="668">
        <f>J21</f>
        <v>100</v>
      </c>
      <c r="X21" s="1263"/>
      <c r="Y21" s="3425"/>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1"/>
      <c r="M22" s="2486"/>
      <c r="N22" s="2486"/>
      <c r="O22" s="2541"/>
      <c r="P22" s="3425"/>
      <c r="Q22" s="1261"/>
      <c r="R22" s="667"/>
      <c r="S22" s="668"/>
      <c r="T22" s="667"/>
      <c r="U22" s="668"/>
      <c r="V22" s="667"/>
      <c r="W22" s="668"/>
      <c r="X22" s="1263"/>
      <c r="Y22" s="3425"/>
      <c r="Z22" s="1262"/>
      <c r="AA22" s="1262">
        <v>1</v>
      </c>
      <c r="AB22" s="1262">
        <v>1</v>
      </c>
      <c r="AC22" s="1262">
        <v>1</v>
      </c>
    </row>
    <row r="23" spans="1:29" ht="28.8">
      <c r="A23" s="348"/>
      <c r="B23" s="390" t="s">
        <v>1868</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5"/>
      <c r="Q23" s="1261" t="str">
        <f t="shared" ref="Q23:Q37" si="8">B23</f>
        <v>区域土地利用方向</v>
      </c>
      <c r="R23" s="667" t="s">
        <v>14</v>
      </c>
      <c r="S23" s="668">
        <f>F23</f>
        <v>100</v>
      </c>
      <c r="T23" s="667" t="s">
        <v>14</v>
      </c>
      <c r="U23" s="668">
        <f>H23</f>
        <v>100</v>
      </c>
      <c r="V23" s="667" t="s">
        <v>14</v>
      </c>
      <c r="W23" s="668">
        <f>J23</f>
        <v>100</v>
      </c>
      <c r="X23" s="1263"/>
      <c r="Y23" s="3425"/>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425"/>
      <c r="Q24" s="1261"/>
      <c r="R24" s="667"/>
      <c r="S24" s="668"/>
      <c r="T24" s="667"/>
      <c r="U24" s="668"/>
      <c r="V24" s="667"/>
      <c r="W24" s="668"/>
      <c r="X24" s="1263"/>
      <c r="Y24" s="3425"/>
      <c r="Z24" s="1262"/>
      <c r="AA24" s="1262"/>
      <c r="AB24" s="1262"/>
      <c r="AC24" s="1262"/>
    </row>
    <row r="25" spans="1:29" ht="55.2">
      <c r="A25" s="348"/>
      <c r="B25" s="586" t="s">
        <v>1869</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5"/>
      <c r="Q25" s="1261" t="str">
        <f t="shared" si="8"/>
        <v>自然及人文环境状况</v>
      </c>
      <c r="R25" s="667" t="s">
        <v>14</v>
      </c>
      <c r="S25" s="668">
        <f>F25</f>
        <v>100</v>
      </c>
      <c r="T25" s="667" t="s">
        <v>14</v>
      </c>
      <c r="U25" s="668">
        <f>H25</f>
        <v>100</v>
      </c>
      <c r="V25" s="667" t="s">
        <v>14</v>
      </c>
      <c r="W25" s="668">
        <f>J25</f>
        <v>100</v>
      </c>
      <c r="X25" s="1263"/>
      <c r="Y25" s="3425"/>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1"/>
      <c r="M26" s="2486"/>
      <c r="N26" s="2486"/>
      <c r="O26" s="2541"/>
      <c r="P26" s="3425"/>
      <c r="Q26" s="1261"/>
      <c r="R26" s="667"/>
      <c r="S26" s="668"/>
      <c r="T26" s="667"/>
      <c r="U26" s="668"/>
      <c r="V26" s="667"/>
      <c r="W26" s="668"/>
      <c r="X26" s="1263"/>
      <c r="Y26" s="3425"/>
      <c r="Z26" s="1262"/>
      <c r="AA26" s="1262">
        <v>1</v>
      </c>
      <c r="AB26" s="1262">
        <v>1</v>
      </c>
      <c r="AC26" s="1262">
        <v>1</v>
      </c>
    </row>
    <row r="27" spans="1:29" s="102" customFormat="1" ht="41.4">
      <c r="A27" s="443"/>
      <c r="B27" s="586" t="s">
        <v>1775</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2">
        <f>D27/F27</f>
        <v>1</v>
      </c>
      <c r="AB27" s="1262">
        <f>D27/H27</f>
        <v>1</v>
      </c>
      <c r="AC27" s="1262">
        <f>D27/J27</f>
        <v>1</v>
      </c>
    </row>
    <row r="28" spans="1:29" s="102" customFormat="1" ht="15">
      <c r="A28" s="443"/>
      <c r="B28" s="395"/>
      <c r="C28" s="1825"/>
      <c r="D28" s="387"/>
      <c r="E28" s="1756"/>
      <c r="F28" s="387"/>
      <c r="G28" s="1756"/>
      <c r="H28" s="387"/>
      <c r="I28" s="386"/>
      <c r="J28" s="387"/>
      <c r="K28" s="592"/>
      <c r="L28" s="2487"/>
      <c r="M28" s="2438"/>
      <c r="N28" s="2438"/>
      <c r="O28" s="2539"/>
      <c r="P28" s="3425"/>
      <c r="Q28" s="530"/>
      <c r="R28" s="664"/>
      <c r="S28" s="665"/>
      <c r="T28" s="664"/>
      <c r="U28" s="665"/>
      <c r="V28" s="664"/>
      <c r="W28" s="665"/>
      <c r="X28" s="666"/>
      <c r="Y28" s="3425"/>
      <c r="Z28" s="50"/>
      <c r="AA28" s="1262">
        <v>1</v>
      </c>
      <c r="AB28" s="1262">
        <v>1</v>
      </c>
      <c r="AC28" s="1262">
        <v>1</v>
      </c>
    </row>
    <row r="29" spans="1:29" s="102" customFormat="1" ht="41.4">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2">
        <f>D29/F29</f>
        <v>1</v>
      </c>
      <c r="AB29" s="1262">
        <f>D29/H29</f>
        <v>1</v>
      </c>
      <c r="AC29" s="1262">
        <f>D29/J29</f>
        <v>1</v>
      </c>
    </row>
    <row r="30" spans="1:29" s="102" customFormat="1" ht="15">
      <c r="A30" s="443"/>
      <c r="B30" s="395"/>
      <c r="C30" s="1825"/>
      <c r="D30" s="387"/>
      <c r="E30" s="1826"/>
      <c r="F30" s="387"/>
      <c r="G30" s="1826"/>
      <c r="H30" s="387"/>
      <c r="I30" s="1826"/>
      <c r="J30" s="387"/>
      <c r="K30" s="592"/>
      <c r="L30" s="2487"/>
      <c r="M30" s="2438"/>
      <c r="N30" s="2438"/>
      <c r="O30" s="2539"/>
      <c r="P30" s="3425"/>
      <c r="Q30" s="530"/>
      <c r="R30" s="664"/>
      <c r="S30" s="665"/>
      <c r="T30" s="664"/>
      <c r="U30" s="665"/>
      <c r="V30" s="664"/>
      <c r="W30" s="665"/>
      <c r="X30" s="666"/>
      <c r="Y30" s="3425"/>
      <c r="Z30" s="50"/>
      <c r="AA30" s="1262">
        <v>1</v>
      </c>
      <c r="AB30" s="1262">
        <v>1</v>
      </c>
      <c r="AC30" s="1262">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5"/>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25"/>
      <c r="Z31" s="1262" t="str">
        <f t="shared" ref="Z31:Z45" si="13">Q31</f>
        <v>临街状况</v>
      </c>
      <c r="AA31" s="1262">
        <f t="shared" si="3"/>
        <v>1</v>
      </c>
      <c r="AB31" s="1262">
        <f t="shared" si="4"/>
        <v>1</v>
      </c>
      <c r="AC31" s="1262">
        <f t="shared" si="5"/>
        <v>1</v>
      </c>
    </row>
    <row r="32" spans="1:29" ht="28.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5"/>
      <c r="Q32" s="1261" t="str">
        <f t="shared" si="8"/>
        <v>毗邻道路的类型与等级</v>
      </c>
      <c r="R32" s="667" t="s">
        <v>14</v>
      </c>
      <c r="S32" s="668">
        <f t="shared" si="10"/>
        <v>100</v>
      </c>
      <c r="T32" s="667" t="s">
        <v>14</v>
      </c>
      <c r="U32" s="668">
        <f t="shared" si="11"/>
        <v>100</v>
      </c>
      <c r="V32" s="667" t="s">
        <v>14</v>
      </c>
      <c r="W32" s="668">
        <f t="shared" si="12"/>
        <v>100</v>
      </c>
      <c r="X32" s="1263"/>
      <c r="Y32" s="3425"/>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425"/>
      <c r="Q33" s="1261"/>
      <c r="R33" s="667"/>
      <c r="S33" s="668"/>
      <c r="T33" s="667"/>
      <c r="U33" s="668"/>
      <c r="V33" s="667"/>
      <c r="W33" s="668"/>
      <c r="X33" s="1263"/>
      <c r="Y33" s="3425"/>
      <c r="Z33" s="1262"/>
      <c r="AA33" s="1262">
        <v>1</v>
      </c>
      <c r="AB33" s="1262">
        <v>1</v>
      </c>
      <c r="AC33" s="1262">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5"/>
      <c r="Q34" s="1261" t="str">
        <f t="shared" si="8"/>
        <v>土地级别</v>
      </c>
      <c r="R34" s="667" t="s">
        <v>14</v>
      </c>
      <c r="S34" s="668">
        <f t="shared" si="10"/>
        <v>100</v>
      </c>
      <c r="T34" s="667" t="s">
        <v>14</v>
      </c>
      <c r="U34" s="668">
        <f t="shared" si="11"/>
        <v>100</v>
      </c>
      <c r="V34" s="667" t="s">
        <v>14</v>
      </c>
      <c r="W34" s="668">
        <f t="shared" si="12"/>
        <v>100</v>
      </c>
      <c r="X34" s="1263"/>
      <c r="Y34" s="3425"/>
      <c r="Z34" s="1262" t="str">
        <f t="shared" si="13"/>
        <v>土地级别</v>
      </c>
      <c r="AA34" s="1262">
        <f t="shared" si="3"/>
        <v>1</v>
      </c>
      <c r="AB34" s="1262">
        <f t="shared" si="4"/>
        <v>1</v>
      </c>
      <c r="AC34" s="1262">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5"/>
      <c r="Q35" s="1261">
        <f t="shared" si="8"/>
        <v>111</v>
      </c>
      <c r="R35" s="667" t="s">
        <v>14</v>
      </c>
      <c r="S35" s="668">
        <f t="shared" si="10"/>
        <v>100</v>
      </c>
      <c r="T35" s="667" t="s">
        <v>14</v>
      </c>
      <c r="U35" s="668">
        <f t="shared" si="11"/>
        <v>100</v>
      </c>
      <c r="V35" s="667" t="s">
        <v>14</v>
      </c>
      <c r="W35" s="668">
        <f t="shared" si="12"/>
        <v>100</v>
      </c>
      <c r="X35" s="1263"/>
      <c r="Y35" s="3425"/>
      <c r="Z35" s="1262">
        <f t="shared" si="13"/>
        <v>111</v>
      </c>
      <c r="AA35" s="1262">
        <f t="shared" si="3"/>
        <v>1</v>
      </c>
      <c r="AB35" s="1262">
        <f t="shared" si="4"/>
        <v>1</v>
      </c>
      <c r="AC35" s="1262">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6" t="s">
        <v>1693</v>
      </c>
      <c r="Q36" s="1261">
        <f t="shared" si="8"/>
        <v>111</v>
      </c>
      <c r="R36" s="667" t="s">
        <v>14</v>
      </c>
      <c r="S36" s="668">
        <f t="shared" si="10"/>
        <v>100</v>
      </c>
      <c r="T36" s="667" t="s">
        <v>14</v>
      </c>
      <c r="U36" s="668">
        <f t="shared" si="11"/>
        <v>100</v>
      </c>
      <c r="V36" s="667" t="s">
        <v>14</v>
      </c>
      <c r="W36" s="668">
        <f t="shared" si="12"/>
        <v>100</v>
      </c>
      <c r="X36" s="1263"/>
      <c r="Y36" s="3427" t="s">
        <v>1693</v>
      </c>
      <c r="Z36" s="1262">
        <f t="shared" si="13"/>
        <v>111</v>
      </c>
      <c r="AA36" s="1262">
        <f t="shared" si="3"/>
        <v>1</v>
      </c>
      <c r="AB36" s="1262">
        <f t="shared" si="4"/>
        <v>1</v>
      </c>
      <c r="AC36" s="1262">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7"/>
      <c r="Q37" s="1261">
        <f t="shared" si="8"/>
        <v>111</v>
      </c>
      <c r="R37" s="669" t="s">
        <v>14</v>
      </c>
      <c r="S37" s="670">
        <f t="shared" si="10"/>
        <v>100</v>
      </c>
      <c r="T37" s="669" t="s">
        <v>14</v>
      </c>
      <c r="U37" s="670">
        <f t="shared" si="11"/>
        <v>100</v>
      </c>
      <c r="V37" s="669" t="s">
        <v>14</v>
      </c>
      <c r="W37" s="670">
        <f t="shared" si="12"/>
        <v>100</v>
      </c>
      <c r="X37" s="671"/>
      <c r="Y37" s="3427"/>
      <c r="Z37" s="672">
        <f t="shared" si="13"/>
        <v>111</v>
      </c>
      <c r="AA37" s="1262">
        <f t="shared" si="3"/>
        <v>1</v>
      </c>
      <c r="AB37" s="1262">
        <f t="shared" si="4"/>
        <v>1</v>
      </c>
      <c r="AC37" s="1262">
        <f t="shared" si="5"/>
        <v>1</v>
      </c>
    </row>
    <row r="38" spans="1:29" ht="15.6">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7"/>
      <c r="Q38" s="1261" t="str">
        <f>B38</f>
        <v>宗地面积</v>
      </c>
      <c r="R38" s="667" t="s">
        <v>14</v>
      </c>
      <c r="S38" s="668" t="e">
        <f t="shared" si="10"/>
        <v>#N/A</v>
      </c>
      <c r="T38" s="667" t="s">
        <v>14</v>
      </c>
      <c r="U38" s="668" t="e">
        <f t="shared" si="11"/>
        <v>#N/A</v>
      </c>
      <c r="V38" s="667" t="s">
        <v>14</v>
      </c>
      <c r="W38" s="668" t="e">
        <f t="shared" si="12"/>
        <v>#N/A</v>
      </c>
      <c r="X38" s="1263"/>
      <c r="Y38" s="3427"/>
      <c r="Z38" s="1262" t="str">
        <f t="shared" si="13"/>
        <v>宗地面积</v>
      </c>
      <c r="AA38" s="1262" t="e">
        <f t="shared" si="3"/>
        <v>#N/A</v>
      </c>
      <c r="AB38" s="1262" t="e">
        <f t="shared" si="4"/>
        <v>#N/A</v>
      </c>
      <c r="AC38" s="1262" t="e">
        <f t="shared" si="5"/>
        <v>#N/A</v>
      </c>
    </row>
    <row r="39" spans="1:29" ht="15">
      <c r="A39" s="409"/>
      <c r="B39" s="364" t="s">
        <v>1872</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427"/>
      <c r="Q39" s="1261" t="str">
        <f t="shared" ref="Q39:Q45" si="14">B39</f>
        <v>宗地形状</v>
      </c>
      <c r="R39" s="667" t="s">
        <v>14</v>
      </c>
      <c r="S39" s="668">
        <f t="shared" si="10"/>
        <v>100</v>
      </c>
      <c r="T39" s="667" t="s">
        <v>14</v>
      </c>
      <c r="U39" s="668">
        <f t="shared" si="11"/>
        <v>100</v>
      </c>
      <c r="V39" s="667" t="s">
        <v>14</v>
      </c>
      <c r="W39" s="668">
        <f t="shared" si="12"/>
        <v>100</v>
      </c>
      <c r="X39" s="1263"/>
      <c r="Y39" s="3427"/>
      <c r="Z39" s="1262" t="str">
        <f t="shared" si="13"/>
        <v>宗地形状</v>
      </c>
      <c r="AA39" s="1262">
        <f t="shared" si="3"/>
        <v>1</v>
      </c>
      <c r="AB39" s="1262">
        <f t="shared" si="4"/>
        <v>1</v>
      </c>
      <c r="AC39" s="1262">
        <f t="shared" si="5"/>
        <v>1</v>
      </c>
    </row>
    <row r="40" spans="1:29" ht="15">
      <c r="A40" s="409"/>
      <c r="B40" s="364" t="s">
        <v>1873</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427"/>
      <c r="Q40" s="1261" t="str">
        <f t="shared" si="14"/>
        <v>临街宽度及深度</v>
      </c>
      <c r="R40" s="667" t="s">
        <v>14</v>
      </c>
      <c r="S40" s="668">
        <f t="shared" si="10"/>
        <v>100</v>
      </c>
      <c r="T40" s="667" t="s">
        <v>14</v>
      </c>
      <c r="U40" s="668">
        <f t="shared" si="11"/>
        <v>100</v>
      </c>
      <c r="V40" s="667" t="s">
        <v>14</v>
      </c>
      <c r="W40" s="668">
        <f t="shared" si="12"/>
        <v>100</v>
      </c>
      <c r="X40" s="1263"/>
      <c r="Y40" s="3427"/>
      <c r="Z40" s="1262" t="str">
        <f t="shared" si="13"/>
        <v>临街宽度及深度</v>
      </c>
      <c r="AA40" s="1262">
        <f t="shared" si="3"/>
        <v>1</v>
      </c>
      <c r="AB40" s="1262">
        <f t="shared" si="4"/>
        <v>1</v>
      </c>
      <c r="AC40" s="1262">
        <f t="shared" si="5"/>
        <v>1</v>
      </c>
    </row>
    <row r="41" spans="1:29" s="102" customFormat="1" ht="15">
      <c r="A41" s="410"/>
      <c r="B41" s="364" t="s">
        <v>1874</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427"/>
      <c r="Q41" s="1261" t="str">
        <f t="shared" si="14"/>
        <v>宗地开发程度</v>
      </c>
      <c r="R41" s="664" t="s">
        <v>14</v>
      </c>
      <c r="S41" s="665">
        <f t="shared" si="10"/>
        <v>100</v>
      </c>
      <c r="T41" s="664" t="s">
        <v>14</v>
      </c>
      <c r="U41" s="665">
        <f t="shared" si="11"/>
        <v>100</v>
      </c>
      <c r="V41" s="664" t="s">
        <v>14</v>
      </c>
      <c r="W41" s="665">
        <f t="shared" si="12"/>
        <v>100</v>
      </c>
      <c r="X41" s="666"/>
      <c r="Y41" s="3427"/>
      <c r="Z41" s="50" t="str">
        <f t="shared" si="13"/>
        <v>宗地开发程度</v>
      </c>
      <c r="AA41" s="50">
        <f t="shared" si="3"/>
        <v>1</v>
      </c>
      <c r="AB41" s="50">
        <f t="shared" si="4"/>
        <v>1</v>
      </c>
      <c r="AC41" s="50">
        <f t="shared" si="5"/>
        <v>1</v>
      </c>
    </row>
    <row r="42" spans="1:29" ht="15">
      <c r="A42" s="409"/>
      <c r="B42" s="364" t="s">
        <v>1875</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427" t="s">
        <v>1693</v>
      </c>
      <c r="Q42" s="1261" t="str">
        <f t="shared" si="14"/>
        <v>工程地质条件</v>
      </c>
      <c r="R42" s="667" t="s">
        <v>14</v>
      </c>
      <c r="S42" s="668">
        <f t="shared" si="10"/>
        <v>100</v>
      </c>
      <c r="T42" s="667" t="s">
        <v>14</v>
      </c>
      <c r="U42" s="668">
        <f t="shared" si="11"/>
        <v>100</v>
      </c>
      <c r="V42" s="667" t="s">
        <v>14</v>
      </c>
      <c r="W42" s="668">
        <f t="shared" si="12"/>
        <v>100</v>
      </c>
      <c r="X42" s="1263"/>
      <c r="Y42" s="3427" t="s">
        <v>1693</v>
      </c>
      <c r="Z42" s="1262" t="str">
        <f t="shared" si="13"/>
        <v>工程地质条件</v>
      </c>
      <c r="AA42" s="1262">
        <f t="shared" si="3"/>
        <v>1</v>
      </c>
      <c r="AB42" s="1262">
        <f t="shared" si="4"/>
        <v>1</v>
      </c>
      <c r="AC42" s="1262">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7"/>
      <c r="Q43" s="1261">
        <f t="shared" si="14"/>
        <v>111</v>
      </c>
      <c r="R43" s="667" t="s">
        <v>14</v>
      </c>
      <c r="S43" s="668">
        <f t="shared" si="10"/>
        <v>100</v>
      </c>
      <c r="T43" s="667" t="s">
        <v>14</v>
      </c>
      <c r="U43" s="668">
        <f t="shared" si="11"/>
        <v>100</v>
      </c>
      <c r="V43" s="667" t="s">
        <v>14</v>
      </c>
      <c r="W43" s="668">
        <f t="shared" si="12"/>
        <v>100</v>
      </c>
      <c r="X43" s="1263"/>
      <c r="Y43" s="3427"/>
      <c r="Z43" s="1262">
        <f t="shared" si="13"/>
        <v>111</v>
      </c>
      <c r="AA43" s="1262">
        <f t="shared" si="3"/>
        <v>1</v>
      </c>
      <c r="AB43" s="1262">
        <f t="shared" si="4"/>
        <v>1</v>
      </c>
      <c r="AC43" s="1262">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7"/>
      <c r="Q44" s="1261">
        <f t="shared" si="14"/>
        <v>111</v>
      </c>
      <c r="R44" s="667" t="s">
        <v>14</v>
      </c>
      <c r="S44" s="668">
        <f t="shared" si="10"/>
        <v>100</v>
      </c>
      <c r="T44" s="667" t="s">
        <v>14</v>
      </c>
      <c r="U44" s="668">
        <f t="shared" si="11"/>
        <v>100</v>
      </c>
      <c r="V44" s="667" t="s">
        <v>14</v>
      </c>
      <c r="W44" s="668">
        <f t="shared" si="12"/>
        <v>100</v>
      </c>
      <c r="X44" s="1263"/>
      <c r="Y44" s="3427"/>
      <c r="Z44" s="1262">
        <f t="shared" si="13"/>
        <v>111</v>
      </c>
      <c r="AA44" s="1262">
        <f t="shared" si="3"/>
        <v>1</v>
      </c>
      <c r="AB44" s="1262">
        <f t="shared" si="4"/>
        <v>1</v>
      </c>
      <c r="AC44" s="1262">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7"/>
      <c r="Q45" s="1261">
        <f t="shared" si="14"/>
        <v>111</v>
      </c>
      <c r="R45" s="669" t="s">
        <v>14</v>
      </c>
      <c r="S45" s="670">
        <f t="shared" si="10"/>
        <v>100</v>
      </c>
      <c r="T45" s="669" t="s">
        <v>14</v>
      </c>
      <c r="U45" s="670">
        <f t="shared" si="11"/>
        <v>100</v>
      </c>
      <c r="V45" s="669" t="s">
        <v>14</v>
      </c>
      <c r="W45" s="670">
        <f t="shared" si="12"/>
        <v>100</v>
      </c>
      <c r="X45" s="671"/>
      <c r="Y45" s="3427"/>
      <c r="Z45" s="672">
        <f t="shared" si="13"/>
        <v>111</v>
      </c>
      <c r="AA45" s="1262">
        <f t="shared" si="3"/>
        <v>1</v>
      </c>
      <c r="AB45" s="1262">
        <f t="shared" si="4"/>
        <v>1</v>
      </c>
      <c r="AC45" s="1262">
        <f t="shared" si="5"/>
        <v>1</v>
      </c>
    </row>
    <row r="46" spans="1:29" ht="14.4">
      <c r="A46" s="416" t="s">
        <v>1841</v>
      </c>
      <c r="B46" s="1829" t="s">
        <v>1876</v>
      </c>
      <c r="C46" s="602" t="s">
        <v>0</v>
      </c>
      <c r="D46" s="418"/>
      <c r="E46" s="419"/>
      <c r="F46" s="420"/>
      <c r="G46" s="421"/>
      <c r="H46" s="422"/>
      <c r="I46" s="419"/>
      <c r="J46" s="422"/>
      <c r="K46" s="674"/>
      <c r="L46" s="2493"/>
      <c r="M46" s="2486"/>
      <c r="N46" s="2486"/>
      <c r="O46" s="2486"/>
      <c r="P46" s="3419" t="str">
        <f>A46</f>
        <v>成交单价</v>
      </c>
      <c r="Q46" s="3419"/>
      <c r="R46" s="3423">
        <f>E46</f>
        <v>0</v>
      </c>
      <c r="S46" s="3423"/>
      <c r="T46" s="3423">
        <f>G46</f>
        <v>0</v>
      </c>
      <c r="U46" s="3423"/>
      <c r="V46" s="3423">
        <f>I46</f>
        <v>0</v>
      </c>
      <c r="W46" s="3423"/>
      <c r="X46" s="385"/>
      <c r="Y46" s="673"/>
      <c r="Z46" s="385"/>
      <c r="AA46" s="385"/>
      <c r="AB46" s="385"/>
      <c r="AC46" s="385"/>
    </row>
    <row r="47" spans="1:29" ht="15" thickBot="1">
      <c r="A47" s="423" t="s">
        <v>1790</v>
      </c>
      <c r="B47" s="603"/>
      <c r="C47" s="426" t="e">
        <f>R48</f>
        <v>#DIV/0!</v>
      </c>
      <c r="D47" s="2140" t="s">
        <v>2134</v>
      </c>
      <c r="E47" s="426" t="e">
        <f>R47</f>
        <v>#DIV/0!</v>
      </c>
      <c r="F47" s="2141"/>
      <c r="G47" s="425" t="e">
        <f>T47</f>
        <v>#DIV/0!</v>
      </c>
      <c r="H47" s="2141"/>
      <c r="I47" s="426" t="e">
        <f>V47</f>
        <v>#DIV/0!</v>
      </c>
      <c r="J47" s="2141"/>
      <c r="K47" s="2143">
        <f>F47+H47+J47</f>
        <v>0</v>
      </c>
      <c r="L47" s="2493"/>
      <c r="M47" s="2486"/>
      <c r="N47" s="2486"/>
      <c r="O47" s="2486"/>
      <c r="P47" s="3419" t="str">
        <f>A47</f>
        <v>比较价值（元/平方米）</v>
      </c>
      <c r="Q47" s="3419"/>
      <c r="R47" s="3420" t="e">
        <f>ROUND(PRODUCT(R46,AA7:AA45),0)</f>
        <v>#DIV/0!</v>
      </c>
      <c r="S47" s="3420"/>
      <c r="T47" s="3420" t="e">
        <f>ROUND(PRODUCT(T46,AB7:AB45),0)</f>
        <v>#DIV/0!</v>
      </c>
      <c r="U47" s="3420"/>
      <c r="V47" s="3420" t="e">
        <f>ROUND(PRODUCT(V46,AC7:AC45),0)</f>
        <v>#DIV/0!</v>
      </c>
      <c r="W47" s="3420"/>
      <c r="X47" s="385"/>
      <c r="Y47" s="385"/>
      <c r="Z47" s="385"/>
      <c r="AA47" s="385"/>
      <c r="AB47" s="385"/>
      <c r="AC47" s="385"/>
    </row>
    <row r="48" spans="1:29" ht="15" thickBot="1">
      <c r="A48" s="427" t="s">
        <v>1877</v>
      </c>
      <c r="B48" s="428"/>
      <c r="C48" s="429" t="e">
        <f>R48</f>
        <v>#DIV/0!</v>
      </c>
      <c r="D48" s="429"/>
      <c r="E48" s="429"/>
      <c r="F48" s="429"/>
      <c r="G48" s="429"/>
      <c r="H48" s="429"/>
      <c r="I48" s="429"/>
      <c r="J48" s="429"/>
      <c r="K48" s="675"/>
      <c r="L48" s="2493"/>
      <c r="M48" s="2486"/>
      <c r="N48" s="2486"/>
      <c r="O48" s="2486"/>
      <c r="P48" s="3416" t="str">
        <f>A48</f>
        <v>估价对象XX用房的比较价值（楼面单价，元/平方米）</v>
      </c>
      <c r="Q48" s="3417"/>
      <c r="R48" s="3418" t="e">
        <f>ROUND(IF(D47="简单平均",AVERAGE(R47:W47),R47*F47+T47*H47+V47*J47),0)</f>
        <v>#DIV/0!</v>
      </c>
      <c r="S48" s="3418"/>
      <c r="T48" s="3418"/>
      <c r="U48" s="3418"/>
      <c r="V48" s="3418"/>
      <c r="W48" s="341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1878</v>
      </c>
      <c r="B55" s="605" t="s">
        <v>1879</v>
      </c>
      <c r="C55" s="1830" t="s">
        <v>1880</v>
      </c>
      <c r="D55" s="1831" t="s">
        <v>1881</v>
      </c>
      <c r="E55" s="606" t="s">
        <v>1882</v>
      </c>
      <c r="F55" s="836" t="s">
        <v>1883</v>
      </c>
      <c r="G55" s="3431" t="s">
        <v>1884</v>
      </c>
      <c r="H55" s="3443"/>
      <c r="I55" s="127" t="s">
        <v>1885</v>
      </c>
      <c r="J55" s="1832">
        <f>项目基本情况!F35</f>
        <v>0</v>
      </c>
      <c r="K55" s="1833" t="s">
        <v>1886</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1887</v>
      </c>
      <c r="B56" s="609" t="e">
        <f>C48</f>
        <v>#DIV/0!</v>
      </c>
      <c r="C56" s="610">
        <v>1</v>
      </c>
      <c r="D56" s="889">
        <v>1</v>
      </c>
      <c r="E56" s="610">
        <f>'数据-汇总表'!E8+'数据-汇总表'!E9</f>
        <v>19268.359999999997</v>
      </c>
      <c r="F56" s="832" t="e">
        <f t="shared" ref="F56:F64" si="15">ROUND(B56*E56/10000,0)</f>
        <v>#DIV/0!</v>
      </c>
      <c r="G56" s="3444"/>
      <c r="H56" s="3419"/>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1888</v>
      </c>
      <c r="B57" s="210" t="e">
        <f>ROUND($C$48*C57*D57,0)</f>
        <v>#DIV/0!</v>
      </c>
      <c r="C57" s="163">
        <f t="shared" ref="C57:C64" si="16">IF($C$55="北京市系数",I57,J57)</f>
        <v>0</v>
      </c>
      <c r="D57" s="890">
        <v>0.25</v>
      </c>
      <c r="E57" s="614"/>
      <c r="F57" s="832" t="e">
        <f t="shared" si="15"/>
        <v>#DIV/0!</v>
      </c>
      <c r="G57" s="2749" t="s">
        <v>1889</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1890</v>
      </c>
      <c r="B58" s="210" t="e">
        <f t="shared" ref="B58:B64" si="17">ROUND($C$48*C58*D58,0)</f>
        <v>#DIV/0!</v>
      </c>
      <c r="C58" s="163">
        <f t="shared" si="16"/>
        <v>0</v>
      </c>
      <c r="D58" s="890">
        <v>0.25</v>
      </c>
      <c r="E58" s="614"/>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1891</v>
      </c>
      <c r="B59" s="210" t="e">
        <f t="shared" si="17"/>
        <v>#DIV/0!</v>
      </c>
      <c r="C59" s="163">
        <f t="shared" si="16"/>
        <v>0</v>
      </c>
      <c r="D59" s="890">
        <v>0.25</v>
      </c>
      <c r="E59" s="614"/>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1892</v>
      </c>
      <c r="B60" s="210" t="e">
        <f t="shared" si="17"/>
        <v>#DIV/0!</v>
      </c>
      <c r="C60" s="163">
        <f t="shared" si="16"/>
        <v>0</v>
      </c>
      <c r="D60" s="890">
        <v>0.25</v>
      </c>
      <c r="E60" s="209">
        <f>'数据-汇总表'!E11</f>
        <v>0</v>
      </c>
      <c r="F60" s="832" t="e">
        <f t="shared" si="15"/>
        <v>#DIV/0!</v>
      </c>
      <c r="G60" s="1834" t="s">
        <v>1893</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1894</v>
      </c>
      <c r="B61" s="210" t="e">
        <f t="shared" si="17"/>
        <v>#DIV/0!</v>
      </c>
      <c r="C61" s="163">
        <f t="shared" si="16"/>
        <v>0</v>
      </c>
      <c r="D61" s="890">
        <v>0.25</v>
      </c>
      <c r="E61" s="209">
        <f>'数据-汇总表'!E12</f>
        <v>0</v>
      </c>
      <c r="F61" s="832" t="e">
        <f t="shared" si="15"/>
        <v>#DIV/0!</v>
      </c>
      <c r="G61" s="838" t="s">
        <v>1895</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1896</v>
      </c>
      <c r="B62" s="210" t="e">
        <f t="shared" si="17"/>
        <v>#DIV/0!</v>
      </c>
      <c r="C62" s="163">
        <f t="shared" si="16"/>
        <v>0</v>
      </c>
      <c r="D62" s="890">
        <v>0.25</v>
      </c>
      <c r="E62" s="209">
        <f>'数据-汇总表'!E13</f>
        <v>0</v>
      </c>
      <c r="F62" s="832" t="e">
        <f t="shared" si="15"/>
        <v>#DIV/0!</v>
      </c>
      <c r="G62" s="838" t="s">
        <v>1897</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1898</v>
      </c>
      <c r="B63" s="210" t="e">
        <f t="shared" si="17"/>
        <v>#DIV/0!</v>
      </c>
      <c r="C63" s="163">
        <f t="shared" si="16"/>
        <v>0</v>
      </c>
      <c r="D63" s="890">
        <v>0.25</v>
      </c>
      <c r="E63" s="209">
        <f>'数据-汇总表'!E14</f>
        <v>0</v>
      </c>
      <c r="F63" s="832" t="e">
        <f t="shared" si="15"/>
        <v>#DIV/0!</v>
      </c>
      <c r="G63" s="1834" t="s">
        <v>1889</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1899</v>
      </c>
      <c r="B64" s="210" t="e">
        <f t="shared" si="17"/>
        <v>#DIV/0!</v>
      </c>
      <c r="C64" s="163">
        <f t="shared" si="16"/>
        <v>0</v>
      </c>
      <c r="D64" s="890">
        <v>0.25</v>
      </c>
      <c r="E64" s="209">
        <f>'数据-汇总表'!E15</f>
        <v>0</v>
      </c>
      <c r="F64" s="832" t="e">
        <f t="shared" si="15"/>
        <v>#DIV/0!</v>
      </c>
      <c r="G64" s="1835" t="s">
        <v>1893</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1900</v>
      </c>
      <c r="B65" s="616" t="s">
        <v>22</v>
      </c>
      <c r="C65" s="616" t="s">
        <v>23</v>
      </c>
      <c r="D65" s="616" t="s">
        <v>392</v>
      </c>
      <c r="E65" s="616">
        <f>IF(B46="楼面地价",SUM(E56:E64),'数据-汇总表'!D3)</f>
        <v>19268.359999999997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6"/>
      <c r="C67" s="656" t="str">
        <f>YEAR(C7)&amp;"-"&amp;MONTH(C7)&amp;"-1"</f>
        <v>2024-6-1</v>
      </c>
      <c r="D67" s="656">
        <f>EDATE(C67,-3)</f>
        <v>45352</v>
      </c>
      <c r="E67" s="656">
        <f>EDATE(D67,-3)</f>
        <v>45261</v>
      </c>
      <c r="F67" s="656">
        <f t="shared" ref="F67:O67" si="18">EDATE(E67,-3)</f>
        <v>45170</v>
      </c>
      <c r="G67" s="656">
        <f t="shared" si="18"/>
        <v>45078</v>
      </c>
      <c r="H67" s="656">
        <f t="shared" si="18"/>
        <v>44986</v>
      </c>
      <c r="I67" s="656">
        <f t="shared" si="18"/>
        <v>44896</v>
      </c>
      <c r="J67" s="656">
        <f t="shared" si="18"/>
        <v>44805</v>
      </c>
      <c r="K67" s="656">
        <f t="shared" si="18"/>
        <v>44713</v>
      </c>
      <c r="L67" s="656">
        <f t="shared" si="18"/>
        <v>44621</v>
      </c>
      <c r="M67" s="656">
        <f t="shared" si="18"/>
        <v>44531</v>
      </c>
      <c r="N67" s="656">
        <f t="shared" si="18"/>
        <v>44440</v>
      </c>
      <c r="O67" s="656">
        <f t="shared" si="18"/>
        <v>44348</v>
      </c>
      <c r="P67" s="2486"/>
      <c r="Q67" s="2486"/>
      <c r="R67" s="2486"/>
      <c r="S67" s="2486"/>
      <c r="T67" s="2486"/>
      <c r="U67" s="2486"/>
      <c r="V67" s="2486"/>
      <c r="W67" s="2486"/>
      <c r="X67" s="2486"/>
      <c r="Y67" s="2486"/>
      <c r="Z67" s="2486"/>
      <c r="AA67" s="2486"/>
      <c r="AB67" s="2486"/>
      <c r="AC67" s="2486"/>
    </row>
    <row r="68" spans="1:29" ht="22.2" thickBot="1">
      <c r="A68" s="658" t="s">
        <v>1795</v>
      </c>
      <c r="B68" s="385"/>
      <c r="C68" s="659"/>
      <c r="D68" s="659"/>
      <c r="E68" s="659"/>
      <c r="F68" s="660"/>
      <c r="G68" s="660"/>
      <c r="H68" s="659"/>
      <c r="I68" s="659"/>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4.4">
      <c r="A69" s="1628" t="s">
        <v>1901</v>
      </c>
      <c r="B69" s="1045"/>
      <c r="C69" s="1099" t="str">
        <f>YEAR(C67)&amp;"-"&amp;ROUNDUP(MONTH(C67)/3,0)</f>
        <v>2024-2</v>
      </c>
      <c r="D69" s="1099" t="str">
        <f>YEAR(D67)&amp;"-"&amp;ROUNDUP(MONTH(D67)/3,0)</f>
        <v>2024-1</v>
      </c>
      <c r="E69" s="1099" t="str">
        <f t="shared" ref="E69:O69" si="19">YEAR(E67)&amp;"-"&amp;ROUNDUP(MONTH(E67)/3,0)</f>
        <v>2023-4</v>
      </c>
      <c r="F69" s="1099" t="str">
        <f t="shared" si="19"/>
        <v>2023-3</v>
      </c>
      <c r="G69" s="1099" t="str">
        <f t="shared" si="19"/>
        <v>2023-2</v>
      </c>
      <c r="H69" s="1099" t="str">
        <f t="shared" si="19"/>
        <v>2023-1</v>
      </c>
      <c r="I69" s="1099" t="str">
        <f t="shared" si="19"/>
        <v>2022-4</v>
      </c>
      <c r="J69" s="1099" t="str">
        <f t="shared" si="19"/>
        <v>2022-3</v>
      </c>
      <c r="K69" s="1099" t="str">
        <f t="shared" si="19"/>
        <v>2022-2</v>
      </c>
      <c r="L69" s="1099" t="str">
        <f t="shared" si="19"/>
        <v>2022-1</v>
      </c>
      <c r="M69" s="1099" t="str">
        <f t="shared" si="19"/>
        <v>2021-4</v>
      </c>
      <c r="N69" s="1099" t="str">
        <f t="shared" si="19"/>
        <v>2021-3</v>
      </c>
      <c r="O69" s="1099" t="str">
        <f t="shared" si="19"/>
        <v>2021-2</v>
      </c>
      <c r="P69" s="2509"/>
      <c r="Q69" s="2509"/>
      <c r="R69" s="2509"/>
      <c r="S69" s="2509"/>
      <c r="T69" s="2509"/>
      <c r="U69" s="2509"/>
      <c r="V69" s="2509"/>
      <c r="W69" s="2509"/>
      <c r="X69" s="2509"/>
      <c r="Y69" s="2509"/>
      <c r="Z69" s="2509"/>
      <c r="AA69" s="2509"/>
      <c r="AB69" s="2509"/>
      <c r="AC69" s="2509"/>
    </row>
    <row r="70" spans="1:29" s="102" customFormat="1" ht="30" customHeight="1">
      <c r="A70" s="1836" t="s">
        <v>1902</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 thickBot="1">
      <c r="A71" s="449" t="s">
        <v>1713</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4.4">
      <c r="A72" s="455" t="s">
        <v>1678</v>
      </c>
      <c r="B72" s="444"/>
      <c r="C72" s="456" t="s">
        <v>1773</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1716</v>
      </c>
      <c r="B74" s="460" t="s">
        <v>1682</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1685</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1687</v>
      </c>
      <c r="B87" s="460" t="s">
        <v>1717</v>
      </c>
      <c r="C87" s="504" t="s">
        <v>1718</v>
      </c>
      <c r="D87" s="504" t="s">
        <v>1719</v>
      </c>
      <c r="E87" s="504" t="s">
        <v>1720</v>
      </c>
      <c r="F87" s="504" t="s">
        <v>1721</v>
      </c>
      <c r="G87" s="504" t="s">
        <v>1722</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1903</v>
      </c>
      <c r="C89" s="509" t="s">
        <v>1718</v>
      </c>
      <c r="D89" s="509" t="s">
        <v>1719</v>
      </c>
      <c r="E89" s="509" t="s">
        <v>1720</v>
      </c>
      <c r="F89" s="509" t="s">
        <v>1721</v>
      </c>
      <c r="G89" s="509" t="s">
        <v>1722</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1818</v>
      </c>
      <c r="C91" s="509" t="s">
        <v>1718</v>
      </c>
      <c r="D91" s="509" t="s">
        <v>1719</v>
      </c>
      <c r="E91" s="509" t="s">
        <v>1720</v>
      </c>
      <c r="F91" s="509" t="s">
        <v>1721</v>
      </c>
      <c r="G91" s="509" t="s">
        <v>1722</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1723</v>
      </c>
      <c r="C93" s="509" t="s">
        <v>1718</v>
      </c>
      <c r="D93" s="509" t="s">
        <v>1719</v>
      </c>
      <c r="E93" s="509" t="s">
        <v>1720</v>
      </c>
      <c r="F93" s="509" t="s">
        <v>1721</v>
      </c>
      <c r="G93" s="509" t="s">
        <v>1722</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1904</v>
      </c>
      <c r="C95" s="509" t="s">
        <v>1718</v>
      </c>
      <c r="D95" s="509" t="s">
        <v>1719</v>
      </c>
      <c r="E95" s="509" t="s">
        <v>1720</v>
      </c>
      <c r="F95" s="509" t="s">
        <v>1721</v>
      </c>
      <c r="G95" s="509" t="s">
        <v>1722</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1905</v>
      </c>
      <c r="C97" s="504" t="s">
        <v>1718</v>
      </c>
      <c r="D97" s="504" t="s">
        <v>1719</v>
      </c>
      <c r="E97" s="504" t="s">
        <v>1720</v>
      </c>
      <c r="F97" s="504" t="s">
        <v>1721</v>
      </c>
      <c r="G97" s="504" t="s">
        <v>1722</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1775</v>
      </c>
      <c r="C99" s="504" t="s">
        <v>1718</v>
      </c>
      <c r="D99" s="504" t="s">
        <v>1719</v>
      </c>
      <c r="E99" s="504" t="s">
        <v>1720</v>
      </c>
      <c r="F99" s="504" t="s">
        <v>1721</v>
      </c>
      <c r="G99" s="504" t="s">
        <v>1722</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1776</v>
      </c>
      <c r="C101" s="581" t="s">
        <v>1796</v>
      </c>
      <c r="D101" s="581" t="s">
        <v>1797</v>
      </c>
      <c r="E101" s="581" t="s">
        <v>1798</v>
      </c>
      <c r="F101" s="581" t="s">
        <v>1799</v>
      </c>
      <c r="G101" s="581" t="s">
        <v>1800</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1906</v>
      </c>
      <c r="D103" s="470" t="s">
        <v>1907</v>
      </c>
      <c r="E103" s="470" t="s">
        <v>1908</v>
      </c>
      <c r="F103" s="470" t="s">
        <v>1909</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1812</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1870</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1911</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1912</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1913</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1914</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1" xr:uid="{00000000-0002-0000-2700-000013000000}">
      <formula1>"商业,办公,住宅,工业"</formula1>
    </dataValidation>
    <dataValidation type="list" allowBlank="1" showInputMessage="1" showErrorMessage="1" sqref="G62" xr:uid="{00000000-0002-0000-2700-000014000000}">
      <formula1>"住宅,工业"</formula1>
    </dataValidation>
    <dataValidation type="list" allowBlank="1" showInputMessage="1" showErrorMessage="1" sqref="C30 E30 G30 I30" xr:uid="{00000000-0002-0000-2700-000015000000}">
      <formula1>基础设施水平</formula1>
    </dataValidation>
    <dataValidation type="list" allowBlank="1" showInputMessage="1" showErrorMessage="1" sqref="A70" xr:uid="{00000000-0002-0000-2700-000016000000}">
      <formula1>"综合,商业,办公,住宅"</formula1>
    </dataValidation>
    <dataValidation type="list" allowBlank="1" showInputMessage="1" showErrorMessage="1" sqref="D47" xr:uid="{00000000-0002-0000-2700-000017000000}">
      <formula1>"简单平均,加权平均"</formula1>
    </dataValidation>
    <dataValidation type="list" allowBlank="1" showInputMessage="1" showErrorMessage="1" sqref="D57:D64" xr:uid="{00000000-0002-0000-27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2079</v>
      </c>
      <c r="C1" s="3513" t="s">
        <v>2080</v>
      </c>
      <c r="D1" s="3514"/>
      <c r="E1" s="3514"/>
      <c r="F1" s="3514"/>
      <c r="G1" s="3514"/>
      <c r="H1" s="3514"/>
      <c r="I1" s="3514"/>
      <c r="J1" s="3514"/>
      <c r="K1" s="3514"/>
      <c r="L1" s="3514"/>
      <c r="M1" s="3514"/>
      <c r="N1" s="3514"/>
      <c r="O1" s="3514"/>
      <c r="P1" s="3514"/>
      <c r="Q1" s="3514"/>
      <c r="R1" s="3514"/>
      <c r="S1" s="3515"/>
      <c r="T1" s="928" t="s">
        <v>2081</v>
      </c>
    </row>
    <row r="2" spans="1:45" s="625" customFormat="1">
      <c r="A2" s="929"/>
      <c r="B2" s="622" t="s">
        <v>2082</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2"/>
      <c r="B4" s="933"/>
      <c r="C4" s="934"/>
      <c r="D4" s="935"/>
      <c r="E4" s="935"/>
      <c r="F4" s="1222"/>
      <c r="G4" s="1222"/>
      <c r="H4" s="1222"/>
      <c r="I4" s="1222"/>
      <c r="J4" s="1222"/>
      <c r="K4" s="1222"/>
      <c r="L4" s="1222"/>
      <c r="M4" s="1223"/>
      <c r="N4" s="1223"/>
      <c r="O4" s="1222"/>
      <c r="P4" s="1222"/>
      <c r="Q4" s="1222"/>
      <c r="R4" s="1222"/>
      <c r="S4" s="1224"/>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7" t="s">
        <v>2083</v>
      </c>
      <c r="C5" s="939"/>
      <c r="D5" s="940"/>
      <c r="E5" s="940"/>
      <c r="F5" s="1225"/>
      <c r="G5" s="1225"/>
      <c r="H5" s="1225"/>
      <c r="I5" s="1225"/>
      <c r="J5" s="1225"/>
      <c r="K5" s="1225"/>
      <c r="L5" s="1226"/>
      <c r="M5" s="1227"/>
      <c r="N5" s="1227"/>
      <c r="O5" s="1225"/>
      <c r="P5" s="1225"/>
      <c r="Q5" s="1225"/>
      <c r="R5" s="1225"/>
      <c r="S5" s="1228"/>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8" t="s">
        <v>2084</v>
      </c>
      <c r="C7" s="850"/>
      <c r="D7" s="844"/>
      <c r="E7" s="844"/>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8" t="s">
        <v>2085</v>
      </c>
      <c r="C9" s="850"/>
      <c r="D9" s="844"/>
      <c r="E9" s="844"/>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7" t="s">
        <v>2086</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7" t="s">
        <v>2087</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7" t="s">
        <v>2088</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2089</v>
      </c>
      <c r="B17" s="1986" t="s">
        <v>2090</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2091</v>
      </c>
      <c r="E19" s="1251"/>
      <c r="F19" s="1251"/>
      <c r="G19" s="1251"/>
      <c r="H19" s="995"/>
      <c r="I19" s="151"/>
      <c r="J19" s="151"/>
      <c r="K19" s="151"/>
      <c r="L19" s="151"/>
      <c r="M19" s="151"/>
      <c r="N19" s="151"/>
      <c r="O19" s="151"/>
      <c r="P19" s="151"/>
      <c r="Q19" s="151"/>
      <c r="R19" s="151"/>
      <c r="S19" s="121"/>
    </row>
    <row r="20" spans="1:45" ht="16.2" thickBot="1">
      <c r="A20" s="632" t="s">
        <v>2092</v>
      </c>
      <c r="B20" s="286" t="e">
        <f ca="1">IF(D20="——",S22,S22-F20)</f>
        <v>#REF!</v>
      </c>
      <c r="C20" s="151"/>
      <c r="D20" s="1988"/>
      <c r="E20" s="1252"/>
      <c r="F20" s="928" t="e">
        <f ca="1">SUMIF(INDIRECT("'"&amp;H20&amp;"'"&amp;"!A:A"),"承租人权益价值",INDIRECT("'"&amp;H20&amp;"'"&amp;"!c:c"))</f>
        <v>#REF!</v>
      </c>
      <c r="G20" s="928" t="s">
        <v>2093</v>
      </c>
      <c r="H20" s="1989"/>
      <c r="I20" s="151"/>
      <c r="J20" s="151"/>
      <c r="K20" s="151"/>
      <c r="L20" s="151"/>
      <c r="M20" s="151"/>
      <c r="N20" s="151"/>
      <c r="O20" s="151"/>
      <c r="P20" s="151"/>
      <c r="Q20" s="151"/>
      <c r="R20" s="151"/>
      <c r="S20" s="121"/>
    </row>
    <row r="21" spans="1:45" ht="15.6">
      <c r="A21" s="632"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510" t="s">
        <v>27</v>
      </c>
      <c r="D22" s="3511"/>
      <c r="E22" s="3511"/>
      <c r="F22" s="3511"/>
      <c r="G22" s="3511"/>
      <c r="H22" s="3511"/>
      <c r="I22" s="3511"/>
      <c r="J22" s="3511"/>
      <c r="K22" s="3511"/>
      <c r="L22" s="3511"/>
      <c r="M22" s="3511"/>
      <c r="N22" s="3511"/>
      <c r="O22" s="3511"/>
      <c r="P22" s="3511"/>
      <c r="Q22" s="3512"/>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2101</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2077</v>
      </c>
      <c r="B1" s="4"/>
      <c r="C1" s="4"/>
      <c r="D1" s="4"/>
      <c r="E1" s="4"/>
      <c r="F1" s="2543"/>
      <c r="G1" s="2543"/>
      <c r="H1" s="2543"/>
      <c r="I1" s="2543"/>
      <c r="J1" s="2543"/>
      <c r="K1" s="2543"/>
      <c r="L1" s="2543"/>
      <c r="M1" s="2543"/>
      <c r="N1" s="2543"/>
      <c r="O1" s="2543"/>
      <c r="P1" s="2543"/>
    </row>
    <row r="2" spans="1:16" ht="15.6">
      <c r="A2" s="1983" t="s">
        <v>2069</v>
      </c>
      <c r="B2" s="2386">
        <f ca="1">SUMIF(B6:B13,"&lt;&gt;#ref!",B6:B13)</f>
        <v>2476</v>
      </c>
      <c r="C2" s="1983" t="s">
        <v>2070</v>
      </c>
      <c r="D2" s="1983" t="s">
        <v>2071</v>
      </c>
      <c r="E2" s="2396">
        <f ca="1">SUMIF(E6:E13,"&lt;&gt;#ref!",E6:E13)</f>
        <v>20034.16</v>
      </c>
      <c r="F2" s="2543"/>
      <c r="G2" s="2543"/>
      <c r="H2" s="2543"/>
      <c r="I2" s="2543"/>
      <c r="J2" s="2543"/>
      <c r="K2" s="2543"/>
      <c r="L2" s="2543"/>
      <c r="M2" s="2543"/>
      <c r="N2" s="2543"/>
      <c r="O2" s="2543"/>
      <c r="P2" s="2543"/>
    </row>
    <row r="3" spans="1:16" ht="15.6">
      <c r="A3" s="1983" t="s">
        <v>2072</v>
      </c>
      <c r="B3" s="2386">
        <f ca="1">ROUND(B2*10000/E2,0)</f>
        <v>1236</v>
      </c>
      <c r="C3" s="1983" t="s">
        <v>2078</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2073</v>
      </c>
      <c r="B5" s="2394" t="s">
        <v>2074</v>
      </c>
      <c r="C5" s="1984"/>
      <c r="D5" s="2543"/>
      <c r="E5" s="2395" t="s">
        <v>2075</v>
      </c>
      <c r="F5" s="2543"/>
      <c r="G5" s="2543"/>
      <c r="H5" s="2543"/>
      <c r="I5" s="2543"/>
      <c r="J5" s="2543"/>
      <c r="K5" s="2543"/>
      <c r="L5" s="2543"/>
      <c r="M5" s="2543"/>
      <c r="N5" s="2543"/>
      <c r="O5" s="2543"/>
      <c r="P5" s="2543"/>
    </row>
    <row r="6" spans="1:16" ht="15.6">
      <c r="A6" s="2393" t="s">
        <v>2076</v>
      </c>
      <c r="B6" s="2386">
        <f ca="1">SUMIF(INDIRECT("'"&amp;A6&amp;"'"&amp;"!A:A"),"总价",INDIRECT("'"&amp;A6&amp;"'"&amp;"!B:B"))</f>
        <v>2476</v>
      </c>
      <c r="C6" s="1983" t="s">
        <v>2070</v>
      </c>
      <c r="D6" s="2543"/>
      <c r="E6" s="2396">
        <f ca="1">SUMIF(INDIRECT("'"&amp;A6&amp;"'"&amp;"!C:C"),"建筑面积",INDIRECT("'"&amp;A6&amp;"'"&amp;"!D:D"))</f>
        <v>20034.16</v>
      </c>
      <c r="F6" s="2543"/>
      <c r="G6" s="2543"/>
      <c r="H6" s="2543"/>
      <c r="I6" s="2543"/>
      <c r="J6" s="2543"/>
      <c r="K6" s="2543"/>
      <c r="L6" s="2543"/>
      <c r="M6" s="2543"/>
      <c r="N6" s="2543"/>
      <c r="O6" s="2543"/>
      <c r="P6" s="2543"/>
    </row>
    <row r="7" spans="1:16" ht="15.6">
      <c r="A7" s="2393"/>
      <c r="B7" s="2386" t="e">
        <f ca="1">SUMIF(INDIRECT("'"&amp;A7&amp;"'"&amp;"!A:A"),"总价",INDIRECT("'"&amp;A7&amp;"'"&amp;"!B:B"))</f>
        <v>#REF!</v>
      </c>
      <c r="C7" s="1983" t="s">
        <v>2070</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3" t="s">
        <v>2070</v>
      </c>
      <c r="D8" s="2543"/>
      <c r="E8" s="2396" t="e">
        <f t="shared" ca="1" si="0"/>
        <v>#REF!</v>
      </c>
      <c r="F8" s="2543"/>
      <c r="G8" s="2543"/>
      <c r="H8" s="2543"/>
      <c r="I8" s="2543"/>
      <c r="J8" s="2543"/>
      <c r="K8" s="2543"/>
      <c r="L8" s="2543"/>
      <c r="M8" s="2543"/>
      <c r="N8" s="2543"/>
      <c r="O8" s="2543"/>
      <c r="P8" s="2543"/>
    </row>
    <row r="9" spans="1:16" ht="15.6">
      <c r="A9" s="2393"/>
      <c r="B9" s="2386" t="e">
        <f t="shared" ca="1" si="1"/>
        <v>#REF!</v>
      </c>
      <c r="C9" s="1983" t="s">
        <v>2070</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3" t="s">
        <v>2070</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3" t="s">
        <v>2070</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3" t="s">
        <v>2070</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3" t="s">
        <v>2070</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6"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113"/>
  <sheetViews>
    <sheetView view="pageBreakPreview" topLeftCell="A34" zoomScale="90" zoomScaleNormal="60" zoomScaleSheetLayoutView="90" workbookViewId="0">
      <selection activeCell="E59" sqref="E5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1657</v>
      </c>
      <c r="B1" s="1806" t="s">
        <v>1823</v>
      </c>
      <c r="C1" s="1139" t="s">
        <v>1659</v>
      </c>
      <c r="D1" s="1140" t="s">
        <v>3727</v>
      </c>
      <c r="E1" s="3130" t="s">
        <v>3836</v>
      </c>
      <c r="F1" s="1733" t="s">
        <v>3837</v>
      </c>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1459</v>
      </c>
      <c r="B2" s="1084">
        <f>IF(E1="项目模式",IF(C2="——",ROUND(C43*D3/10000,0),ROUND(C43*D3/10000,0)-D2),IF(E1="单套模式",IF(C2="——",ROUND(C43*D3/10000,4),ROUND(C43*D3/10000,4)-D2)))</f>
        <v>0</v>
      </c>
      <c r="C2" s="1735" t="s">
        <v>43</v>
      </c>
      <c r="D2" s="853" t="e">
        <f ca="1">IF(E1="项目模式",SUMIF(INDIRECT("'"&amp;F2&amp;"'"&amp;"!A:A"),"承租人权益价值",INDIRECT("'"&amp;F2&amp;"'"&amp;"!c:c")),SUMIF(INDIRECT("'"&amp;F2&amp;"'"&amp;"!A:A"),"承租人权益价值（单套）",INDIRECT("'"&amp;F2&amp;"'"&amp;"!c:c")))</f>
        <v>#REF!</v>
      </c>
      <c r="E2" s="1736" t="s">
        <v>1460</v>
      </c>
      <c r="F2" s="1737"/>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1.3</v>
      </c>
      <c r="C3" s="344" t="s">
        <v>1765</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1663</v>
      </c>
      <c r="B4" s="346"/>
      <c r="C4" s="3431" t="s">
        <v>1767</v>
      </c>
      <c r="D4" s="3432"/>
      <c r="E4" s="3433" t="s">
        <v>1768</v>
      </c>
      <c r="F4" s="3434"/>
      <c r="G4" s="3431" t="s">
        <v>1666</v>
      </c>
      <c r="H4" s="3432"/>
      <c r="I4" s="3431" t="s">
        <v>1770</v>
      </c>
      <c r="J4" s="3432"/>
      <c r="K4" s="537" t="s">
        <v>1771</v>
      </c>
      <c r="L4" s="859"/>
      <c r="M4" s="860"/>
      <c r="N4" s="860"/>
      <c r="O4" s="860"/>
      <c r="P4" s="3435" t="s">
        <v>1669</v>
      </c>
      <c r="Q4" s="3436"/>
      <c r="R4" s="3445" t="s">
        <v>1768</v>
      </c>
      <c r="S4" s="3446"/>
      <c r="T4" s="3445" t="s">
        <v>1666</v>
      </c>
      <c r="U4" s="3446"/>
      <c r="V4" s="3423" t="s">
        <v>1770</v>
      </c>
      <c r="W4" s="3423"/>
      <c r="X4" s="1263"/>
      <c r="Y4" s="3445" t="s">
        <v>1669</v>
      </c>
      <c r="Z4" s="3446"/>
      <c r="AA4" s="3428" t="s">
        <v>1768</v>
      </c>
      <c r="AB4" s="3429" t="s">
        <v>1666</v>
      </c>
      <c r="AC4" s="3428" t="s">
        <v>1770</v>
      </c>
    </row>
    <row r="5" spans="1:29">
      <c r="A5" s="348"/>
      <c r="B5" s="349"/>
      <c r="C5" s="3449" t="s">
        <v>1670</v>
      </c>
      <c r="D5" s="3450"/>
      <c r="E5" s="3505" t="s">
        <v>3858</v>
      </c>
      <c r="F5" s="3442"/>
      <c r="G5" s="3506" t="s">
        <v>3854</v>
      </c>
      <c r="H5" s="3450"/>
      <c r="I5" s="3506" t="s">
        <v>3857</v>
      </c>
      <c r="J5" s="3450"/>
      <c r="K5" s="537"/>
      <c r="L5" s="859"/>
      <c r="M5" s="860"/>
      <c r="N5" s="860"/>
      <c r="O5" s="860"/>
      <c r="P5" s="3437"/>
      <c r="Q5" s="3438"/>
      <c r="R5" s="3447"/>
      <c r="S5" s="3448"/>
      <c r="T5" s="3447"/>
      <c r="U5" s="3448"/>
      <c r="V5" s="3423"/>
      <c r="W5" s="3423"/>
      <c r="X5" s="1263"/>
      <c r="Y5" s="3447"/>
      <c r="Z5" s="3448"/>
      <c r="AA5" s="3429"/>
      <c r="AB5" s="3429"/>
      <c r="AC5" s="3429"/>
    </row>
    <row r="6" spans="1:29" ht="15" thickBot="1">
      <c r="A6" s="350"/>
      <c r="B6" s="351"/>
      <c r="C6" s="3479" t="s">
        <v>1674</v>
      </c>
      <c r="D6" s="3480"/>
      <c r="E6" s="3507"/>
      <c r="F6" s="3482"/>
      <c r="G6" s="3508"/>
      <c r="H6" s="3480"/>
      <c r="I6" s="3479" t="s">
        <v>1674</v>
      </c>
      <c r="J6" s="3480"/>
      <c r="K6" s="537" t="s">
        <v>1675</v>
      </c>
      <c r="L6" s="859"/>
      <c r="M6" s="860"/>
      <c r="N6" s="860"/>
      <c r="O6" s="860"/>
      <c r="P6" s="3439"/>
      <c r="Q6" s="3440"/>
      <c r="R6" s="3447"/>
      <c r="S6" s="3448"/>
      <c r="T6" s="3456"/>
      <c r="U6" s="3457"/>
      <c r="V6" s="3423"/>
      <c r="W6" s="3423"/>
      <c r="X6" s="1263"/>
      <c r="Y6" s="3456"/>
      <c r="Z6" s="3457"/>
      <c r="AA6" s="3430"/>
      <c r="AB6" s="3430"/>
      <c r="AC6" s="3430"/>
    </row>
    <row r="7" spans="1:29" s="102" customFormat="1" ht="15" thickBot="1">
      <c r="A7" s="352" t="s">
        <v>1676</v>
      </c>
      <c r="B7" s="353"/>
      <c r="C7" s="354">
        <f>'数据-取费表'!B2</f>
        <v>45470</v>
      </c>
      <c r="D7" s="355">
        <v>100</v>
      </c>
      <c r="E7" s="356">
        <f>C7</f>
        <v>45470</v>
      </c>
      <c r="F7" s="357">
        <f>SUMIF(52:52,YEAR(E7)&amp;"-"&amp;MONTH(E7),53:53)</f>
        <v>100</v>
      </c>
      <c r="G7" s="356">
        <f>C7</f>
        <v>45470</v>
      </c>
      <c r="H7" s="355">
        <f>SUMIF(52:52,YEAR(G7)&amp;"-"&amp;MONTH(G7),53:53)</f>
        <v>100</v>
      </c>
      <c r="I7" s="356">
        <f>C7</f>
        <v>45470</v>
      </c>
      <c r="J7" s="355">
        <f>SUMIF(52:52,YEAR(I7)&amp;"-"&amp;MONTH(I7),53:53)</f>
        <v>100</v>
      </c>
      <c r="K7" s="38"/>
      <c r="L7" s="861"/>
      <c r="M7" s="862"/>
      <c r="N7" s="862"/>
      <c r="O7" s="862"/>
      <c r="P7" s="3421" t="s">
        <v>1677</v>
      </c>
      <c r="Q7" s="3453"/>
      <c r="R7" s="664" t="s">
        <v>14</v>
      </c>
      <c r="S7" s="665">
        <f t="shared" ref="S7:S15" si="0">F7</f>
        <v>100</v>
      </c>
      <c r="T7" s="664" t="s">
        <v>14</v>
      </c>
      <c r="U7" s="665">
        <f t="shared" ref="U7:U15" si="1">H7</f>
        <v>100</v>
      </c>
      <c r="V7" s="664" t="s">
        <v>14</v>
      </c>
      <c r="W7" s="665">
        <f t="shared" ref="W7:W15" si="2">J7</f>
        <v>100</v>
      </c>
      <c r="X7" s="666"/>
      <c r="Y7" s="3421" t="s">
        <v>1677</v>
      </c>
      <c r="Z7" s="3422"/>
      <c r="AA7" s="50">
        <f>D7/F7</f>
        <v>1</v>
      </c>
      <c r="AB7" s="50">
        <f>D7/H7</f>
        <v>1</v>
      </c>
      <c r="AC7" s="50">
        <f>D7/J7</f>
        <v>1</v>
      </c>
    </row>
    <row r="8" spans="1:29" s="102" customFormat="1" ht="15" thickBot="1">
      <c r="A8" s="352" t="s">
        <v>1678</v>
      </c>
      <c r="B8" s="353"/>
      <c r="C8" s="358" t="s">
        <v>3785</v>
      </c>
      <c r="D8" s="355">
        <v>100</v>
      </c>
      <c r="E8" s="358" t="s">
        <v>3839</v>
      </c>
      <c r="F8" s="357">
        <f>SUMIF(55:55,E8,56:56)-SUMIF(55:55,C8,56:56)+100</f>
        <v>104</v>
      </c>
      <c r="G8" s="358" t="s">
        <v>3839</v>
      </c>
      <c r="H8" s="355">
        <f>SUMIF(55:55,G8,56:56)-SUMIF(55:55,C8,56:56)+100</f>
        <v>104</v>
      </c>
      <c r="I8" s="358" t="s">
        <v>3839</v>
      </c>
      <c r="J8" s="355">
        <f>SUMIF(55:55,I8,56:56)-SUMIF(55:55,C8,56:56)+100</f>
        <v>104</v>
      </c>
      <c r="K8" s="38"/>
      <c r="L8" s="861"/>
      <c r="M8" s="862"/>
      <c r="N8" s="862"/>
      <c r="O8" s="862"/>
      <c r="P8" s="3421" t="s">
        <v>1680</v>
      </c>
      <c r="Q8" s="3422"/>
      <c r="R8" s="664" t="s">
        <v>14</v>
      </c>
      <c r="S8" s="665">
        <f t="shared" si="0"/>
        <v>104</v>
      </c>
      <c r="T8" s="664" t="s">
        <v>14</v>
      </c>
      <c r="U8" s="665">
        <f t="shared" si="1"/>
        <v>104</v>
      </c>
      <c r="V8" s="664" t="s">
        <v>14</v>
      </c>
      <c r="W8" s="665">
        <f t="shared" si="2"/>
        <v>104</v>
      </c>
      <c r="X8" s="666"/>
      <c r="Y8" s="3421" t="s">
        <v>1680</v>
      </c>
      <c r="Z8" s="3422"/>
      <c r="AA8" s="50">
        <f t="shared" ref="AA8:AA40" si="3">D8/F8</f>
        <v>0.96153846153846156</v>
      </c>
      <c r="AB8" s="50">
        <f t="shared" ref="AB8:AB40" si="4">D8/H8</f>
        <v>0.96153846153846156</v>
      </c>
      <c r="AC8" s="50">
        <f t="shared" ref="AC8:AC40" si="5">D8/J8</f>
        <v>0.96153846153846156</v>
      </c>
    </row>
    <row r="9" spans="1:29" s="102" customFormat="1" ht="14.4">
      <c r="A9" s="359" t="s">
        <v>1681</v>
      </c>
      <c r="B9" s="60" t="s">
        <v>1682</v>
      </c>
      <c r="C9" s="3185" t="s">
        <v>3838</v>
      </c>
      <c r="D9" s="59">
        <v>100</v>
      </c>
      <c r="E9" s="362" t="s">
        <v>3</v>
      </c>
      <c r="F9" s="59">
        <f>SUMIF(57:57,E9,58:58)-SUMIF(57:57,C9,58:58)+100</f>
        <v>100</v>
      </c>
      <c r="G9" s="361" t="s">
        <v>3</v>
      </c>
      <c r="H9" s="59">
        <f>SUMIF(57:57,G9,58:58)-SUMIF(57:57,C9,58:58)+100</f>
        <v>100</v>
      </c>
      <c r="I9" s="361" t="s">
        <v>3</v>
      </c>
      <c r="J9" s="59">
        <f>SUMIF(57:57,I9,58:58)-SUMIF(57:57,C9,58:58)+100</f>
        <v>100</v>
      </c>
      <c r="K9" s="38"/>
      <c r="L9" s="861"/>
      <c r="M9" s="862"/>
      <c r="N9" s="862"/>
      <c r="O9" s="863"/>
      <c r="P9" s="3419" t="s">
        <v>1683</v>
      </c>
      <c r="Q9" s="530" t="str">
        <f t="shared" ref="Q9:Q15" si="6">B9</f>
        <v>用途</v>
      </c>
      <c r="R9" s="664" t="s">
        <v>14</v>
      </c>
      <c r="S9" s="665">
        <f t="shared" si="0"/>
        <v>100</v>
      </c>
      <c r="T9" s="664" t="s">
        <v>14</v>
      </c>
      <c r="U9" s="665">
        <f t="shared" si="1"/>
        <v>100</v>
      </c>
      <c r="V9" s="664" t="s">
        <v>14</v>
      </c>
      <c r="W9" s="665">
        <f t="shared" si="2"/>
        <v>100</v>
      </c>
      <c r="X9" s="666"/>
      <c r="Y9" s="3389" t="s">
        <v>1684</v>
      </c>
      <c r="Z9" s="50" t="str">
        <f t="shared" ref="Z9:Z15" si="7">Q9</f>
        <v>用途</v>
      </c>
      <c r="AA9" s="50">
        <f t="shared" si="3"/>
        <v>1</v>
      </c>
      <c r="AB9" s="50">
        <f t="shared" si="4"/>
        <v>1</v>
      </c>
      <c r="AC9" s="50">
        <f t="shared" si="5"/>
        <v>1</v>
      </c>
    </row>
    <row r="10" spans="1:29" s="366" customFormat="1" ht="28.8">
      <c r="A10" s="363"/>
      <c r="B10" s="364" t="s">
        <v>1685</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19"/>
      <c r="Q10" s="530" t="str">
        <f t="shared" si="6"/>
        <v>土地使用年限（年）</v>
      </c>
      <c r="R10" s="664" t="s">
        <v>14</v>
      </c>
      <c r="S10" s="665">
        <f t="shared" si="0"/>
        <v>100</v>
      </c>
      <c r="T10" s="664" t="s">
        <v>14</v>
      </c>
      <c r="U10" s="665">
        <f t="shared" si="1"/>
        <v>100</v>
      </c>
      <c r="V10" s="664" t="s">
        <v>14</v>
      </c>
      <c r="W10" s="665">
        <f t="shared" si="2"/>
        <v>100</v>
      </c>
      <c r="X10" s="666"/>
      <c r="Y10" s="3389"/>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9"/>
      <c r="Q11" s="530" t="str">
        <f t="shared" si="6"/>
        <v>容积率</v>
      </c>
      <c r="R11" s="664" t="s">
        <v>14</v>
      </c>
      <c r="S11" s="665">
        <f t="shared" si="0"/>
        <v>100</v>
      </c>
      <c r="T11" s="664" t="s">
        <v>14</v>
      </c>
      <c r="U11" s="665">
        <f t="shared" si="1"/>
        <v>100</v>
      </c>
      <c r="V11" s="664" t="s">
        <v>14</v>
      </c>
      <c r="W11" s="665">
        <f t="shared" si="2"/>
        <v>100</v>
      </c>
      <c r="X11" s="666"/>
      <c r="Y11" s="338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9"/>
      <c r="Q12" s="530">
        <f t="shared" si="6"/>
        <v>111</v>
      </c>
      <c r="R12" s="664" t="s">
        <v>14</v>
      </c>
      <c r="S12" s="665">
        <f t="shared" si="0"/>
        <v>100</v>
      </c>
      <c r="T12" s="664" t="s">
        <v>14</v>
      </c>
      <c r="U12" s="665">
        <f t="shared" si="1"/>
        <v>100</v>
      </c>
      <c r="V12" s="664" t="s">
        <v>14</v>
      </c>
      <c r="W12" s="665">
        <f t="shared" si="2"/>
        <v>100</v>
      </c>
      <c r="X12" s="666"/>
      <c r="Y12" s="338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9"/>
      <c r="Q13" s="530">
        <f t="shared" si="6"/>
        <v>111</v>
      </c>
      <c r="R13" s="664" t="s">
        <v>14</v>
      </c>
      <c r="S13" s="665">
        <f t="shared" si="0"/>
        <v>100</v>
      </c>
      <c r="T13" s="664" t="s">
        <v>14</v>
      </c>
      <c r="U13" s="665">
        <f t="shared" si="1"/>
        <v>100</v>
      </c>
      <c r="V13" s="664" t="s">
        <v>14</v>
      </c>
      <c r="W13" s="665">
        <f t="shared" si="2"/>
        <v>100</v>
      </c>
      <c r="X13" s="666"/>
      <c r="Y13" s="3389"/>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9"/>
      <c r="Q14" s="530">
        <f t="shared" si="6"/>
        <v>111</v>
      </c>
      <c r="R14" s="664" t="s">
        <v>14</v>
      </c>
      <c r="S14" s="665">
        <f t="shared" si="0"/>
        <v>100</v>
      </c>
      <c r="T14" s="664" t="s">
        <v>14</v>
      </c>
      <c r="U14" s="665">
        <f t="shared" si="1"/>
        <v>100</v>
      </c>
      <c r="V14" s="664" t="s">
        <v>14</v>
      </c>
      <c r="W14" s="665">
        <f t="shared" si="2"/>
        <v>100</v>
      </c>
      <c r="X14" s="666"/>
      <c r="Y14" s="3389"/>
      <c r="Z14" s="50">
        <f t="shared" si="7"/>
        <v>111</v>
      </c>
      <c r="AA14" s="50">
        <f t="shared" si="3"/>
        <v>1</v>
      </c>
      <c r="AB14" s="50">
        <f t="shared" si="4"/>
        <v>1</v>
      </c>
      <c r="AC14" s="50">
        <f t="shared" si="5"/>
        <v>1</v>
      </c>
    </row>
    <row r="15" spans="1:29" ht="69">
      <c r="A15" s="379" t="s">
        <v>1687</v>
      </c>
      <c r="B15" s="58" t="s">
        <v>1824</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69"/>
      <c r="M15" s="860"/>
      <c r="N15" s="860"/>
      <c r="O15" s="868"/>
      <c r="P15" s="3424" t="s">
        <v>1688</v>
      </c>
      <c r="Q15" s="1261" t="str">
        <f t="shared" si="6"/>
        <v>产业集聚程度</v>
      </c>
      <c r="R15" s="667" t="s">
        <v>14</v>
      </c>
      <c r="S15" s="668">
        <f t="shared" si="0"/>
        <v>100</v>
      </c>
      <c r="T15" s="667" t="s">
        <v>14</v>
      </c>
      <c r="U15" s="668">
        <f t="shared" si="1"/>
        <v>100</v>
      </c>
      <c r="V15" s="667" t="s">
        <v>14</v>
      </c>
      <c r="W15" s="668">
        <f t="shared" si="2"/>
        <v>100</v>
      </c>
      <c r="X15" s="1263"/>
      <c r="Y15" s="3424" t="s">
        <v>1688</v>
      </c>
      <c r="Z15" s="1262" t="str">
        <f t="shared" si="7"/>
        <v>产业集聚程度</v>
      </c>
      <c r="AA15" s="1262">
        <f t="shared" si="3"/>
        <v>1</v>
      </c>
      <c r="AB15" s="1262">
        <f t="shared" si="4"/>
        <v>1</v>
      </c>
      <c r="AC15" s="1262">
        <f t="shared" si="5"/>
        <v>1</v>
      </c>
    </row>
    <row r="16" spans="1:29" ht="15">
      <c r="A16" s="367"/>
      <c r="B16" s="385"/>
      <c r="C16" s="386" t="s">
        <v>3782</v>
      </c>
      <c r="D16" s="387"/>
      <c r="E16" s="386" t="s">
        <v>3782</v>
      </c>
      <c r="F16" s="388"/>
      <c r="G16" s="386" t="s">
        <v>3782</v>
      </c>
      <c r="H16" s="389"/>
      <c r="I16" s="386" t="s">
        <v>3782</v>
      </c>
      <c r="J16" s="387"/>
      <c r="K16" s="541"/>
      <c r="L16" s="869"/>
      <c r="M16" s="860"/>
      <c r="N16" s="860"/>
      <c r="O16" s="868"/>
      <c r="P16" s="3425"/>
      <c r="Q16" s="1261"/>
      <c r="R16" s="667"/>
      <c r="S16" s="668"/>
      <c r="T16" s="667"/>
      <c r="U16" s="668"/>
      <c r="V16" s="667"/>
      <c r="W16" s="668"/>
      <c r="X16" s="1263"/>
      <c r="Y16" s="3425"/>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69"/>
      <c r="M17" s="860"/>
      <c r="N17" s="860"/>
      <c r="O17" s="868"/>
      <c r="P17" s="3425"/>
      <c r="Q17" s="1261" t="str">
        <f>B17</f>
        <v>交通便捷度</v>
      </c>
      <c r="R17" s="667" t="s">
        <v>14</v>
      </c>
      <c r="S17" s="668">
        <f>F17</f>
        <v>100</v>
      </c>
      <c r="T17" s="667" t="s">
        <v>14</v>
      </c>
      <c r="U17" s="668">
        <f>H17</f>
        <v>100</v>
      </c>
      <c r="V17" s="667" t="s">
        <v>14</v>
      </c>
      <c r="W17" s="668">
        <f>J17</f>
        <v>100</v>
      </c>
      <c r="X17" s="1263"/>
      <c r="Y17" s="3425"/>
      <c r="Z17" s="1262" t="str">
        <f>Q17</f>
        <v>交通便捷度</v>
      </c>
      <c r="AA17" s="1262">
        <f t="shared" si="3"/>
        <v>1</v>
      </c>
      <c r="AB17" s="1262">
        <f t="shared" si="4"/>
        <v>1</v>
      </c>
      <c r="AC17" s="1262">
        <f t="shared" si="5"/>
        <v>1</v>
      </c>
    </row>
    <row r="18" spans="1:29" ht="15">
      <c r="A18" s="367"/>
      <c r="B18" s="395"/>
      <c r="C18" s="1753" t="s">
        <v>3782</v>
      </c>
      <c r="D18" s="389"/>
      <c r="E18" s="1753" t="s">
        <v>3782</v>
      </c>
      <c r="F18" s="392"/>
      <c r="G18" s="1753" t="s">
        <v>3782</v>
      </c>
      <c r="H18" s="387"/>
      <c r="I18" s="1753" t="s">
        <v>3782</v>
      </c>
      <c r="J18" s="387"/>
      <c r="K18" s="541"/>
      <c r="L18" s="869"/>
      <c r="M18" s="860"/>
      <c r="N18" s="860"/>
      <c r="O18" s="868"/>
      <c r="P18" s="3425"/>
      <c r="Q18" s="1261"/>
      <c r="R18" s="667"/>
      <c r="S18" s="668"/>
      <c r="T18" s="667"/>
      <c r="U18" s="668"/>
      <c r="V18" s="667"/>
      <c r="W18" s="668"/>
      <c r="X18" s="1263"/>
      <c r="Y18" s="3425"/>
      <c r="Z18" s="1262"/>
      <c r="AA18" s="1262">
        <v>1</v>
      </c>
      <c r="AB18" s="1262">
        <v>1</v>
      </c>
      <c r="AC18" s="1262">
        <v>1</v>
      </c>
    </row>
    <row r="19" spans="1:29" ht="41.4">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3</v>
      </c>
      <c r="L19" s="869"/>
      <c r="M19" s="860"/>
      <c r="N19" s="860"/>
      <c r="O19" s="868"/>
      <c r="P19" s="3425"/>
      <c r="Q19" s="1261" t="str">
        <f>B19</f>
        <v>公共配套设施</v>
      </c>
      <c r="R19" s="667" t="s">
        <v>14</v>
      </c>
      <c r="S19" s="668">
        <f>F19</f>
        <v>100</v>
      </c>
      <c r="T19" s="667" t="s">
        <v>14</v>
      </c>
      <c r="U19" s="668">
        <f>H19</f>
        <v>100</v>
      </c>
      <c r="V19" s="667" t="s">
        <v>14</v>
      </c>
      <c r="W19" s="668">
        <f>J19</f>
        <v>100</v>
      </c>
      <c r="X19" s="1263"/>
      <c r="Y19" s="3425"/>
      <c r="Z19" s="1262" t="str">
        <f>Q19</f>
        <v>公共配套设施</v>
      </c>
      <c r="AA19" s="1262">
        <f t="shared" si="3"/>
        <v>1</v>
      </c>
      <c r="AB19" s="1262">
        <f t="shared" si="4"/>
        <v>1</v>
      </c>
      <c r="AC19" s="1262">
        <f t="shared" si="5"/>
        <v>1</v>
      </c>
    </row>
    <row r="20" spans="1:29" ht="15">
      <c r="A20" s="367"/>
      <c r="B20" s="395"/>
      <c r="C20" s="386" t="s">
        <v>3782</v>
      </c>
      <c r="D20" s="387"/>
      <c r="E20" s="386" t="s">
        <v>3782</v>
      </c>
      <c r="F20" s="388"/>
      <c r="G20" s="386" t="s">
        <v>3782</v>
      </c>
      <c r="H20" s="387"/>
      <c r="I20" s="386" t="s">
        <v>3782</v>
      </c>
      <c r="J20" s="387"/>
      <c r="K20" s="541"/>
      <c r="L20" s="869"/>
      <c r="M20" s="860"/>
      <c r="N20" s="860"/>
      <c r="O20" s="868"/>
      <c r="P20" s="3425"/>
      <c r="Q20" s="1261"/>
      <c r="R20" s="667"/>
      <c r="S20" s="668"/>
      <c r="T20" s="667"/>
      <c r="U20" s="668"/>
      <c r="V20" s="667"/>
      <c r="W20" s="668"/>
      <c r="X20" s="1263"/>
      <c r="Y20" s="3425"/>
      <c r="Z20" s="1262"/>
      <c r="AA20" s="1262">
        <v>1</v>
      </c>
      <c r="AB20" s="1262">
        <v>1</v>
      </c>
      <c r="AC20" s="1262">
        <v>1</v>
      </c>
    </row>
    <row r="21" spans="1:29" ht="41.4">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2</v>
      </c>
      <c r="L21" s="869"/>
      <c r="M21" s="860"/>
      <c r="N21" s="860"/>
      <c r="O21" s="868"/>
      <c r="P21" s="3425"/>
      <c r="Q21" s="1261" t="str">
        <f>B21</f>
        <v>基础设施水平</v>
      </c>
      <c r="R21" s="667" t="s">
        <v>14</v>
      </c>
      <c r="S21" s="668">
        <f>F21</f>
        <v>100</v>
      </c>
      <c r="T21" s="667" t="s">
        <v>14</v>
      </c>
      <c r="U21" s="668">
        <f>H21</f>
        <v>100</v>
      </c>
      <c r="V21" s="667" t="s">
        <v>14</v>
      </c>
      <c r="W21" s="668">
        <f>J21</f>
        <v>100</v>
      </c>
      <c r="X21" s="1263"/>
      <c r="Y21" s="3425"/>
      <c r="Z21" s="1262" t="str">
        <f>Q21</f>
        <v>基础设施水平</v>
      </c>
      <c r="AA21" s="1262">
        <f t="shared" ref="AA21" si="8">D21/F21</f>
        <v>1</v>
      </c>
      <c r="AB21" s="1262">
        <f t="shared" ref="AB21" si="9">D21/H21</f>
        <v>1</v>
      </c>
      <c r="AC21" s="1262">
        <f t="shared" ref="AC21" si="10">D21/J21</f>
        <v>1</v>
      </c>
    </row>
    <row r="22" spans="1:29" ht="15">
      <c r="A22" s="367"/>
      <c r="B22" s="586"/>
      <c r="C22" s="1753" t="s">
        <v>3775</v>
      </c>
      <c r="D22" s="387"/>
      <c r="E22" s="1753" t="s">
        <v>3775</v>
      </c>
      <c r="F22" s="388"/>
      <c r="G22" s="1753" t="s">
        <v>3775</v>
      </c>
      <c r="H22" s="387"/>
      <c r="I22" s="1753" t="s">
        <v>3775</v>
      </c>
      <c r="J22" s="387"/>
      <c r="K22" s="1063"/>
      <c r="L22" s="869"/>
      <c r="M22" s="860"/>
      <c r="N22" s="860"/>
      <c r="O22" s="868"/>
      <c r="P22" s="3425"/>
      <c r="Q22" s="1261"/>
      <c r="R22" s="667"/>
      <c r="S22" s="668"/>
      <c r="T22" s="667"/>
      <c r="U22" s="668"/>
      <c r="V22" s="667"/>
      <c r="W22" s="668"/>
      <c r="X22" s="1263"/>
      <c r="Y22" s="3425"/>
      <c r="Z22" s="1262"/>
      <c r="AA22" s="1262">
        <v>1</v>
      </c>
      <c r="AB22" s="1262">
        <v>1</v>
      </c>
      <c r="AC22" s="1262">
        <v>1</v>
      </c>
    </row>
    <row r="23" spans="1:29" ht="82.8">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3</v>
      </c>
      <c r="L23" s="869"/>
      <c r="M23" s="860"/>
      <c r="N23" s="860"/>
      <c r="O23" s="868"/>
      <c r="P23" s="3425"/>
      <c r="Q23" s="1261" t="str">
        <f>B23</f>
        <v>环境质量</v>
      </c>
      <c r="R23" s="667" t="s">
        <v>14</v>
      </c>
      <c r="S23" s="668">
        <f>F23</f>
        <v>100</v>
      </c>
      <c r="T23" s="667" t="s">
        <v>14</v>
      </c>
      <c r="U23" s="668">
        <f>H23</f>
        <v>100</v>
      </c>
      <c r="V23" s="667" t="s">
        <v>14</v>
      </c>
      <c r="W23" s="668">
        <f>J23</f>
        <v>100</v>
      </c>
      <c r="X23" s="1263"/>
      <c r="Y23" s="3425"/>
      <c r="Z23" s="1262" t="str">
        <f>Q23</f>
        <v>环境质量</v>
      </c>
      <c r="AA23" s="1262">
        <f t="shared" si="3"/>
        <v>1</v>
      </c>
      <c r="AB23" s="1262">
        <f t="shared" si="4"/>
        <v>1</v>
      </c>
      <c r="AC23" s="1262">
        <f t="shared" si="5"/>
        <v>1</v>
      </c>
    </row>
    <row r="24" spans="1:29" ht="15">
      <c r="A24" s="367"/>
      <c r="B24" s="586"/>
      <c r="C24" s="386" t="s">
        <v>3782</v>
      </c>
      <c r="D24" s="387"/>
      <c r="E24" s="386" t="s">
        <v>3782</v>
      </c>
      <c r="F24" s="388"/>
      <c r="G24" s="386" t="s">
        <v>3782</v>
      </c>
      <c r="H24" s="387"/>
      <c r="I24" s="386" t="s">
        <v>3782</v>
      </c>
      <c r="J24" s="387"/>
      <c r="K24" s="541"/>
      <c r="L24" s="869"/>
      <c r="M24" s="860"/>
      <c r="N24" s="860"/>
      <c r="O24" s="868"/>
      <c r="P24" s="3425"/>
      <c r="Q24" s="1261"/>
      <c r="R24" s="667"/>
      <c r="S24" s="668"/>
      <c r="T24" s="667"/>
      <c r="U24" s="668"/>
      <c r="V24" s="667"/>
      <c r="W24" s="668"/>
      <c r="X24" s="1263"/>
      <c r="Y24" s="3425"/>
      <c r="Z24" s="1262"/>
      <c r="AA24" s="1262">
        <v>1</v>
      </c>
      <c r="AB24" s="1262">
        <v>1</v>
      </c>
      <c r="AC24" s="1262">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25"/>
      <c r="Q25" s="1261">
        <f>B25</f>
        <v>111</v>
      </c>
      <c r="R25" s="667" t="s">
        <v>14</v>
      </c>
      <c r="S25" s="668">
        <f>F25</f>
        <v>100</v>
      </c>
      <c r="T25" s="667" t="s">
        <v>14</v>
      </c>
      <c r="U25" s="668">
        <f>H25</f>
        <v>100</v>
      </c>
      <c r="V25" s="667" t="s">
        <v>14</v>
      </c>
      <c r="W25" s="668">
        <f>J25</f>
        <v>100</v>
      </c>
      <c r="X25" s="1263"/>
      <c r="Y25" s="3425"/>
      <c r="Z25" s="1262">
        <f>Q25</f>
        <v>111</v>
      </c>
      <c r="AA25" s="1262">
        <f t="shared" si="3"/>
        <v>1</v>
      </c>
      <c r="AB25" s="1262">
        <f t="shared" si="4"/>
        <v>1</v>
      </c>
      <c r="AC25" s="1262">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25"/>
      <c r="Q26" s="1261">
        <f t="shared" ref="Q26:Q40" si="11">B26</f>
        <v>111</v>
      </c>
      <c r="R26" s="667" t="s">
        <v>14</v>
      </c>
      <c r="S26" s="668">
        <f>F26</f>
        <v>100</v>
      </c>
      <c r="T26" s="667" t="s">
        <v>14</v>
      </c>
      <c r="U26" s="668">
        <f>H26</f>
        <v>100</v>
      </c>
      <c r="V26" s="667" t="s">
        <v>14</v>
      </c>
      <c r="W26" s="668">
        <f>J26</f>
        <v>100</v>
      </c>
      <c r="X26" s="1263"/>
      <c r="Y26" s="3425"/>
      <c r="Z26" s="1262">
        <f>Q26</f>
        <v>111</v>
      </c>
      <c r="AA26" s="1262">
        <f t="shared" si="3"/>
        <v>1</v>
      </c>
      <c r="AB26" s="1262">
        <f t="shared" si="4"/>
        <v>1</v>
      </c>
      <c r="AC26" s="1262">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25"/>
      <c r="Q27" s="530">
        <f t="shared" si="11"/>
        <v>111</v>
      </c>
      <c r="R27" s="664" t="s">
        <v>14</v>
      </c>
      <c r="S27" s="665">
        <f>F27</f>
        <v>100</v>
      </c>
      <c r="T27" s="664" t="s">
        <v>14</v>
      </c>
      <c r="U27" s="665">
        <f>H27</f>
        <v>100</v>
      </c>
      <c r="V27" s="664" t="s">
        <v>14</v>
      </c>
      <c r="W27" s="665">
        <f>J27</f>
        <v>100</v>
      </c>
      <c r="X27" s="666"/>
      <c r="Y27" s="3425"/>
      <c r="Z27" s="50">
        <f>Q27</f>
        <v>111</v>
      </c>
      <c r="AA27" s="1262">
        <f>D27/F27</f>
        <v>1</v>
      </c>
      <c r="AB27" s="1262">
        <f>D27/H27</f>
        <v>1</v>
      </c>
      <c r="AC27" s="1262">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25"/>
      <c r="Q28" s="1261">
        <f t="shared" si="11"/>
        <v>111</v>
      </c>
      <c r="R28" s="667" t="s">
        <v>14</v>
      </c>
      <c r="S28" s="668">
        <f t="shared" ref="S28:S40" si="12">F28</f>
        <v>100</v>
      </c>
      <c r="T28" s="667" t="s">
        <v>14</v>
      </c>
      <c r="U28" s="668">
        <f t="shared" ref="U28:U40" si="13">H28</f>
        <v>100</v>
      </c>
      <c r="V28" s="667" t="s">
        <v>14</v>
      </c>
      <c r="W28" s="668">
        <f t="shared" ref="W28:W40" si="14">J28</f>
        <v>100</v>
      </c>
      <c r="X28" s="1263"/>
      <c r="Y28" s="3425"/>
      <c r="Z28" s="1262">
        <f t="shared" ref="Z28:Z40" si="15">Q28</f>
        <v>111</v>
      </c>
      <c r="AA28" s="1262">
        <f t="shared" si="3"/>
        <v>1</v>
      </c>
      <c r="AB28" s="1262">
        <f t="shared" si="4"/>
        <v>1</v>
      </c>
      <c r="AC28" s="1262">
        <f t="shared" si="5"/>
        <v>1</v>
      </c>
    </row>
    <row r="29" spans="1:29" ht="30">
      <c r="A29" s="404" t="s">
        <v>1691</v>
      </c>
      <c r="B29" s="60" t="s">
        <v>1814</v>
      </c>
      <c r="C29" s="1762" t="s">
        <v>3831</v>
      </c>
      <c r="D29" s="405">
        <v>100</v>
      </c>
      <c r="E29" s="1762" t="s">
        <v>3831</v>
      </c>
      <c r="F29" s="400">
        <f>SUMIF(88:88,E29,89:89)-SUMIF(88:88,C29,89:89)+100</f>
        <v>100</v>
      </c>
      <c r="G29" s="1762" t="s">
        <v>3831</v>
      </c>
      <c r="H29" s="374">
        <f>SUMIF(88:88,G29,89:89)-SUMIF(88:88,C29,89:89)+100</f>
        <v>100</v>
      </c>
      <c r="I29" s="1762" t="s">
        <v>3831</v>
      </c>
      <c r="J29" s="405">
        <f>SUMIF(88:88,I29,89:89)-SUMIF(88:88,C29,89:89)+100</f>
        <v>100</v>
      </c>
      <c r="K29" s="538">
        <v>10</v>
      </c>
      <c r="L29" s="869"/>
      <c r="M29" s="860"/>
      <c r="N29" s="860"/>
      <c r="O29" s="868"/>
      <c r="P29" s="3426" t="s">
        <v>1693</v>
      </c>
      <c r="Q29" s="1261" t="str">
        <f t="shared" si="11"/>
        <v>建筑类型</v>
      </c>
      <c r="R29" s="667" t="s">
        <v>14</v>
      </c>
      <c r="S29" s="668">
        <f t="shared" si="12"/>
        <v>100</v>
      </c>
      <c r="T29" s="667" t="s">
        <v>14</v>
      </c>
      <c r="U29" s="668">
        <f t="shared" si="13"/>
        <v>100</v>
      </c>
      <c r="V29" s="667" t="s">
        <v>14</v>
      </c>
      <c r="W29" s="668">
        <f t="shared" si="14"/>
        <v>100</v>
      </c>
      <c r="X29" s="1263"/>
      <c r="Y29" s="3427" t="s">
        <v>1693</v>
      </c>
      <c r="Z29" s="1262" t="str">
        <f t="shared" si="15"/>
        <v>建筑类型</v>
      </c>
      <c r="AA29" s="1262">
        <f t="shared" si="3"/>
        <v>1</v>
      </c>
      <c r="AB29" s="1262">
        <f t="shared" si="4"/>
        <v>1</v>
      </c>
      <c r="AC29" s="1262">
        <f t="shared" si="5"/>
        <v>1</v>
      </c>
    </row>
    <row r="30" spans="1:29" s="408" customFormat="1" ht="15">
      <c r="A30" s="406"/>
      <c r="B30" s="364" t="s">
        <v>1694</v>
      </c>
      <c r="C30" s="407"/>
      <c r="D30" s="119">
        <v>100</v>
      </c>
      <c r="E30" s="369">
        <v>5000</v>
      </c>
      <c r="F30" s="364">
        <f>LOOKUP(E30,91:91,92:92)-LOOKUP(C30,91:91,92:92)+100</f>
        <v>100</v>
      </c>
      <c r="G30" s="368">
        <v>5000</v>
      </c>
      <c r="H30" s="119">
        <f>LOOKUP(G30,91:91,92:92)-LOOKUP(C30,91:91,92:92)+100</f>
        <v>100</v>
      </c>
      <c r="I30" s="368">
        <v>2500</v>
      </c>
      <c r="J30" s="119">
        <f>LOOKUP(I30,91:91,92:92)-LOOKUP(C30,91:91,92:92)+100</f>
        <v>100</v>
      </c>
      <c r="K30" s="539"/>
      <c r="L30" s="867"/>
      <c r="M30" s="870"/>
      <c r="N30" s="870"/>
      <c r="O30" s="871"/>
      <c r="P30" s="3427"/>
      <c r="Q30" s="531" t="str">
        <f t="shared" si="11"/>
        <v>项目建筑规模</v>
      </c>
      <c r="R30" s="669" t="s">
        <v>14</v>
      </c>
      <c r="S30" s="670">
        <f t="shared" si="12"/>
        <v>100</v>
      </c>
      <c r="T30" s="669" t="s">
        <v>14</v>
      </c>
      <c r="U30" s="670">
        <f t="shared" si="13"/>
        <v>100</v>
      </c>
      <c r="V30" s="669" t="s">
        <v>14</v>
      </c>
      <c r="W30" s="670">
        <f t="shared" si="14"/>
        <v>100</v>
      </c>
      <c r="X30" s="671"/>
      <c r="Y30" s="3427"/>
      <c r="Z30" s="672" t="str">
        <f t="shared" si="15"/>
        <v>项目建筑规模</v>
      </c>
      <c r="AA30" s="1262">
        <f t="shared" si="3"/>
        <v>1</v>
      </c>
      <c r="AB30" s="1262">
        <f t="shared" si="4"/>
        <v>1</v>
      </c>
      <c r="AC30" s="1262">
        <f t="shared" si="5"/>
        <v>1</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27"/>
      <c r="Q31" s="1261" t="str">
        <f t="shared" si="11"/>
        <v>建筑结构</v>
      </c>
      <c r="R31" s="667" t="s">
        <v>14</v>
      </c>
      <c r="S31" s="668">
        <f t="shared" si="12"/>
        <v>100</v>
      </c>
      <c r="T31" s="667" t="s">
        <v>14</v>
      </c>
      <c r="U31" s="668">
        <f t="shared" si="13"/>
        <v>100</v>
      </c>
      <c r="V31" s="667" t="s">
        <v>14</v>
      </c>
      <c r="W31" s="668">
        <f t="shared" si="14"/>
        <v>100</v>
      </c>
      <c r="X31" s="1263"/>
      <c r="Y31" s="3427"/>
      <c r="Z31" s="1262" t="str">
        <f t="shared" si="15"/>
        <v>建筑结构</v>
      </c>
      <c r="AA31" s="1262">
        <f t="shared" si="3"/>
        <v>1</v>
      </c>
      <c r="AB31" s="1262">
        <f t="shared" si="4"/>
        <v>1</v>
      </c>
      <c r="AC31" s="1262">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27"/>
      <c r="Q32" s="1261" t="str">
        <f t="shared" si="11"/>
        <v>公共部分装修</v>
      </c>
      <c r="R32" s="667" t="s">
        <v>14</v>
      </c>
      <c r="S32" s="668">
        <f t="shared" si="12"/>
        <v>100</v>
      </c>
      <c r="T32" s="667" t="s">
        <v>14</v>
      </c>
      <c r="U32" s="668">
        <f t="shared" si="13"/>
        <v>100</v>
      </c>
      <c r="V32" s="667" t="s">
        <v>14</v>
      </c>
      <c r="W32" s="668">
        <f t="shared" si="14"/>
        <v>100</v>
      </c>
      <c r="X32" s="1263"/>
      <c r="Y32" s="3427"/>
      <c r="Z32" s="1262" t="str">
        <f t="shared" si="15"/>
        <v>公共部分装修</v>
      </c>
      <c r="AA32" s="1262">
        <f t="shared" si="3"/>
        <v>1</v>
      </c>
      <c r="AB32" s="1262">
        <f t="shared" si="4"/>
        <v>1</v>
      </c>
      <c r="AC32" s="1262">
        <f t="shared" si="5"/>
        <v>1</v>
      </c>
    </row>
    <row r="33" spans="1:29" ht="15">
      <c r="A33" s="409"/>
      <c r="B33" s="364" t="s">
        <v>1783</v>
      </c>
      <c r="C33" s="411">
        <v>0.8</v>
      </c>
      <c r="D33" s="374">
        <v>100</v>
      </c>
      <c r="E33" s="411">
        <v>0.8</v>
      </c>
      <c r="F33" s="400">
        <f>LOOKUP(E33,98:98,99:99)-LOOKUP(C33,98:98,99:99)+100</f>
        <v>100</v>
      </c>
      <c r="G33" s="411">
        <v>0.8</v>
      </c>
      <c r="H33" s="400">
        <f>LOOKUP(G33,98:98,99:99)-LOOKUP(C33,98:98,99:99)+100</f>
        <v>100</v>
      </c>
      <c r="I33" s="411">
        <v>0.8</v>
      </c>
      <c r="J33" s="374">
        <f>LOOKUP(I33,98:98,99:99)-LOOKUP(C33,98:98,99:99)+100</f>
        <v>100</v>
      </c>
      <c r="K33" s="538"/>
      <c r="L33" s="869"/>
      <c r="M33" s="860"/>
      <c r="N33" s="860"/>
      <c r="O33" s="868"/>
      <c r="P33" s="3427"/>
      <c r="Q33" s="1261" t="str">
        <f t="shared" si="11"/>
        <v>成新度</v>
      </c>
      <c r="R33" s="667" t="s">
        <v>14</v>
      </c>
      <c r="S33" s="668">
        <f t="shared" si="12"/>
        <v>100</v>
      </c>
      <c r="T33" s="667" t="s">
        <v>14</v>
      </c>
      <c r="U33" s="668">
        <f t="shared" si="13"/>
        <v>100</v>
      </c>
      <c r="V33" s="667" t="s">
        <v>14</v>
      </c>
      <c r="W33" s="668">
        <f t="shared" si="14"/>
        <v>100</v>
      </c>
      <c r="X33" s="1263"/>
      <c r="Y33" s="3427"/>
      <c r="Z33" s="1262" t="str">
        <f t="shared" si="15"/>
        <v>成新度</v>
      </c>
      <c r="AA33" s="1262">
        <f t="shared" si="3"/>
        <v>1</v>
      </c>
      <c r="AB33" s="1262">
        <f t="shared" si="4"/>
        <v>1</v>
      </c>
      <c r="AC33" s="1262">
        <f t="shared" si="5"/>
        <v>1</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27" t="s">
        <v>1693</v>
      </c>
      <c r="Q35" s="1261" t="str">
        <f t="shared" si="11"/>
        <v>市政基础设施</v>
      </c>
      <c r="R35" s="667" t="s">
        <v>14</v>
      </c>
      <c r="S35" s="668">
        <f t="shared" si="12"/>
        <v>100</v>
      </c>
      <c r="T35" s="667" t="s">
        <v>14</v>
      </c>
      <c r="U35" s="668">
        <f t="shared" si="13"/>
        <v>100</v>
      </c>
      <c r="V35" s="667" t="s">
        <v>14</v>
      </c>
      <c r="W35" s="668">
        <f t="shared" si="14"/>
        <v>100</v>
      </c>
      <c r="X35" s="1263"/>
      <c r="Y35" s="3427" t="s">
        <v>1693</v>
      </c>
      <c r="Z35" s="1262" t="str">
        <f t="shared" si="15"/>
        <v>市政基础设施</v>
      </c>
      <c r="AA35" s="1262">
        <f t="shared" si="3"/>
        <v>1</v>
      </c>
      <c r="AB35" s="1262">
        <f t="shared" si="4"/>
        <v>1</v>
      </c>
      <c r="AC35" s="1262">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27"/>
      <c r="Q36" s="1261" t="str">
        <f t="shared" si="11"/>
        <v>内部装修</v>
      </c>
      <c r="R36" s="667" t="s">
        <v>14</v>
      </c>
      <c r="S36" s="668">
        <f t="shared" si="12"/>
        <v>100</v>
      </c>
      <c r="T36" s="667" t="s">
        <v>14</v>
      </c>
      <c r="U36" s="668">
        <f t="shared" si="13"/>
        <v>100</v>
      </c>
      <c r="V36" s="667" t="s">
        <v>14</v>
      </c>
      <c r="W36" s="668">
        <f t="shared" si="14"/>
        <v>100</v>
      </c>
      <c r="X36" s="1263"/>
      <c r="Y36" s="3427"/>
      <c r="Z36" s="1262" t="str">
        <f t="shared" si="15"/>
        <v>内部装修</v>
      </c>
      <c r="AA36" s="1262">
        <f t="shared" si="3"/>
        <v>1</v>
      </c>
      <c r="AB36" s="1262">
        <f t="shared" si="4"/>
        <v>1</v>
      </c>
      <c r="AC36" s="1262">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27"/>
      <c r="Q37" s="1261" t="str">
        <f t="shared" si="11"/>
        <v>内部装修状况</v>
      </c>
      <c r="R37" s="667" t="s">
        <v>14</v>
      </c>
      <c r="S37" s="668">
        <f t="shared" si="12"/>
        <v>100</v>
      </c>
      <c r="T37" s="667" t="s">
        <v>14</v>
      </c>
      <c r="U37" s="668">
        <f t="shared" si="13"/>
        <v>100</v>
      </c>
      <c r="V37" s="667" t="s">
        <v>14</v>
      </c>
      <c r="W37" s="668">
        <f t="shared" si="14"/>
        <v>100</v>
      </c>
      <c r="X37" s="1263"/>
      <c r="Y37" s="3427"/>
      <c r="Z37" s="1262" t="str">
        <f t="shared" si="15"/>
        <v>内部装修状况</v>
      </c>
      <c r="AA37" s="1262">
        <f t="shared" si="3"/>
        <v>1</v>
      </c>
      <c r="AB37" s="1262">
        <f t="shared" si="4"/>
        <v>1</v>
      </c>
      <c r="AC37" s="1262">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2">
        <f t="shared" si="3"/>
        <v>1</v>
      </c>
      <c r="AB38" s="1262">
        <f t="shared" si="4"/>
        <v>1</v>
      </c>
      <c r="AC38" s="1262">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27"/>
      <c r="Q39" s="1261">
        <f t="shared" si="11"/>
        <v>111</v>
      </c>
      <c r="R39" s="667" t="s">
        <v>14</v>
      </c>
      <c r="S39" s="668">
        <f t="shared" si="12"/>
        <v>100</v>
      </c>
      <c r="T39" s="667" t="s">
        <v>14</v>
      </c>
      <c r="U39" s="668">
        <f t="shared" si="13"/>
        <v>100</v>
      </c>
      <c r="V39" s="667" t="s">
        <v>14</v>
      </c>
      <c r="W39" s="668">
        <f t="shared" si="14"/>
        <v>100</v>
      </c>
      <c r="X39" s="1263"/>
      <c r="Y39" s="3427"/>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87"/>
      <c r="Q40" s="1261">
        <f t="shared" si="11"/>
        <v>111</v>
      </c>
      <c r="R40" s="667" t="s">
        <v>14</v>
      </c>
      <c r="S40" s="668">
        <f t="shared" si="12"/>
        <v>100</v>
      </c>
      <c r="T40" s="667" t="s">
        <v>14</v>
      </c>
      <c r="U40" s="668">
        <f t="shared" si="13"/>
        <v>100</v>
      </c>
      <c r="V40" s="667" t="s">
        <v>14</v>
      </c>
      <c r="W40" s="668">
        <f t="shared" si="14"/>
        <v>100</v>
      </c>
      <c r="X40" s="1263"/>
      <c r="Y40" s="3487"/>
      <c r="Z40" s="1262">
        <f t="shared" si="15"/>
        <v>111</v>
      </c>
      <c r="AA40" s="1262">
        <f t="shared" si="3"/>
        <v>1</v>
      </c>
      <c r="AB40" s="1262">
        <f t="shared" si="4"/>
        <v>1</v>
      </c>
      <c r="AC40" s="1262">
        <f t="shared" si="5"/>
        <v>1</v>
      </c>
    </row>
    <row r="41" spans="1:29" ht="14.4">
      <c r="A41" s="416" t="s">
        <v>1705</v>
      </c>
      <c r="B41" s="417"/>
      <c r="C41" s="1080" t="s">
        <v>0</v>
      </c>
      <c r="D41" s="418"/>
      <c r="E41" s="419">
        <v>1.2</v>
      </c>
      <c r="F41" s="420"/>
      <c r="G41" s="421">
        <v>1.5</v>
      </c>
      <c r="H41" s="422"/>
      <c r="I41" s="419">
        <v>1.5</v>
      </c>
      <c r="J41" s="422"/>
      <c r="K41" s="674"/>
      <c r="L41" s="872"/>
      <c r="M41" s="860"/>
      <c r="N41" s="860"/>
      <c r="O41" s="860"/>
      <c r="P41" s="3419" t="str">
        <f>A41</f>
        <v>成交单价（元/平方米）</v>
      </c>
      <c r="Q41" s="3419"/>
      <c r="R41" s="3423">
        <f>E41</f>
        <v>1.2</v>
      </c>
      <c r="S41" s="3423"/>
      <c r="T41" s="3423">
        <f>G41</f>
        <v>1.5</v>
      </c>
      <c r="U41" s="3423"/>
      <c r="V41" s="3423">
        <f>I41</f>
        <v>1.5</v>
      </c>
      <c r="W41" s="3423"/>
      <c r="X41" s="385"/>
      <c r="Y41" s="673"/>
      <c r="Z41" s="385"/>
      <c r="AA41" s="385"/>
      <c r="AB41" s="385"/>
      <c r="AC41" s="385"/>
    </row>
    <row r="42" spans="1:29" ht="15" thickBot="1">
      <c r="A42" s="423" t="s">
        <v>1790</v>
      </c>
      <c r="B42" s="424"/>
      <c r="C42" s="1081">
        <f>R43</f>
        <v>1.3</v>
      </c>
      <c r="D42" s="2140" t="s">
        <v>2134</v>
      </c>
      <c r="E42" s="1082">
        <f>R42</f>
        <v>1.2</v>
      </c>
      <c r="F42" s="2141"/>
      <c r="G42" s="1081">
        <f>T42</f>
        <v>1.4</v>
      </c>
      <c r="H42" s="2141"/>
      <c r="I42" s="1082">
        <f>V42</f>
        <v>1.4</v>
      </c>
      <c r="J42" s="2141"/>
      <c r="K42" s="2143">
        <f>F42+H42+J42</f>
        <v>0</v>
      </c>
      <c r="L42" s="872"/>
      <c r="M42" s="860"/>
      <c r="N42" s="860"/>
      <c r="O42" s="860"/>
      <c r="P42" s="3419" t="str">
        <f>A42</f>
        <v>比较价值（元/平方米）</v>
      </c>
      <c r="Q42" s="3419"/>
      <c r="R42" s="3423">
        <f>IF(F1="售价",ROUND(PRODUCT(R41,AA7:AA40),0),ROUND(PRODUCT(R41,AA7:AA40),1))</f>
        <v>1.2</v>
      </c>
      <c r="S42" s="3423"/>
      <c r="T42" s="3423">
        <f>IF(F1="售价",ROUND(PRODUCT(T41,AB7:AB40),0),ROUND(PRODUCT(T41,AB7:AB40),1))</f>
        <v>1.4</v>
      </c>
      <c r="U42" s="3423"/>
      <c r="V42" s="3423">
        <f>IF(F1="售价",ROUND(PRODUCT(V41,AC7:AC40),0),ROUND(PRODUCT(V41,AC7:AC40),1))</f>
        <v>1.4</v>
      </c>
      <c r="W42" s="3423"/>
      <c r="X42" s="385"/>
      <c r="Y42" s="385"/>
      <c r="Z42" s="385"/>
      <c r="AA42" s="385"/>
      <c r="AB42" s="385"/>
      <c r="AC42" s="385"/>
    </row>
    <row r="43" spans="1:29" ht="15" thickBot="1">
      <c r="A43" s="427" t="s">
        <v>1791</v>
      </c>
      <c r="B43" s="428"/>
      <c r="C43" s="351">
        <f>R43</f>
        <v>1.3</v>
      </c>
      <c r="D43" s="351"/>
      <c r="E43" s="351"/>
      <c r="F43" s="351"/>
      <c r="G43" s="351"/>
      <c r="H43" s="351"/>
      <c r="I43" s="351"/>
      <c r="J43" s="351"/>
      <c r="K43" s="675"/>
      <c r="L43" s="872"/>
      <c r="M43" s="860"/>
      <c r="N43" s="860"/>
      <c r="O43" s="860"/>
      <c r="P43" s="3416" t="str">
        <f>A43</f>
        <v>估价对象XX用房的比较价值（楼面单价，元/平方米）</v>
      </c>
      <c r="Q43" s="3417"/>
      <c r="R43" s="3483">
        <f>IF(F1="售价",ROUND(IF(D42="简单平均",AVERAGE(R42:V42),R42*F42+T42*H42+V42*J42),0),ROUND(IF(D42="简单平均",AVERAGE(R42:V42),R42*F42+T42*H42+V42*J42),1))</f>
        <v>1.3</v>
      </c>
      <c r="S43" s="3483"/>
      <c r="T43" s="3483"/>
      <c r="U43" s="3483"/>
      <c r="V43" s="3483"/>
      <c r="W43" s="3483"/>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1792</v>
      </c>
      <c r="D46" s="433"/>
      <c r="E46" s="434">
        <f>IF(E41&lt;E42,E42/E41-1,E41/E42-1)</f>
        <v>0</v>
      </c>
      <c r="F46" s="435" t="str">
        <f>IF(OR(E46&gt;=0.3,E46&lt;=-0.3),"超过30%","")</f>
        <v/>
      </c>
      <c r="G46" s="434">
        <f>IF(G41&lt;G42,G42/G41-1,G41/G42-1)</f>
        <v>7.1428571428571397E-2</v>
      </c>
      <c r="H46" s="435" t="str">
        <f>IF(OR(G46&gt;=0.3,G46&lt;=-0.3),"超过30%","")</f>
        <v/>
      </c>
      <c r="I46" s="434">
        <f>IF(I41&lt;I42,I42/I41-1,I41/I42-1)</f>
        <v>7.1428571428571397E-2</v>
      </c>
      <c r="J46" s="435" t="str">
        <f>IF(OR(I46&gt;=0.3,I46&lt;=-0.3),"超过30%","")</f>
        <v/>
      </c>
      <c r="K46" s="2498"/>
      <c r="L46" s="835"/>
      <c r="M46" s="860"/>
      <c r="N46" s="860"/>
      <c r="O46" s="860"/>
    </row>
    <row r="47" spans="1:29" ht="13.5" customHeight="1">
      <c r="A47" s="2486"/>
      <c r="B47" s="2486"/>
      <c r="C47" s="432" t="s">
        <v>1793</v>
      </c>
      <c r="D47" s="436"/>
      <c r="E47" s="434">
        <f>IF(E42&lt;G42,G42/E42-1,E42/G42-1)</f>
        <v>0.16666666666666674</v>
      </c>
      <c r="F47" s="435" t="str">
        <f>IF(OR(E47&gt;=0.2,E47&lt;=-0.2),"超过20%","")</f>
        <v/>
      </c>
      <c r="G47" s="434">
        <f>IF(G42&lt;I42,I42/G42-1,G42/I42-1)</f>
        <v>0</v>
      </c>
      <c r="H47" s="435" t="str">
        <f>IF(OR(G47&gt;=0.2,G47&lt;=-0.2),"超过20%","")</f>
        <v/>
      </c>
      <c r="I47" s="434">
        <f>IF(I42&lt;E42,E42/I42-1,I42/E42-1)</f>
        <v>0.16666666666666674</v>
      </c>
      <c r="J47" s="435" t="str">
        <f>IF(OR(I47&gt;=0.2,I47&lt;=-0.2),"超过20%","")</f>
        <v/>
      </c>
      <c r="K47" s="2498"/>
      <c r="L47" s="835"/>
      <c r="M47" s="860"/>
      <c r="N47" s="860"/>
      <c r="O47" s="860"/>
    </row>
    <row r="48" spans="1:29" s="437" customFormat="1" ht="13.5" customHeight="1">
      <c r="A48" s="2496"/>
      <c r="B48" s="2496"/>
      <c r="C48" s="432" t="s">
        <v>1794</v>
      </c>
      <c r="D48" s="436"/>
      <c r="E48" s="434">
        <f>IF(E41&lt;G41,G41/E41-1,E41/G41-1)</f>
        <v>0.25</v>
      </c>
      <c r="F48" s="435" t="str">
        <f>IF(OR(E48&gt;=0.3,E48&lt;=-0.3),"超过30%","")</f>
        <v/>
      </c>
      <c r="G48" s="434">
        <f>IF(G41&lt;I41,I41/G41-1,G41/I41-1)</f>
        <v>0</v>
      </c>
      <c r="H48" s="435" t="str">
        <f>IF(OR(G48&gt;=0.3,G48&lt;=-0.3),"超过30%","")</f>
        <v/>
      </c>
      <c r="I48" s="434">
        <f>IF(I41&lt;E41,E41/I41-1,I41/E41-1)</f>
        <v>0.25</v>
      </c>
      <c r="J48" s="435" t="str">
        <f>IF(OR(I48&gt;=0.3,I48&lt;=-0.3),"超过30%","")</f>
        <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8" t="s">
        <v>1795</v>
      </c>
      <c r="B51" s="385"/>
      <c r="C51" s="659"/>
      <c r="D51" s="659"/>
      <c r="E51" s="659"/>
      <c r="F51" s="660"/>
      <c r="G51" s="660"/>
      <c r="H51" s="659"/>
      <c r="I51" s="659"/>
      <c r="J51" s="659"/>
      <c r="K51" s="886"/>
      <c r="L51" s="887"/>
      <c r="M51" s="885"/>
      <c r="N51" s="885"/>
      <c r="O51" s="885"/>
      <c r="P51" s="438"/>
      <c r="Q51" s="439"/>
    </row>
    <row r="52" spans="1:17" s="442" customFormat="1" ht="14.4">
      <c r="A52" s="440" t="s">
        <v>1676</v>
      </c>
      <c r="B52" s="441"/>
      <c r="C52" s="1101" t="str">
        <f>YEAR(C7)&amp;"-"&amp;MONTH(C7)</f>
        <v>2024-6</v>
      </c>
      <c r="D52" s="1102">
        <f>EDATE(C52,-1)</f>
        <v>45413</v>
      </c>
      <c r="E52" s="1102">
        <f t="shared" ref="E52:O52" si="16">EDATE(D52,-1)</f>
        <v>45383</v>
      </c>
      <c r="F52" s="1102">
        <f t="shared" si="16"/>
        <v>45352</v>
      </c>
      <c r="G52" s="1102">
        <f t="shared" si="16"/>
        <v>45323</v>
      </c>
      <c r="H52" s="1102">
        <f t="shared" si="16"/>
        <v>45292</v>
      </c>
      <c r="I52" s="1102">
        <f t="shared" si="16"/>
        <v>45261</v>
      </c>
      <c r="J52" s="1102">
        <f t="shared" si="16"/>
        <v>45231</v>
      </c>
      <c r="K52" s="1102">
        <f t="shared" si="16"/>
        <v>45200</v>
      </c>
      <c r="L52" s="1102">
        <f t="shared" si="16"/>
        <v>45170</v>
      </c>
      <c r="M52" s="1102">
        <f t="shared" si="16"/>
        <v>45139</v>
      </c>
      <c r="N52" s="1102">
        <f t="shared" si="16"/>
        <v>45108</v>
      </c>
      <c r="O52" s="1102">
        <f t="shared" si="16"/>
        <v>45078</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7"/>
      <c r="O54" s="2538"/>
      <c r="P54" s="439"/>
      <c r="Q54" s="439"/>
    </row>
    <row r="55" spans="1:17" s="102" customFormat="1" ht="14.4">
      <c r="A55" s="455" t="s">
        <v>1678</v>
      </c>
      <c r="B55" s="444"/>
      <c r="C55" s="456" t="s">
        <v>1773</v>
      </c>
      <c r="D55" s="3186" t="s">
        <v>3840</v>
      </c>
      <c r="E55" s="31"/>
      <c r="F55" s="31"/>
      <c r="G55" s="31"/>
      <c r="H55" s="31"/>
      <c r="I55" s="31"/>
      <c r="J55" s="31"/>
      <c r="K55" s="31"/>
      <c r="L55" s="457"/>
      <c r="M55" s="458"/>
      <c r="N55" s="877"/>
      <c r="O55" s="877"/>
      <c r="P55" s="459"/>
      <c r="Q55" s="439"/>
    </row>
    <row r="56" spans="1:17" s="102" customFormat="1" ht="14.4" thickBot="1">
      <c r="A56" s="455"/>
      <c r="B56" s="444"/>
      <c r="C56" s="563">
        <v>100</v>
      </c>
      <c r="D56" s="446">
        <v>104</v>
      </c>
      <c r="E56" s="446"/>
      <c r="F56" s="446"/>
      <c r="G56" s="446"/>
      <c r="H56" s="446"/>
      <c r="I56" s="446"/>
      <c r="J56" s="446"/>
      <c r="K56" s="446"/>
      <c r="L56" s="446"/>
      <c r="M56" s="448"/>
      <c r="N56" s="877"/>
      <c r="O56" s="877"/>
      <c r="P56" s="439"/>
      <c r="Q56" s="439"/>
    </row>
    <row r="57" spans="1:17" ht="14.4">
      <c r="A57" s="379" t="s">
        <v>1716</v>
      </c>
      <c r="B57" s="460" t="s">
        <v>1682</v>
      </c>
      <c r="C57" s="461" t="str">
        <f>C9</f>
        <v>工业</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1685</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8"/>
      <c r="O70" s="878"/>
      <c r="P70" s="508"/>
      <c r="Q70" s="439"/>
    </row>
    <row r="71" spans="1:17" ht="14.4" thickBot="1">
      <c r="A71" s="367"/>
      <c r="B71" s="474"/>
      <c r="C71" s="475">
        <v>100</v>
      </c>
      <c r="D71" s="475">
        <f>C71-$K15</f>
        <v>97</v>
      </c>
      <c r="E71" s="475">
        <f>D71-$K15</f>
        <v>94</v>
      </c>
      <c r="F71" s="475">
        <f>E71-$K15</f>
        <v>91</v>
      </c>
      <c r="G71" s="475">
        <f>F71-$K15</f>
        <v>88</v>
      </c>
      <c r="H71" s="475"/>
      <c r="I71" s="475"/>
      <c r="J71" s="475"/>
      <c r="K71" s="475"/>
      <c r="L71" s="475"/>
      <c r="M71" s="476"/>
      <c r="N71" s="879"/>
      <c r="O71" s="879"/>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8"/>
      <c r="O72" s="878"/>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79"/>
      <c r="O73" s="879"/>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8"/>
      <c r="O74" s="878"/>
      <c r="P74" s="40"/>
      <c r="Q74" s="439"/>
    </row>
    <row r="75" spans="1:17" ht="14.4" thickBot="1">
      <c r="A75" s="367"/>
      <c r="B75" s="474"/>
      <c r="C75" s="475">
        <v>100</v>
      </c>
      <c r="D75" s="475">
        <f>C75-$K19</f>
        <v>97</v>
      </c>
      <c r="E75" s="475">
        <f>D75-$K19</f>
        <v>94</v>
      </c>
      <c r="F75" s="475">
        <f>E75-$K19</f>
        <v>91</v>
      </c>
      <c r="G75" s="475">
        <f>F75-$K19</f>
        <v>88</v>
      </c>
      <c r="H75" s="475"/>
      <c r="I75" s="475"/>
      <c r="J75" s="475"/>
      <c r="K75" s="475"/>
      <c r="L75" s="475"/>
      <c r="M75" s="476"/>
      <c r="N75" s="879"/>
      <c r="O75" s="879"/>
      <c r="P75" s="40"/>
      <c r="Q75" s="439"/>
    </row>
    <row r="76" spans="1:17" ht="15" thickTop="1">
      <c r="A76" s="367"/>
      <c r="B76" s="477" t="s">
        <v>1810</v>
      </c>
      <c r="C76" s="581" t="s">
        <v>1796</v>
      </c>
      <c r="D76" s="581" t="s">
        <v>1797</v>
      </c>
      <c r="E76" s="581" t="s">
        <v>1798</v>
      </c>
      <c r="F76" s="581" t="s">
        <v>1799</v>
      </c>
      <c r="G76" s="581" t="s">
        <v>1800</v>
      </c>
      <c r="H76" s="470"/>
      <c r="I76" s="470"/>
      <c r="J76" s="470"/>
      <c r="K76" s="470"/>
      <c r="L76" s="470"/>
      <c r="M76" s="1062"/>
      <c r="N76" s="879"/>
      <c r="O76" s="879"/>
      <c r="P76" s="40"/>
      <c r="Q76" s="439"/>
    </row>
    <row r="77" spans="1:17" ht="14.4" thickBot="1">
      <c r="A77" s="367"/>
      <c r="B77" s="477"/>
      <c r="C77" s="475">
        <v>100</v>
      </c>
      <c r="D77" s="475">
        <f>C77-$K21</f>
        <v>98</v>
      </c>
      <c r="E77" s="475">
        <f>D77-$K21</f>
        <v>96</v>
      </c>
      <c r="F77" s="475">
        <f>E77-$K21</f>
        <v>94</v>
      </c>
      <c r="G77" s="475">
        <f>F77-$K21</f>
        <v>92</v>
      </c>
      <c r="H77" s="581"/>
      <c r="I77" s="581"/>
      <c r="J77" s="581"/>
      <c r="K77" s="581"/>
      <c r="L77" s="581"/>
      <c r="M77" s="389"/>
      <c r="N77" s="879"/>
      <c r="O77" s="879"/>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8"/>
      <c r="O78" s="878"/>
      <c r="P78" s="40"/>
      <c r="Q78" s="439"/>
    </row>
    <row r="79" spans="1:17" ht="14.4" thickBot="1">
      <c r="A79" s="367"/>
      <c r="B79" s="474"/>
      <c r="C79" s="475">
        <v>100</v>
      </c>
      <c r="D79" s="475">
        <f>C79-$K23</f>
        <v>97</v>
      </c>
      <c r="E79" s="475">
        <f>D79-$K23</f>
        <v>94</v>
      </c>
      <c r="F79" s="475">
        <f>E79-$K23</f>
        <v>91</v>
      </c>
      <c r="G79" s="475">
        <f>F79-$K23</f>
        <v>88</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1691</v>
      </c>
      <c r="B88" s="460" t="s">
        <v>1733</v>
      </c>
      <c r="C88" s="3171" t="s">
        <v>3844</v>
      </c>
      <c r="D88" s="3171" t="s">
        <v>3845</v>
      </c>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90</v>
      </c>
      <c r="E89" s="475">
        <f t="shared" si="19"/>
        <v>80</v>
      </c>
      <c r="F89" s="475">
        <f t="shared" si="19"/>
        <v>70</v>
      </c>
      <c r="G89" s="475">
        <f t="shared" si="19"/>
        <v>60</v>
      </c>
      <c r="H89" s="475">
        <f t="shared" si="19"/>
        <v>50</v>
      </c>
      <c r="I89" s="475">
        <f t="shared" si="19"/>
        <v>40</v>
      </c>
      <c r="J89" s="475">
        <f t="shared" si="19"/>
        <v>30</v>
      </c>
      <c r="K89" s="475">
        <f t="shared" si="19"/>
        <v>20</v>
      </c>
      <c r="L89" s="475">
        <f t="shared" si="19"/>
        <v>10</v>
      </c>
      <c r="M89" s="476">
        <f t="shared" si="19"/>
        <v>0</v>
      </c>
      <c r="N89" s="879"/>
      <c r="O89" s="879"/>
      <c r="P89" s="40"/>
      <c r="Q89" s="439"/>
    </row>
    <row r="90" spans="1:17" ht="15" thickTop="1">
      <c r="A90" s="367"/>
      <c r="B90" s="469" t="s">
        <v>1734</v>
      </c>
      <c r="C90" s="509" t="str">
        <f>C91&amp;"(含)"&amp;"-"&amp;D91</f>
        <v>0(含)-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v>0</v>
      </c>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1735</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1737</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1738</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1739</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1741</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1827</v>
      </c>
      <c r="C106" s="509" t="s">
        <v>1718</v>
      </c>
      <c r="D106" s="509" t="s">
        <v>1719</v>
      </c>
      <c r="E106" s="509" t="s">
        <v>1720</v>
      </c>
      <c r="F106" s="509" t="s">
        <v>1721</v>
      </c>
      <c r="G106" s="509" t="s">
        <v>1722</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E46">
    <cfRule type="expression" dxfId="20" priority="16" stopIfTrue="1">
      <formula>$F$46="超过30%"</formula>
    </cfRule>
  </conditionalFormatting>
  <conditionalFormatting sqref="E47">
    <cfRule type="expression" dxfId="19" priority="15" stopIfTrue="1">
      <formula>$F$47="超过20%"</formula>
    </cfRule>
  </conditionalFormatting>
  <conditionalFormatting sqref="E48">
    <cfRule type="expression" dxfId="18" priority="14"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cfRule type="containsText" dxfId="15" priority="17" stopIfTrue="1" operator="containsText" text="超过">
      <formula>NOT(ISERROR(SEARCH("超过",F46)))</formula>
    </cfRule>
  </conditionalFormatting>
  <conditionalFormatting sqref="G46">
    <cfRule type="expression" dxfId="14" priority="12" stopIfTrue="1">
      <formula>$H$46="超过30%"</formula>
    </cfRule>
  </conditionalFormatting>
  <conditionalFormatting sqref="G47">
    <cfRule type="expression" dxfId="13" priority="11" stopIfTrue="1">
      <formula>$H$47="超过20%"</formula>
    </cfRule>
  </conditionalFormatting>
  <conditionalFormatting sqref="G48">
    <cfRule type="expression" dxfId="12" priority="13"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conditionalFormatting sqref="J46:J48">
    <cfRule type="containsText" dxfId="6" priority="8" stopIfTrue="1" operator="containsText" text="超过">
      <formula>NOT(ISERROR(SEARCH("超过",J46)))</formula>
    </cfRule>
  </conditionalFormatting>
  <dataValidations count="20">
    <dataValidation type="list" allowBlank="1" showInputMessage="1" showErrorMessage="1" sqref="E1" xr:uid="{00000000-0002-0000-2A00-000000000000}">
      <formula1>"项目模式,单套模式"</formula1>
    </dataValidation>
    <dataValidation type="list" allowBlank="1" showInputMessage="1" showErrorMessage="1" sqref="D42" xr:uid="{00000000-0002-0000-2A00-000001000000}">
      <formula1>"简单平均,加权平均"</formula1>
    </dataValidation>
    <dataValidation type="list" allowBlank="1" showInputMessage="1" showErrorMessage="1" sqref="F2" xr:uid="{00000000-0002-0000-2A00-000002000000}">
      <formula1>估价方法</formula1>
    </dataValidation>
    <dataValidation type="list" allowBlank="1" showInputMessage="1" showErrorMessage="1" sqref="C2" xr:uid="{00000000-0002-0000-2A00-000003000000}">
      <formula1>"需扣减承租人权益,——"</formula1>
    </dataValidation>
    <dataValidation type="list" allowBlank="1" showInputMessage="1" showErrorMessage="1" sqref="F1" xr:uid="{00000000-0002-0000-2A00-000004000000}">
      <formula1>"售价,租金"</formula1>
    </dataValidation>
    <dataValidation type="list" allowBlank="1" showInputMessage="1" showErrorMessage="1" sqref="C22 E22 G22 I22" xr:uid="{00000000-0002-0000-2A00-000005000000}">
      <formula1>基础设施水平</formula1>
    </dataValidation>
    <dataValidation type="list" allowBlank="1" showInputMessage="1" showErrorMessage="1" sqref="C16 E16 G16 I16" xr:uid="{00000000-0002-0000-2A00-000006000000}">
      <formula1>产业集聚程度</formula1>
    </dataValidation>
    <dataValidation type="list" allowBlank="1" showInputMessage="1" showErrorMessage="1" sqref="C37 E37 G37 I37" xr:uid="{00000000-0002-0000-2A00-000007000000}">
      <formula1>内部装修维护情况</formula1>
    </dataValidation>
    <dataValidation type="list" allowBlank="1" showInputMessage="1" showErrorMessage="1" sqref="C36 E36 G36 I36" xr:uid="{00000000-0002-0000-2A00-000008000000}">
      <formula1>工业内部装修</formula1>
    </dataValidation>
    <dataValidation type="list" allowBlank="1" showInputMessage="1" showErrorMessage="1" sqref="C35 E35 G35 I35" xr:uid="{00000000-0002-0000-2A00-000009000000}">
      <formula1>工业基础设施水平</formula1>
    </dataValidation>
    <dataValidation type="list" allowBlank="1" showInputMessage="1" showErrorMessage="1" sqref="C34 E34 G34 I34" xr:uid="{00000000-0002-0000-2A00-00000A000000}">
      <formula1>工业物业管理</formula1>
    </dataValidation>
    <dataValidation type="list" allowBlank="1" showInputMessage="1" showErrorMessage="1" sqref="C32 E32 G32 I32" xr:uid="{00000000-0002-0000-2A00-00000B000000}">
      <formula1>工业公共部分装修</formula1>
    </dataValidation>
    <dataValidation type="list" allowBlank="1" showInputMessage="1" showErrorMessage="1" sqref="C31 E31 G31 I31" xr:uid="{00000000-0002-0000-2A00-00000C000000}">
      <formula1>工业建筑结构</formula1>
    </dataValidation>
    <dataValidation type="list" allowBlank="1" showInputMessage="1" showErrorMessage="1" sqref="C29 E29 G29 I29" xr:uid="{00000000-0002-0000-2A00-00000D000000}">
      <formula1>工业建筑类型</formula1>
    </dataValidation>
    <dataValidation type="list" allowBlank="1" showInputMessage="1" showErrorMessage="1" sqref="E9 G9 I9" xr:uid="{00000000-0002-0000-2A00-00000E000000}">
      <formula1>工业用途</formula1>
    </dataValidation>
    <dataValidation type="list" allowBlank="1" showInputMessage="1" showErrorMessage="1" sqref="C8 E8 G8 I8" xr:uid="{00000000-0002-0000-2A00-00000F000000}">
      <formula1>工业交易情况</formula1>
    </dataValidation>
    <dataValidation type="list" allowBlank="1" showInputMessage="1" showErrorMessage="1" sqref="E24 G24 I24 C24" xr:uid="{00000000-0002-0000-2A00-000010000000}">
      <formula1>环境</formula1>
    </dataValidation>
    <dataValidation type="list" allowBlank="1" showInputMessage="1" showErrorMessage="1" sqref="E18 G18 I18 C18" xr:uid="{00000000-0002-0000-2A00-000011000000}">
      <formula1>交通便捷度</formula1>
    </dataValidation>
    <dataValidation type="list" allowBlank="1" showInputMessage="1" showErrorMessage="1" sqref="C20 G20 E20 I20" xr:uid="{00000000-0002-0000-2A00-000012000000}">
      <formula1>公共配套设施</formula1>
    </dataValidation>
    <dataValidation type="list" allowBlank="1" showInputMessage="1" showErrorMessage="1" sqref="D1" xr:uid="{00000000-0002-0000-2A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topLeftCell="A34" zoomScaleNormal="80" zoomScaleSheetLayoutView="100" workbookViewId="0">
      <selection activeCell="E44" sqref="E4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1922</v>
      </c>
      <c r="B1" s="189"/>
      <c r="C1" s="193" t="s">
        <v>1923</v>
      </c>
      <c r="D1" s="333">
        <f>SUM(D33:D34,D37:D42)</f>
        <v>20034.16</v>
      </c>
      <c r="E1" s="1841"/>
      <c r="F1" s="1841"/>
      <c r="G1" s="1841"/>
      <c r="H1" s="1841"/>
      <c r="I1" s="1841"/>
      <c r="J1" s="1841"/>
      <c r="K1" s="1055"/>
      <c r="L1" s="1842" t="s">
        <v>1924</v>
      </c>
      <c r="M1" s="809">
        <f>SUMPRODUCT((区片价!B5:B9=I2)*(区片价!C3:G3=E2)*(区片价!C5:G9))</f>
        <v>0</v>
      </c>
      <c r="N1" s="812">
        <f>SUMPRODUCT((因素修正幅度!B5:B9=I2)*(因素修正幅度!C3:G3=E2)*(因素修正幅度!C5:G9))</f>
        <v>0</v>
      </c>
      <c r="O1" s="1843"/>
      <c r="P1" s="1843"/>
      <c r="Q1" s="1055"/>
      <c r="R1" s="1127" t="s">
        <v>1925</v>
      </c>
      <c r="S1" s="1127" t="s">
        <v>1926</v>
      </c>
      <c r="T1" s="1127" t="s">
        <v>1927</v>
      </c>
      <c r="U1" s="1127" t="s">
        <v>1928</v>
      </c>
      <c r="V1" s="1127" t="s">
        <v>1929</v>
      </c>
      <c r="W1" s="1131"/>
      <c r="X1" s="1131"/>
      <c r="Y1" s="1131"/>
      <c r="Z1" s="1131"/>
      <c r="AA1" s="1131"/>
      <c r="AB1" s="1131"/>
      <c r="AC1" s="1132"/>
      <c r="AD1" s="1133"/>
      <c r="AE1" s="1133"/>
      <c r="AF1" s="1133"/>
      <c r="AG1" s="1133"/>
      <c r="AH1" s="1133"/>
      <c r="AI1" s="1133"/>
      <c r="AJ1" s="1134"/>
    </row>
    <row r="2" spans="1:36" ht="26.4">
      <c r="A2" s="193" t="s">
        <v>1930</v>
      </c>
      <c r="B2" s="196">
        <f>C30</f>
        <v>2476</v>
      </c>
      <c r="C2" s="1845" t="s">
        <v>1931</v>
      </c>
      <c r="D2" s="162" t="s">
        <v>1932</v>
      </c>
      <c r="E2" s="3119" t="s">
        <v>3</v>
      </c>
      <c r="F2" s="162" t="s">
        <v>1933</v>
      </c>
      <c r="G2" s="163" t="str">
        <f>IF(E2="商业",项目基本情况!B37,IF(E2="办公",项目基本情况!C37,IF(E2="住宅",项目基本情况!D37,IF(E2="工业",项目基本情况!E37,项目基本情况!F37))))</f>
        <v>八级</v>
      </c>
      <c r="H2" s="162" t="s">
        <v>1934</v>
      </c>
      <c r="I2" s="163" t="str">
        <f>IF(E2="商业",项目基本情况!B38,IF(E2="办公",项目基本情况!C38,IF(E2="住宅",项目基本情况!D38,IF(E2="工业",项目基本情况!E38,项目基本情况!F38))))</f>
        <v>Ⅷ-生物医药基地</v>
      </c>
      <c r="J2" s="1841"/>
      <c r="K2" s="1055"/>
      <c r="L2" s="1846" t="s">
        <v>1935</v>
      </c>
      <c r="M2" s="810">
        <f>SUMPRODUCT((区片价!B10:B29=I2)*(区片价!C3:G3=E2)*(区片价!C10:G29))</f>
        <v>0</v>
      </c>
      <c r="N2" s="812">
        <f>SUMPRODUCT((因素修正幅度!B10:B29=I2)*(因素修正幅度!C3:G3=E2)*(因素修正幅度!C10:G29))</f>
        <v>0</v>
      </c>
      <c r="O2" s="1055"/>
      <c r="P2" s="1055"/>
      <c r="Q2" s="1055"/>
      <c r="R2" s="1127">
        <v>1</v>
      </c>
      <c r="S2" s="3062">
        <f>ROUND(SUMPRODUCT((B106:B110=R2)*(C105:N105=G2)*(C106:N110)),4)</f>
        <v>1.5418000000000001</v>
      </c>
      <c r="T2" s="3062">
        <f t="shared" ref="T2:T16" si="0">ROUND($C$5*$C$22*$C$23*$C$24*S2*$C$28,0)</f>
        <v>2117</v>
      </c>
      <c r="U2" s="1128"/>
      <c r="V2" s="3062">
        <f>ROUND(T2*U2/10000,0)</f>
        <v>0</v>
      </c>
      <c r="W2" s="1131"/>
      <c r="X2" s="1131"/>
      <c r="Y2" s="1131"/>
      <c r="Z2" s="1131"/>
      <c r="AA2" s="1131"/>
      <c r="AB2" s="1131"/>
      <c r="AC2" s="1132"/>
      <c r="AD2" s="1133"/>
      <c r="AE2" s="1133"/>
      <c r="AF2" s="1133"/>
      <c r="AG2" s="1133"/>
      <c r="AH2" s="1133"/>
      <c r="AI2" s="1133"/>
      <c r="AJ2" s="1134"/>
    </row>
    <row r="3" spans="1:36" ht="15.6">
      <c r="A3" s="195" t="s">
        <v>1936</v>
      </c>
      <c r="B3" s="196">
        <f>ROUND(B2*10000/D1,0)</f>
        <v>1236</v>
      </c>
      <c r="C3" s="1845" t="s">
        <v>1937</v>
      </c>
      <c r="D3" s="162" t="s">
        <v>1938</v>
      </c>
      <c r="E3" s="3117" t="s">
        <v>2479</v>
      </c>
      <c r="F3" s="1847" t="s">
        <v>3796</v>
      </c>
      <c r="G3" s="707">
        <f>IF(F3="宗地容积率",'数据-汇总表'!I4,IF(F3="估价对象容积率",'数据-汇总表'!I6,'数据-汇总表'!I7))</f>
        <v>1.24</v>
      </c>
      <c r="H3" s="162" t="s">
        <v>1939</v>
      </c>
      <c r="I3" s="728"/>
      <c r="J3" s="1841" t="s">
        <v>1940</v>
      </c>
      <c r="K3" s="1055"/>
      <c r="L3" s="1846" t="s">
        <v>1941</v>
      </c>
      <c r="M3" s="810">
        <f>SUMPRODUCT((区片价!B30:B54=I2)*(区片价!C3:G3=E2)*(区片价!C30:G54))</f>
        <v>0</v>
      </c>
      <c r="N3" s="812">
        <f>SUMPRODUCT((因素修正幅度!B30:B54=I2)*(因素修正幅度!C3:G3=E2)*(因素修正幅度!C30:G54))</f>
        <v>0</v>
      </c>
      <c r="O3" s="1055"/>
      <c r="P3" s="1055"/>
      <c r="Q3" s="1055"/>
      <c r="R3" s="1127">
        <v>2</v>
      </c>
      <c r="S3" s="3062">
        <f>ROUND(SUMPRODUCT((B106:B110=R3)*(C105:N105=G2)*(C106:N110)),4)</f>
        <v>1.1883999999999999</v>
      </c>
      <c r="T3" s="3062">
        <f t="shared" si="0"/>
        <v>1632</v>
      </c>
      <c r="U3" s="1128"/>
      <c r="V3" s="3062">
        <f t="shared" ref="V3:V16" si="1">ROUND(T3*U3/10000,0)</f>
        <v>0</v>
      </c>
      <c r="W3" s="1131"/>
      <c r="X3" s="1131"/>
      <c r="Y3" s="1131"/>
      <c r="Z3" s="1131"/>
      <c r="AA3" s="1131"/>
      <c r="AB3" s="1131"/>
      <c r="AC3" s="1132"/>
      <c r="AD3" s="1133"/>
      <c r="AE3" s="1133"/>
      <c r="AF3" s="1133"/>
      <c r="AG3" s="1133"/>
      <c r="AH3" s="1133"/>
      <c r="AI3" s="1133"/>
      <c r="AJ3" s="1134"/>
    </row>
    <row r="4" spans="1:36" ht="15.6">
      <c r="A4" s="3523"/>
      <c r="B4" s="3524"/>
      <c r="C4" s="3524"/>
      <c r="D4" s="3525"/>
      <c r="E4" s="3525"/>
      <c r="F4" s="3525"/>
      <c r="G4" s="3525"/>
      <c r="H4" s="3525"/>
      <c r="I4" s="3525"/>
      <c r="J4" s="3526"/>
      <c r="K4" s="1055"/>
      <c r="L4" s="1846" t="s">
        <v>1942</v>
      </c>
      <c r="M4" s="810">
        <f>SUMPRODUCT((区片价!B55:B86=I2)*(区片价!C3:G3=E2)*(区片价!C55:G86))</f>
        <v>0</v>
      </c>
      <c r="N4" s="812">
        <f>SUMPRODUCT((因素修正幅度!B55:B86=I2)*(因素修正幅度!C3:G3=E2)*(因素修正幅度!C55:G86))</f>
        <v>0</v>
      </c>
      <c r="O4" s="1055"/>
      <c r="P4" s="1055"/>
      <c r="Q4" s="1055"/>
      <c r="R4" s="1127">
        <v>3</v>
      </c>
      <c r="S4" s="3062">
        <f>ROUND(SUMPRODUCT((B106:B110=R4)*(C105:N105=G2)*(C106:N110)),4)</f>
        <v>0.96940000000000004</v>
      </c>
      <c r="T4" s="3062">
        <f t="shared" si="0"/>
        <v>1331</v>
      </c>
      <c r="U4" s="1128"/>
      <c r="V4" s="3062">
        <f t="shared" si="1"/>
        <v>0</v>
      </c>
      <c r="W4" s="1131"/>
      <c r="X4" s="1131"/>
      <c r="Y4" s="1131"/>
      <c r="Z4" s="1131"/>
      <c r="AA4" s="1131"/>
      <c r="AB4" s="1131"/>
      <c r="AC4" s="1132"/>
      <c r="AD4" s="1133"/>
      <c r="AE4" s="1133"/>
      <c r="AF4" s="1133"/>
      <c r="AG4" s="1133"/>
      <c r="AH4" s="1133"/>
      <c r="AI4" s="1133"/>
      <c r="AJ4" s="1134"/>
    </row>
    <row r="5" spans="1:36" s="1857" customFormat="1" ht="15.6" thickBot="1">
      <c r="A5" s="1848" t="s">
        <v>362</v>
      </c>
      <c r="B5" s="1849" t="s">
        <v>1943</v>
      </c>
      <c r="C5" s="708">
        <f>ROUND(IF(E2="商业",C6*C7*C17+C20,(IF(E2="住宅",C6*C13*C17+C20,IF(E2="办公",C6*C12*C17+C20,C6+C20)))),0)</f>
        <v>1420</v>
      </c>
      <c r="D5" s="1250">
        <f>ROUND(C6*C17+C20,0)</f>
        <v>1420</v>
      </c>
      <c r="E5" s="1250"/>
      <c r="F5" s="1850"/>
      <c r="G5" s="1851"/>
      <c r="H5" s="1851"/>
      <c r="I5" s="1851"/>
      <c r="J5" s="1852"/>
      <c r="K5" s="1853"/>
      <c r="L5" s="1846" t="s">
        <v>1944</v>
      </c>
      <c r="M5" s="810">
        <f>SUMPRODUCT((区片价!B87:B126=I2)*(区片价!C3:G3=E2)*(区片价!C87:G126))</f>
        <v>0</v>
      </c>
      <c r="N5" s="812">
        <f>SUMPRODUCT((因素修正幅度!B87:B126=I2)*(因素修正幅度!C3:G3=E2)*(因素修正幅度!C87:G126))</f>
        <v>0</v>
      </c>
      <c r="O5" s="1055"/>
      <c r="P5" s="1055"/>
      <c r="Q5" s="1055"/>
      <c r="R5" s="1127">
        <v>4</v>
      </c>
      <c r="S5" s="3062">
        <f>ROUND(SUMPRODUCT((B106:B110=R5)*(C105:N105=G2)*(C106:N110)),4)</f>
        <v>0.82299999999999995</v>
      </c>
      <c r="T5" s="3062">
        <f t="shared" si="0"/>
        <v>1130</v>
      </c>
      <c r="U5" s="1128"/>
      <c r="V5" s="3062">
        <f t="shared" si="1"/>
        <v>0</v>
      </c>
      <c r="W5" s="1131"/>
      <c r="X5" s="1131"/>
      <c r="Y5" s="1131"/>
      <c r="Z5" s="1131"/>
      <c r="AA5" s="1131"/>
      <c r="AB5" s="1131"/>
      <c r="AC5" s="1854"/>
      <c r="AD5" s="1855"/>
      <c r="AE5" s="1855"/>
      <c r="AF5" s="1855"/>
      <c r="AG5" s="1855"/>
      <c r="AH5" s="1855"/>
      <c r="AI5" s="1855"/>
      <c r="AJ5" s="1856"/>
    </row>
    <row r="6" spans="1:36" ht="15.6" thickBot="1">
      <c r="A6" s="1858" t="s">
        <v>1945</v>
      </c>
      <c r="B6" s="1859" t="s">
        <v>1946</v>
      </c>
      <c r="C6" s="709">
        <f>SUMIF(L1:L12,G2,M1:M12)</f>
        <v>1380</v>
      </c>
      <c r="D6" s="1860"/>
      <c r="E6" s="1861"/>
      <c r="F6" s="1861"/>
      <c r="G6" s="1862"/>
      <c r="H6" s="1862"/>
      <c r="I6" s="1862"/>
      <c r="J6" s="1863"/>
      <c r="K6" s="1290"/>
      <c r="L6" s="1846" t="s">
        <v>1947</v>
      </c>
      <c r="M6" s="810">
        <f>SUMPRODUCT((区片价!B127:B189=I2)*(区片价!C3:G3=E2)*(区片价!C127:G189))</f>
        <v>0</v>
      </c>
      <c r="N6" s="812">
        <f>SUMPRODUCT((因素修正幅度!B127:B189=I2)*(因素修正幅度!C3:G3=E2)*(因素修正幅度!C127:G189))</f>
        <v>0</v>
      </c>
      <c r="O6" s="1055"/>
      <c r="P6" s="1055"/>
      <c r="Q6" s="1055"/>
      <c r="R6" s="1127">
        <v>5</v>
      </c>
      <c r="S6" s="3062">
        <f>ROUND(SUMPRODUCT((B106:B110=R6)*(C105:N105=G2)*(C106:N110)),4)</f>
        <v>0.74980000000000002</v>
      </c>
      <c r="T6" s="3062">
        <f t="shared" si="0"/>
        <v>1030</v>
      </c>
      <c r="U6" s="1128"/>
      <c r="V6" s="3062">
        <f t="shared" si="1"/>
        <v>0</v>
      </c>
      <c r="W6" s="1131"/>
      <c r="X6" s="1131"/>
      <c r="Y6" s="1131"/>
      <c r="Z6" s="1131"/>
      <c r="AA6" s="1131"/>
      <c r="AB6" s="1131"/>
      <c r="AC6" s="1854"/>
      <c r="AD6" s="1855"/>
      <c r="AE6" s="1855"/>
      <c r="AF6" s="1855"/>
      <c r="AG6" s="1855"/>
      <c r="AH6" s="1855"/>
      <c r="AI6" s="1855"/>
      <c r="AJ6" s="1856"/>
    </row>
    <row r="7" spans="1:36" ht="24.6" thickBot="1">
      <c r="A7" s="3011" t="s">
        <v>3237</v>
      </c>
      <c r="B7" s="1864" t="s">
        <v>1948</v>
      </c>
      <c r="C7" s="710">
        <f>IF(C8="不临65条商业街",1,ROUND(1+(1.6*E8+1.2*E9+0.8*E10+0.4*E11)*C9,4))</f>
        <v>1</v>
      </c>
      <c r="D7" s="1865" t="s">
        <v>1949</v>
      </c>
      <c r="E7" s="729"/>
      <c r="F7" s="1866"/>
      <c r="G7" s="1867"/>
      <c r="H7" s="1867"/>
      <c r="I7" s="1867"/>
      <c r="J7" s="1868"/>
      <c r="K7" s="1290"/>
      <c r="L7" s="1846" t="s">
        <v>1950</v>
      </c>
      <c r="M7" s="810">
        <f>SUMPRODUCT((区片价!B190:B233=I2)*(区片价!C3:G3=E2)*(区片价!C190:G233))</f>
        <v>0</v>
      </c>
      <c r="N7" s="812">
        <f>SUMPRODUCT((因素修正幅度!B190:B233=I2)*(因素修正幅度!C3:G3=E2)*(因素修正幅度!C190:G233))</f>
        <v>0</v>
      </c>
      <c r="O7" s="1055"/>
      <c r="P7" s="1055"/>
      <c r="Q7" s="1055"/>
      <c r="R7" s="1127">
        <v>6</v>
      </c>
      <c r="S7" s="3116"/>
      <c r="T7" s="3062">
        <f t="shared" si="0"/>
        <v>0</v>
      </c>
      <c r="U7" s="1128"/>
      <c r="V7" s="3062">
        <f t="shared" si="1"/>
        <v>0</v>
      </c>
      <c r="W7" s="1265" t="s">
        <v>1951</v>
      </c>
      <c r="X7" s="1129" t="str">
        <f>G2</f>
        <v>八级</v>
      </c>
      <c r="Y7" s="1129" t="s">
        <v>1952</v>
      </c>
      <c r="Z7" s="1130">
        <f>G3</f>
        <v>1.24</v>
      </c>
      <c r="AA7" s="1131"/>
      <c r="AB7" s="1131"/>
      <c r="AC7" s="1132"/>
      <c r="AD7" s="1133"/>
      <c r="AE7" s="1133"/>
      <c r="AF7" s="1133"/>
      <c r="AG7" s="1133"/>
      <c r="AH7" s="1133"/>
      <c r="AI7" s="1133"/>
      <c r="AJ7" s="1134"/>
    </row>
    <row r="8" spans="1:36" ht="26.4">
      <c r="A8" s="3008"/>
      <c r="B8" s="162" t="s">
        <v>1953</v>
      </c>
      <c r="C8" s="1869" t="s">
        <v>3797</v>
      </c>
      <c r="D8" s="711" t="s">
        <v>112</v>
      </c>
      <c r="E8" s="712" t="e">
        <f>ROUND(C11/E7,4)</f>
        <v>#DIV/0!</v>
      </c>
      <c r="F8" s="1870" t="s">
        <v>1954</v>
      </c>
      <c r="G8" s="1871"/>
      <c r="H8" s="1871"/>
      <c r="I8" s="1871"/>
      <c r="J8" s="1872"/>
      <c r="K8" s="1055"/>
      <c r="L8" s="1846" t="s">
        <v>1955</v>
      </c>
      <c r="M8" s="810">
        <f>SUMPRODUCT((区片价!B234:B276=I2)*(区片价!C3:G3=E2)*(区片价!C234:G276))</f>
        <v>1380</v>
      </c>
      <c r="N8" s="812">
        <f>SUMPRODUCT((因素修正幅度!B234:B276=I2)*(因素修正幅度!C3:G3=E2)*(因素修正幅度!C234:G276))</f>
        <v>0.05</v>
      </c>
      <c r="O8" s="1055"/>
      <c r="P8" s="1055"/>
      <c r="Q8" s="1055"/>
      <c r="R8" s="1127">
        <v>7</v>
      </c>
      <c r="S8" s="1128"/>
      <c r="T8" s="3062">
        <f t="shared" si="0"/>
        <v>0</v>
      </c>
      <c r="U8" s="1128"/>
      <c r="V8" s="3062">
        <f t="shared" si="1"/>
        <v>0</v>
      </c>
      <c r="W8" s="3520" t="s">
        <v>1956</v>
      </c>
      <c r="X8" s="3521"/>
      <c r="Y8" s="1135" t="s">
        <v>1957</v>
      </c>
      <c r="Z8" s="1135" t="s">
        <v>1958</v>
      </c>
      <c r="AA8" s="1135" t="s">
        <v>1959</v>
      </c>
      <c r="AB8" s="1135" t="s">
        <v>1960</v>
      </c>
      <c r="AC8" s="1135" t="s">
        <v>1961</v>
      </c>
      <c r="AD8" s="1135" t="s">
        <v>1962</v>
      </c>
      <c r="AE8" s="1135" t="s">
        <v>1963</v>
      </c>
      <c r="AF8" s="1135" t="s">
        <v>1964</v>
      </c>
      <c r="AG8" s="1135" t="s">
        <v>1965</v>
      </c>
      <c r="AH8" s="1135" t="s">
        <v>1966</v>
      </c>
      <c r="AI8" s="1135" t="s">
        <v>1967</v>
      </c>
      <c r="AJ8" s="1135" t="s">
        <v>1968</v>
      </c>
    </row>
    <row r="9" spans="1:36" ht="15">
      <c r="A9" s="3008"/>
      <c r="B9" s="162" t="s">
        <v>1969</v>
      </c>
      <c r="C9" s="713">
        <f>SUMIF(修正!C71:C138,C8,修正!E71:E138)</f>
        <v>0</v>
      </c>
      <c r="D9" s="163" t="s">
        <v>113</v>
      </c>
      <c r="E9" s="163" t="e">
        <f>ROUND(C11/E7,4)</f>
        <v>#DIV/0!</v>
      </c>
      <c r="F9" s="1870" t="s">
        <v>1970</v>
      </c>
      <c r="G9" s="1871"/>
      <c r="H9" s="1871"/>
      <c r="I9" s="1871"/>
      <c r="J9" s="1872"/>
      <c r="K9" s="1055"/>
      <c r="L9" s="1846" t="s">
        <v>1971</v>
      </c>
      <c r="M9" s="810">
        <f>SUMPRODUCT((区片价!B277:B326=I2)*(区片价!C3:G3=E2)*(区片价!C277:G326))</f>
        <v>0</v>
      </c>
      <c r="N9" s="812">
        <f>SUMPRODUCT((因素修正幅度!B277:B326=I2)*(因素修正幅度!C3:G3=E2)*(因素修正幅度!C277:G326))</f>
        <v>0</v>
      </c>
      <c r="O9" s="1055"/>
      <c r="P9" s="1055"/>
      <c r="Q9" s="1055"/>
      <c r="R9" s="1127">
        <v>8</v>
      </c>
      <c r="S9" s="1128"/>
      <c r="T9" s="3062">
        <f t="shared" si="0"/>
        <v>0</v>
      </c>
      <c r="U9" s="1128"/>
      <c r="V9" s="3062">
        <f t="shared" si="1"/>
        <v>0</v>
      </c>
      <c r="W9" s="3522"/>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1972</v>
      </c>
      <c r="C10" s="163">
        <f>SUMIF(修正!C71:C138,C8,修正!F71:F138)</f>
        <v>0</v>
      </c>
      <c r="D10" s="163" t="s">
        <v>114</v>
      </c>
      <c r="E10" s="163" t="e">
        <f>ROUND(C11/E7,4)</f>
        <v>#DIV/0!</v>
      </c>
      <c r="F10" s="1870" t="s">
        <v>1973</v>
      </c>
      <c r="G10" s="1871"/>
      <c r="H10" s="1871"/>
      <c r="I10" s="1871"/>
      <c r="J10" s="1872"/>
      <c r="K10" s="1055"/>
      <c r="L10" s="1846" t="s">
        <v>1974</v>
      </c>
      <c r="M10" s="810">
        <f>SUMPRODUCT((区片价!B327:B357=I2)*(区片价!C3:G3=E2)*(区片价!C327:G357))</f>
        <v>0</v>
      </c>
      <c r="N10" s="812">
        <f>SUMPRODUCT((因素修正幅度!B327:B357=I2)*(因素修正幅度!C3:G3=E2)*(因素修正幅度!C327:G357))</f>
        <v>0</v>
      </c>
      <c r="O10" s="1055"/>
      <c r="P10" s="1055"/>
      <c r="Q10" s="1055"/>
      <c r="R10" s="1127">
        <v>9</v>
      </c>
      <c r="S10" s="1128"/>
      <c r="T10" s="3062">
        <f t="shared" si="0"/>
        <v>0</v>
      </c>
      <c r="U10" s="1128"/>
      <c r="V10" s="3062">
        <f t="shared" si="1"/>
        <v>0</v>
      </c>
      <c r="W10" s="352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1975</v>
      </c>
      <c r="C11" s="714">
        <f>C10/4</f>
        <v>0</v>
      </c>
      <c r="D11" s="714" t="s">
        <v>115</v>
      </c>
      <c r="E11" s="714" t="e">
        <f>ROUND(C11/E7,4)</f>
        <v>#DIV/0!</v>
      </c>
      <c r="F11" s="1874" t="s">
        <v>1976</v>
      </c>
      <c r="G11" s="1875"/>
      <c r="H11" s="1875"/>
      <c r="I11" s="1875"/>
      <c r="J11" s="1876"/>
      <c r="K11" s="1055"/>
      <c r="L11" s="1846" t="s">
        <v>1977</v>
      </c>
      <c r="M11" s="810">
        <f>SUMPRODUCT((区片价!B358:B377=I2)*(区片价!C3:G3=E2)*(区片价!C358:G377))</f>
        <v>0</v>
      </c>
      <c r="N11" s="812">
        <f>SUMPRODUCT((因素修正幅度!B358:B377=I2)*(因素修正幅度!C3:G3=E2)*(因素修正幅度!C358:G377))</f>
        <v>0</v>
      </c>
      <c r="O11" s="1055"/>
      <c r="P11" s="1055"/>
      <c r="Q11" s="1055"/>
      <c r="R11" s="1127">
        <v>10</v>
      </c>
      <c r="S11" s="1128"/>
      <c r="T11" s="3062">
        <f t="shared" si="0"/>
        <v>0</v>
      </c>
      <c r="U11" s="1128"/>
      <c r="V11" s="3062">
        <f t="shared" si="1"/>
        <v>0</v>
      </c>
      <c r="W11" s="1131"/>
      <c r="X11" s="1131"/>
      <c r="Y11" s="1131"/>
      <c r="Z11" s="1131"/>
      <c r="AA11" s="1131"/>
      <c r="AB11" s="1131"/>
      <c r="AC11" s="1132"/>
      <c r="AD11" s="2552"/>
      <c r="AE11" s="2552"/>
      <c r="AF11" s="2552"/>
      <c r="AG11" s="2552"/>
      <c r="AH11" s="2552"/>
      <c r="AI11" s="2552"/>
      <c r="AJ11" s="2553"/>
    </row>
    <row r="12" spans="1:36" ht="25.8" thickBot="1">
      <c r="A12" s="3011" t="s">
        <v>3238</v>
      </c>
      <c r="B12" s="3012" t="s">
        <v>3239</v>
      </c>
      <c r="C12" s="3013">
        <v>1</v>
      </c>
      <c r="D12" s="3014" t="s">
        <v>3240</v>
      </c>
      <c r="E12" s="3015" t="s">
        <v>3241</v>
      </c>
      <c r="F12" s="3016"/>
      <c r="G12" s="3017"/>
      <c r="H12" s="3017"/>
      <c r="I12" s="3017"/>
      <c r="J12" s="3018"/>
      <c r="K12" s="1055"/>
      <c r="L12" s="1794" t="s">
        <v>1980</v>
      </c>
      <c r="M12" s="811">
        <f>SUMPRODUCT((区片价!B378:B384=I2)*(区片价!C3:G3=E2)*(区片价!C378:G384))</f>
        <v>0</v>
      </c>
      <c r="N12" s="812">
        <f>SUMPRODUCT((因素修正幅度!B378:B384=I2)*(因素修正幅度!C3:G3=E2)*(因素修正幅度!C378:G384))</f>
        <v>0</v>
      </c>
      <c r="O12" s="1055"/>
      <c r="P12" s="1055"/>
      <c r="Q12" s="1055"/>
      <c r="R12" s="1127">
        <v>11</v>
      </c>
      <c r="S12" s="1128"/>
      <c r="T12" s="3062">
        <f t="shared" si="0"/>
        <v>0</v>
      </c>
      <c r="U12" s="1128"/>
      <c r="V12" s="3062">
        <f t="shared" si="1"/>
        <v>0</v>
      </c>
      <c r="W12" s="1131"/>
      <c r="X12" s="1131"/>
      <c r="Y12" s="1131"/>
      <c r="Z12" s="1131"/>
      <c r="AA12" s="1131"/>
      <c r="AB12" s="1131"/>
      <c r="AC12" s="1132"/>
      <c r="AD12" s="2552"/>
      <c r="AE12" s="2552"/>
      <c r="AF12" s="2552"/>
      <c r="AG12" s="2552"/>
      <c r="AH12" s="2552"/>
      <c r="AI12" s="2552"/>
      <c r="AJ12" s="2553"/>
    </row>
    <row r="13" spans="1:36" ht="24.6" thickBot="1">
      <c r="A13" s="3011" t="s">
        <v>3242</v>
      </c>
      <c r="B13" s="1877" t="s">
        <v>1978</v>
      </c>
      <c r="C13" s="710">
        <f>ROUND(C16*D16*E16*F16*G16*H16*I16*J16,4)</f>
        <v>0</v>
      </c>
      <c r="D13" s="1878" t="s">
        <v>1979</v>
      </c>
      <c r="E13" s="1879"/>
      <c r="F13" s="1879"/>
      <c r="G13" s="1880"/>
      <c r="H13" s="1880"/>
      <c r="I13" s="1880"/>
      <c r="J13" s="1881"/>
      <c r="K13" s="1055"/>
      <c r="L13" s="3"/>
      <c r="M13" s="4"/>
      <c r="N13" s="3009"/>
      <c r="O13" s="1055"/>
      <c r="P13" s="1055"/>
      <c r="Q13" s="1055"/>
      <c r="R13" s="1127">
        <v>12</v>
      </c>
      <c r="S13" s="1128"/>
      <c r="T13" s="3062">
        <f t="shared" si="0"/>
        <v>0</v>
      </c>
      <c r="U13" s="1128"/>
      <c r="V13" s="3062">
        <f t="shared" si="1"/>
        <v>0</v>
      </c>
      <c r="W13" s="1131"/>
      <c r="X13" s="1131"/>
      <c r="Y13" s="1131"/>
      <c r="Z13" s="1131"/>
      <c r="AA13" s="1131"/>
      <c r="AB13" s="1131"/>
      <c r="AC13" s="1132"/>
      <c r="AD13" s="2552"/>
      <c r="AE13" s="2552"/>
      <c r="AF13" s="2552"/>
      <c r="AG13" s="2552"/>
      <c r="AH13" s="2552"/>
      <c r="AI13" s="2552"/>
      <c r="AJ13" s="2553"/>
    </row>
    <row r="14" spans="1:36" ht="24">
      <c r="A14" s="3007"/>
      <c r="B14" s="1882" t="s">
        <v>1981</v>
      </c>
      <c r="C14" s="1883" t="s">
        <v>1982</v>
      </c>
      <c r="D14" s="1259" t="s">
        <v>1983</v>
      </c>
      <c r="E14" s="27" t="s">
        <v>1984</v>
      </c>
      <c r="F14" s="3019" t="s">
        <v>3243</v>
      </c>
      <c r="G14" s="3019" t="s">
        <v>3243</v>
      </c>
      <c r="H14" s="3019" t="s">
        <v>3243</v>
      </c>
      <c r="I14" s="3019" t="s">
        <v>3243</v>
      </c>
      <c r="J14" s="3019" t="s">
        <v>3243</v>
      </c>
      <c r="K14" s="1055"/>
      <c r="L14" s="1055"/>
      <c r="M14" s="1055"/>
      <c r="N14" s="1055"/>
      <c r="O14" s="1055"/>
      <c r="P14" s="1055"/>
      <c r="Q14" s="1055"/>
      <c r="R14" s="1127">
        <v>13</v>
      </c>
      <c r="S14" s="1128"/>
      <c r="T14" s="3062">
        <f t="shared" si="0"/>
        <v>0</v>
      </c>
      <c r="U14" s="1128"/>
      <c r="V14" s="3062">
        <f t="shared" si="1"/>
        <v>0</v>
      </c>
      <c r="W14" s="1131"/>
      <c r="X14" s="1131"/>
      <c r="Y14" s="1131"/>
      <c r="Z14" s="1131"/>
      <c r="AA14" s="1131"/>
      <c r="AB14" s="1131"/>
      <c r="AC14" s="1132"/>
      <c r="AD14" s="2552"/>
      <c r="AE14" s="2552"/>
      <c r="AF14" s="2552"/>
      <c r="AG14" s="2552"/>
      <c r="AH14" s="2552"/>
      <c r="AI14" s="2552"/>
      <c r="AJ14" s="2553"/>
    </row>
    <row r="15" spans="1:36" ht="15">
      <c r="A15" s="3007"/>
      <c r="B15" s="1884"/>
      <c r="C15" s="1885"/>
      <c r="D15" s="1886"/>
      <c r="E15" s="1887"/>
      <c r="F15" s="1468" t="s">
        <v>3244</v>
      </c>
      <c r="G15" s="1927"/>
      <c r="H15" s="3020"/>
      <c r="I15" s="3021"/>
      <c r="J15" s="3022"/>
      <c r="K15" s="1055"/>
      <c r="L15" s="1055"/>
      <c r="M15" s="1055"/>
      <c r="N15" s="1055"/>
      <c r="O15" s="1055"/>
      <c r="P15" s="1055"/>
      <c r="Q15" s="1055"/>
      <c r="R15" s="1127">
        <v>14</v>
      </c>
      <c r="S15" s="1128"/>
      <c r="T15" s="3062">
        <f t="shared" si="0"/>
        <v>0</v>
      </c>
      <c r="U15" s="1128"/>
      <c r="V15" s="3062">
        <f t="shared" si="1"/>
        <v>0</v>
      </c>
      <c r="W15" s="1131"/>
      <c r="X15" s="1131"/>
      <c r="Y15" s="1131"/>
      <c r="Z15" s="1131"/>
      <c r="AA15" s="1131"/>
      <c r="AB15" s="1131"/>
      <c r="AC15" s="1132"/>
      <c r="AD15" s="2552"/>
      <c r="AE15" s="2552"/>
      <c r="AF15" s="2552"/>
      <c r="AG15" s="2552"/>
      <c r="AH15" s="2552"/>
      <c r="AI15" s="2552"/>
      <c r="AJ15" s="2553"/>
    </row>
    <row r="16" spans="1:36" ht="15.6" thickBot="1">
      <c r="A16" s="3007"/>
      <c r="B16" s="3025" t="s">
        <v>1985</v>
      </c>
      <c r="C16" s="3023"/>
      <c r="D16" s="3023"/>
      <c r="E16" s="3023"/>
      <c r="F16" s="3023">
        <v>1</v>
      </c>
      <c r="G16" s="3023">
        <v>1</v>
      </c>
      <c r="H16" s="3023">
        <v>1</v>
      </c>
      <c r="I16" s="3023">
        <v>1</v>
      </c>
      <c r="J16" s="3024">
        <v>1</v>
      </c>
      <c r="K16" s="1055"/>
      <c r="L16" s="1843"/>
      <c r="M16" s="1843"/>
      <c r="N16" s="1843"/>
      <c r="O16" s="1843"/>
      <c r="P16" s="1843"/>
      <c r="Q16" s="1055"/>
      <c r="R16" s="1127">
        <v>15</v>
      </c>
      <c r="S16" s="1128"/>
      <c r="T16" s="3062">
        <f t="shared" si="0"/>
        <v>0</v>
      </c>
      <c r="U16" s="1128"/>
      <c r="V16" s="3062">
        <f t="shared" si="1"/>
        <v>0</v>
      </c>
      <c r="W16" s="1131"/>
      <c r="X16" s="1131"/>
      <c r="Y16" s="1131"/>
      <c r="Z16" s="1131"/>
      <c r="AA16" s="1131"/>
      <c r="AB16" s="1131"/>
      <c r="AC16" s="1132"/>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7"/>
      <c r="B18" s="2308"/>
      <c r="C18" s="3033"/>
      <c r="D18" s="3028" t="s">
        <v>3248</v>
      </c>
      <c r="E18" s="2355"/>
      <c r="F18" s="3029" t="s">
        <v>3251</v>
      </c>
      <c r="G18" s="3033">
        <f>ROUND(1-(1/(POWER(1+G24,E18))),4)</f>
        <v>0</v>
      </c>
      <c r="H18" s="3029" t="s">
        <v>3253</v>
      </c>
      <c r="I18" s="3033">
        <f>ROUND(1-(1/(POWER(1+G24,J24))),4)</f>
        <v>0.91279999999999994</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4"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1"/>
      <c r="AJ19" s="561"/>
      <c r="AK19" s="1898"/>
    </row>
    <row r="20" spans="1:37" s="1857" customFormat="1" ht="13.8">
      <c r="A20" s="3527" t="s">
        <v>3254</v>
      </c>
      <c r="B20" s="159" t="s">
        <v>1990</v>
      </c>
      <c r="C20" s="3030">
        <f>ROUND(IF(F21="与级别开发程度一致",0,(G21-E21)/C21),0)</f>
        <v>40</v>
      </c>
      <c r="D20" s="3045" t="s">
        <v>1994</v>
      </c>
      <c r="E20" s="3046"/>
      <c r="F20" s="3533" t="s">
        <v>1991</v>
      </c>
      <c r="G20" s="3534"/>
      <c r="H20" s="3031" t="s">
        <v>3391</v>
      </c>
      <c r="I20" s="3031" t="s">
        <v>3395</v>
      </c>
      <c r="J20" s="3032" t="s">
        <v>3392</v>
      </c>
      <c r="K20" s="1888" t="s">
        <v>3393</v>
      </c>
      <c r="L20" s="1888" t="s">
        <v>3394</v>
      </c>
      <c r="M20" s="1888" t="s">
        <v>3396</v>
      </c>
      <c r="N20" s="1888" t="s">
        <v>3799</v>
      </c>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7" thickBot="1">
      <c r="A21" s="3528"/>
      <c r="B21" s="2001" t="s">
        <v>1993</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3798</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 thickBot="1">
      <c r="A22" s="1995" t="s">
        <v>363</v>
      </c>
      <c r="B22" s="1996" t="s">
        <v>1996</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1" t="s">
        <v>364</v>
      </c>
      <c r="B23" s="1892" t="s">
        <v>1997</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1895" t="s">
        <v>1998</v>
      </c>
      <c r="E23" s="716">
        <v>44197</v>
      </c>
      <c r="F23" s="1895" t="s">
        <v>1999</v>
      </c>
      <c r="G23" s="717">
        <f>'数据-取费表'!B2</f>
        <v>45470</v>
      </c>
      <c r="H23" s="3047" t="s">
        <v>3256</v>
      </c>
      <c r="I23" s="3048" t="str">
        <f>IF(H23="季度增幅（自定义）",SUMIF(N25:N28,E2,O25:O28),"")</f>
        <v/>
      </c>
      <c r="J23" s="3140" t="s">
        <v>3255</v>
      </c>
      <c r="K23" s="1060"/>
      <c r="L23" s="1896" t="s">
        <v>2000</v>
      </c>
      <c r="M23" s="1239">
        <f>ROUND(SUMIF(地价!B2:G2,E2,地价!B16:G16),0)</f>
        <v>318</v>
      </c>
      <c r="N23" s="1897" t="s">
        <v>2001</v>
      </c>
      <c r="O23" s="718">
        <f>ROUNDDOWN(DATEDIF(E23,G23,"M")/3,0)</f>
        <v>13</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2002</v>
      </c>
      <c r="C24" s="719">
        <f>ROUND(POWER(1+G24,J24-I24)*(POWER(1+G24,I24)-1)/(POWER(1+G24,J24)-1),4)</f>
        <v>0.87549999999999994</v>
      </c>
      <c r="D24" s="1901" t="s">
        <v>2003</v>
      </c>
      <c r="E24" s="1246">
        <f>存贷款利率!E24/100</f>
        <v>4.3499999999999997E-2</v>
      </c>
      <c r="F24" s="1901" t="s">
        <v>1995</v>
      </c>
      <c r="G24" s="723">
        <f>SUMIF(M30:Q30,E2,M33:Q33)</f>
        <v>0.05</v>
      </c>
      <c r="H24" s="1901" t="s">
        <v>2004</v>
      </c>
      <c r="I24" s="724">
        <f>SUMIF('数据-取费表'!C6:C15,E2,'数据-取费表'!F6:F15)/COUNTIF('数据-取费表'!C6:C15,E2)</f>
        <v>32.9</v>
      </c>
      <c r="J24" s="725">
        <f>IF(E2="住宅",70,IF(E2="商业",40,50))</f>
        <v>50</v>
      </c>
      <c r="K24" s="1060"/>
      <c r="L24" s="1902" t="s">
        <v>2005</v>
      </c>
      <c r="M24" s="1240">
        <f>ROUND(SUMPRODUCT((地价!A4:A16=YEAR(G23)&amp;"-"&amp;ROUNDUP(MONTH(G23)/3,0))*(地价!B2:G2=E2)*(地价!B4:G16)),0)</f>
        <v>0</v>
      </c>
      <c r="N24" s="1903" t="s">
        <v>2006</v>
      </c>
      <c r="O24" s="1904" t="s">
        <v>2007</v>
      </c>
      <c r="P24" s="1905" t="s">
        <v>2008</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6" t="s">
        <v>366</v>
      </c>
      <c r="B25" s="1907" t="s">
        <v>3335</v>
      </c>
      <c r="C25" s="461">
        <f>IF(B25="容积率修正",IF(G3&lt;10,D26,J26),C27)</f>
        <v>0.92759999999999998</v>
      </c>
      <c r="D25" s="1908"/>
      <c r="E25" s="1908"/>
      <c r="F25" s="1908"/>
      <c r="G25" s="1908"/>
      <c r="H25" s="1908"/>
      <c r="I25" s="1908"/>
      <c r="J25" s="1909"/>
      <c r="K25" s="1060"/>
      <c r="L25" s="2551"/>
      <c r="M25" s="2551"/>
      <c r="N25" s="1910" t="s">
        <v>2009</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4" t="s">
        <v>2010</v>
      </c>
      <c r="B26" s="1911" t="s">
        <v>2011</v>
      </c>
      <c r="C26" s="1911" t="s">
        <v>3257</v>
      </c>
      <c r="D26" s="1261">
        <f>IF(E26=G26,F26,IF(G3&lt;10,ROUND(F26+(H26-F26)*(G3-E26)/(G26-E26),4),"——"))</f>
        <v>0.92759999999999998</v>
      </c>
      <c r="E26" s="707">
        <f>ROUNDDOWN(G3,1)</f>
        <v>1.2</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07">
        <f>ROUNDUP(G3,1)</f>
        <v>1.3</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1911" t="s">
        <v>3258</v>
      </c>
      <c r="J26" s="374" t="str">
        <f>IF(G3&gt;=10,D115,"——")</f>
        <v>——</v>
      </c>
      <c r="K26" s="1060"/>
      <c r="L26" s="2551"/>
      <c r="M26" s="2551"/>
      <c r="N26" s="1910" t="s">
        <v>2012</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4" t="s">
        <v>2013</v>
      </c>
      <c r="B27" s="1912" t="s">
        <v>2014</v>
      </c>
      <c r="C27" s="790">
        <f>ROUND(IF(I3&lt;6,SUMPRODUCT((B106:B110=I3)*(C105:N105=G2)*(C106:N110)),SUMIF(C105:N105,G2,C112:N112)),4)</f>
        <v>0</v>
      </c>
      <c r="D27" s="1841"/>
      <c r="E27" s="1841"/>
      <c r="F27" s="1913"/>
      <c r="G27" s="1914"/>
      <c r="H27" s="1915"/>
      <c r="I27" s="1916"/>
      <c r="J27" s="1917"/>
      <c r="K27" s="1055"/>
      <c r="L27" s="1843"/>
      <c r="M27" s="1843"/>
      <c r="N27" s="1910" t="s">
        <v>2015</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2016</v>
      </c>
      <c r="C28" s="715">
        <f>SUMIF(A47:A101,E2,B47:B101)</f>
        <v>1.0225</v>
      </c>
      <c r="D28" s="1893"/>
      <c r="E28" s="1918"/>
      <c r="F28" s="1918"/>
      <c r="G28" s="1918"/>
      <c r="H28" s="1918"/>
      <c r="I28" s="1918"/>
      <c r="J28" s="1919"/>
      <c r="K28" s="1060"/>
      <c r="L28" s="2551"/>
      <c r="M28" s="2551"/>
      <c r="N28" s="1920" t="s">
        <v>2017</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2018</v>
      </c>
      <c r="C29" s="720"/>
      <c r="D29" s="1867"/>
      <c r="E29" s="1867"/>
      <c r="F29" s="1922"/>
      <c r="G29" s="1867"/>
      <c r="H29" s="1867"/>
      <c r="I29" s="1867"/>
      <c r="J29" s="1868"/>
      <c r="K29" s="1055"/>
      <c r="L29" s="1843"/>
      <c r="M29" s="1843"/>
      <c r="N29" s="2548" t="s">
        <v>2019</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2020</v>
      </c>
      <c r="C30" s="2144">
        <f>IF(B25="容积率修正",E33+SUM(E37:E42),SUM(V2:V16)+SUM(E37:E42))</f>
        <v>2476</v>
      </c>
      <c r="D30" s="1924"/>
      <c r="E30" s="1841"/>
      <c r="F30" s="1925"/>
      <c r="G30" s="1841"/>
      <c r="H30" s="1841"/>
      <c r="I30" s="1841"/>
      <c r="J30" s="1926"/>
      <c r="K30" s="1055"/>
      <c r="L30" s="3054" t="s">
        <v>1932</v>
      </c>
      <c r="M30" s="3055" t="s">
        <v>1986</v>
      </c>
      <c r="N30" s="3055" t="s">
        <v>1987</v>
      </c>
      <c r="O30" s="3055" t="s">
        <v>1988</v>
      </c>
      <c r="P30" s="3055" t="s">
        <v>1989</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2021</v>
      </c>
      <c r="C31" s="721">
        <f>E34+SUM(I37:I42)</f>
        <v>3</v>
      </c>
      <c r="D31" s="1928"/>
      <c r="E31" s="1929"/>
      <c r="F31" s="1930"/>
      <c r="G31" s="1929"/>
      <c r="H31" s="1929"/>
      <c r="I31" s="1929"/>
      <c r="J31" s="1931"/>
      <c r="K31" s="1055"/>
      <c r="L31" s="3056" t="s">
        <v>1992</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2022</v>
      </c>
      <c r="C32" s="1934" t="s">
        <v>2023</v>
      </c>
      <c r="D32" s="1934" t="s">
        <v>2024</v>
      </c>
      <c r="E32" s="1935" t="s">
        <v>2025</v>
      </c>
      <c r="F32" s="1936"/>
      <c r="G32" s="1880"/>
      <c r="H32" s="1880"/>
      <c r="I32" s="1880"/>
      <c r="J32" s="1881"/>
      <c r="K32" s="1055"/>
      <c r="L32" s="3057" t="s">
        <v>1995</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2026</v>
      </c>
      <c r="C33" s="167">
        <f>ROUND(C5*C22*C23*C24*C25*C28,0)</f>
        <v>1274</v>
      </c>
      <c r="D33" s="1939">
        <f>'数据-汇总表'!F31</f>
        <v>19268.36</v>
      </c>
      <c r="E33" s="726">
        <f>ROUND(C33*D33/10000,0)</f>
        <v>2455</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2027</v>
      </c>
      <c r="C34" s="179">
        <f>ROUND(IF(E2="工业",C33*M42,IF(B25="楼层修正",SUM(V2:V16)*M41*10000/D34,C33*M41)),0)</f>
        <v>191</v>
      </c>
      <c r="D34" s="1944"/>
      <c r="E34" s="726">
        <f>ROUND(IF(B25="楼层修正",SUM(V2:V16)*M40,C34*D34/10000),0)</f>
        <v>0</v>
      </c>
      <c r="F34" s="1945" t="s">
        <v>2028</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2029</v>
      </c>
      <c r="C35" s="3050" t="s">
        <v>3261</v>
      </c>
      <c r="D35" s="1880"/>
      <c r="E35" s="1950"/>
      <c r="F35" s="1950"/>
      <c r="G35" s="1878" t="s">
        <v>2030</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2023</v>
      </c>
      <c r="D36" s="433" t="s">
        <v>2024</v>
      </c>
      <c r="E36" s="433" t="s">
        <v>2025</v>
      </c>
      <c r="F36" s="333" t="s">
        <v>2031</v>
      </c>
      <c r="G36" s="1953" t="s">
        <v>2023</v>
      </c>
      <c r="H36" s="1953" t="s">
        <v>2024</v>
      </c>
      <c r="I36" s="1953" t="s">
        <v>2025</v>
      </c>
      <c r="J36" s="235"/>
      <c r="K36" s="1963" t="s">
        <v>3265</v>
      </c>
      <c r="L36" s="3141">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31"/>
      <c r="B37" s="1954" t="s">
        <v>2032</v>
      </c>
      <c r="C37" s="167">
        <f>ROUND(D5*C22*C23*C24*C28*F37,0)</f>
        <v>687</v>
      </c>
      <c r="D37" s="1939"/>
      <c r="E37" s="163">
        <f>ROUND(C37*D37/10000,0)</f>
        <v>0</v>
      </c>
      <c r="F37" s="163">
        <f>SUMIF(修正!A57:A68,G2,修正!B57:B68)</f>
        <v>0.5</v>
      </c>
      <c r="G37" s="163">
        <f>ROUND(IF(E2="工业",C37*$M$42,C37*$M$41),0)</f>
        <v>103</v>
      </c>
      <c r="H37" s="163">
        <f>D37</f>
        <v>0</v>
      </c>
      <c r="I37" s="163">
        <f>ROUND(G37*H37/10000,0)</f>
        <v>0</v>
      </c>
      <c r="J37" s="2753"/>
      <c r="K37" s="3060" t="s">
        <v>3266</v>
      </c>
      <c r="L37" s="1963">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32"/>
      <c r="B38" s="1883" t="s">
        <v>2033</v>
      </c>
      <c r="C38" s="167">
        <f>ROUND(D5*C22*C23*C24*C28*F38,0)</f>
        <v>275</v>
      </c>
      <c r="D38" s="1939"/>
      <c r="E38" s="163">
        <f t="shared" ref="E38:E42" si="4">ROUND(C38*D38/10000,0)</f>
        <v>0</v>
      </c>
      <c r="F38" s="163">
        <f>SUMIF(修正!A57:A68,G2,修正!C57:C68)</f>
        <v>0.2</v>
      </c>
      <c r="G38" s="163">
        <f>ROUND(IF(E2="工业",C38*$M$42,C38*$M$41),0)</f>
        <v>41</v>
      </c>
      <c r="H38" s="163">
        <f t="shared" ref="H38:H42" si="5">D38</f>
        <v>0</v>
      </c>
      <c r="I38" s="163">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32"/>
      <c r="B39" s="1883" t="s">
        <v>3259</v>
      </c>
      <c r="C39" s="167">
        <f>ROUND(D5*C22*C23*C24*C28*F39,0)</f>
        <v>275</v>
      </c>
      <c r="D39" s="1939"/>
      <c r="E39" s="163">
        <f t="shared" si="4"/>
        <v>0</v>
      </c>
      <c r="F39" s="163">
        <f>SUMIF(修正!A57:A68,G2,修正!D57:D68)</f>
        <v>0.2</v>
      </c>
      <c r="G39" s="163">
        <f>ROUND(IF(E2="工业",C39*$M$42,C39*$M$41),0)</f>
        <v>41</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2034</v>
      </c>
      <c r="C40" s="163">
        <f>ROUND(D5*C22*C23*C24*C28*F40,0)</f>
        <v>275</v>
      </c>
      <c r="D40" s="1939"/>
      <c r="E40" s="163">
        <f t="shared" si="4"/>
        <v>0</v>
      </c>
      <c r="F40" s="167">
        <f>SUMIF(修正!A57:A68,G2,修正!E57:E68)</f>
        <v>0.2</v>
      </c>
      <c r="G40" s="163">
        <f>ROUND(IF(E2="工业",C40*$M$42,C40*$M$41),0)</f>
        <v>41</v>
      </c>
      <c r="H40" s="163">
        <f t="shared" si="5"/>
        <v>0</v>
      </c>
      <c r="I40" s="163">
        <f t="shared" si="6"/>
        <v>0</v>
      </c>
      <c r="J40" s="938"/>
      <c r="L40" s="1956" t="s">
        <v>2035</v>
      </c>
      <c r="M40" s="1957"/>
      <c r="Z40" s="1056"/>
      <c r="AA40" s="1056"/>
      <c r="AB40" s="1056"/>
      <c r="AC40" s="1056"/>
      <c r="AD40" s="1056"/>
      <c r="AE40" s="1056"/>
      <c r="AF40" s="1056"/>
      <c r="AG40" s="1056"/>
      <c r="AH40" s="1056"/>
      <c r="AI40" s="1056"/>
      <c r="AJ40" s="1056"/>
    </row>
    <row r="41" spans="1:37" s="1055" customFormat="1">
      <c r="A41" s="1955"/>
      <c r="B41" s="1883" t="s">
        <v>2036</v>
      </c>
      <c r="C41" s="163">
        <f>ROUND(D5*C22*C23*C44*C28*F41,0)</f>
        <v>275</v>
      </c>
      <c r="D41" s="1939">
        <f>'数据-汇总表'!G31</f>
        <v>765.8</v>
      </c>
      <c r="E41" s="163">
        <f t="shared" si="4"/>
        <v>21</v>
      </c>
      <c r="F41" s="167">
        <f>SUMIF(修正!A57:A68,G2,修正!F57:F68)</f>
        <v>0.2</v>
      </c>
      <c r="G41" s="163">
        <f>ROUND(IF(E2="工业",C41*$M$42,C41*$M$41),0)</f>
        <v>41</v>
      </c>
      <c r="H41" s="163">
        <f t="shared" si="5"/>
        <v>765.8</v>
      </c>
      <c r="I41" s="163">
        <f t="shared" si="6"/>
        <v>3</v>
      </c>
      <c r="J41" s="938"/>
      <c r="L41" s="3061" t="s">
        <v>3267</v>
      </c>
      <c r="M41" s="1958">
        <v>0.25</v>
      </c>
      <c r="Z41" s="1056"/>
      <c r="AA41" s="1056"/>
      <c r="AB41" s="1056"/>
      <c r="AC41" s="1056"/>
      <c r="AD41" s="1056"/>
      <c r="AE41" s="1056"/>
      <c r="AF41" s="1056"/>
      <c r="AG41" s="1056"/>
      <c r="AH41" s="1056"/>
      <c r="AI41" s="1056"/>
      <c r="AJ41" s="1056"/>
    </row>
    <row r="42" spans="1:37" s="1055" customFormat="1" ht="13.8" thickBot="1">
      <c r="A42" s="1942"/>
      <c r="B42" s="1959" t="s">
        <v>2037</v>
      </c>
      <c r="C42" s="179">
        <f>ROUND(D5*C22*C23*C44*C28*F42,0)</f>
        <v>137</v>
      </c>
      <c r="D42" s="1944"/>
      <c r="E42" s="179">
        <f t="shared" si="4"/>
        <v>0</v>
      </c>
      <c r="F42" s="722">
        <f>SUMIF(修正!A57:A68,G2,修正!G57:G68)</f>
        <v>0.1</v>
      </c>
      <c r="G42" s="179">
        <f>ROUND(IF(E2="工业",C42*$M$42,C42*$M$41),0)</f>
        <v>21</v>
      </c>
      <c r="H42" s="179">
        <f t="shared" si="5"/>
        <v>0</v>
      </c>
      <c r="I42" s="179">
        <f t="shared" si="6"/>
        <v>0</v>
      </c>
      <c r="J42" s="1960"/>
      <c r="L42" s="1961" t="s">
        <v>1989</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2118</v>
      </c>
      <c r="C44" s="333">
        <f>ROUND(POWER(1+E44,H44-G44)*(POWER(1+E44,G44)-1)/(POWER(1+E44,H44)-1),4)</f>
        <v>0.87549999999999994</v>
      </c>
      <c r="D44" s="163" t="s">
        <v>1995</v>
      </c>
      <c r="E44" s="1990">
        <f>G24</f>
        <v>0.05</v>
      </c>
      <c r="F44" s="163" t="s">
        <v>2004</v>
      </c>
      <c r="G44" s="175">
        <f>项目基本情况!H15</f>
        <v>32.9</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2038</v>
      </c>
      <c r="B47" s="1965"/>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4.4">
      <c r="A48" s="1966" t="s">
        <v>2039</v>
      </c>
      <c r="B48" s="1967">
        <f>1+E50</f>
        <v>1</v>
      </c>
      <c r="C48" s="1724"/>
      <c r="D48" s="698"/>
      <c r="E48" s="699"/>
      <c r="F48" s="1968"/>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5.2">
      <c r="A49" s="1969" t="s">
        <v>2040</v>
      </c>
      <c r="B49" s="1260" t="s">
        <v>2041</v>
      </c>
      <c r="C49" s="1260" t="s">
        <v>2042</v>
      </c>
      <c r="D49" s="1260" t="s">
        <v>2043</v>
      </c>
      <c r="E49" s="700" t="s">
        <v>2044</v>
      </c>
      <c r="F49" s="1970" t="s">
        <v>2045</v>
      </c>
      <c r="G49" s="1260" t="s">
        <v>310</v>
      </c>
      <c r="H49" s="1971" t="s">
        <v>2046</v>
      </c>
      <c r="I49" s="1260" t="s">
        <v>2047</v>
      </c>
      <c r="J49" s="530" t="s">
        <v>1718</v>
      </c>
      <c r="K49" s="530" t="s">
        <v>1719</v>
      </c>
      <c r="L49" s="530" t="s">
        <v>1720</v>
      </c>
      <c r="M49" s="530" t="s">
        <v>1721</v>
      </c>
      <c r="N49" s="530" t="s">
        <v>1722</v>
      </c>
      <c r="AA49" s="1056"/>
      <c r="AB49" s="1056"/>
      <c r="AC49" s="1056"/>
      <c r="AD49" s="1056"/>
      <c r="AE49" s="1056"/>
      <c r="AF49" s="1056"/>
      <c r="AG49" s="1056"/>
      <c r="AH49" s="1056"/>
      <c r="AI49" s="1056"/>
      <c r="AJ49" s="1056"/>
      <c r="AK49" s="1056"/>
    </row>
    <row r="50" spans="1:37" s="1055" customFormat="1" ht="39.6">
      <c r="A50" s="1969" t="s">
        <v>2048</v>
      </c>
      <c r="B50" s="1972" t="str">
        <f>估价对象房地状况!C4</f>
        <v>估价对象位于XX商圈，周边商业氛围成熟，人流量大，商业繁华度好</v>
      </c>
      <c r="C50" s="1886"/>
      <c r="D50" s="1001">
        <f t="shared" ref="D50:D58" si="7">SUMIF($J$49:$N$49,C50,J50:N50)</f>
        <v>0</v>
      </c>
      <c r="E50" s="701">
        <f>ROUND(SUM(D50:D58),4)</f>
        <v>0</v>
      </c>
      <c r="F50" s="1673"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2049</v>
      </c>
      <c r="B51" s="1260" t="str">
        <f>估价对象房地状况!C18</f>
        <v>估价对象周边道路状况、公共交通通达情况、停车便捷程度，综合评价交通便捷度较好</v>
      </c>
      <c r="C51" s="1886"/>
      <c r="D51" s="1001">
        <f t="shared" si="7"/>
        <v>0</v>
      </c>
      <c r="E51" s="702"/>
      <c r="F51" s="1673"/>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9" t="s">
        <v>3269</v>
      </c>
      <c r="B52" s="1260">
        <f>估价对象房地状况!C19</f>
        <v>0</v>
      </c>
      <c r="C52" s="1886"/>
      <c r="D52" s="1001">
        <f t="shared" si="7"/>
        <v>0</v>
      </c>
      <c r="E52" s="702"/>
      <c r="F52" s="1673"/>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2050</v>
      </c>
      <c r="B53" s="1973" t="s">
        <v>2051</v>
      </c>
      <c r="C53" s="1886"/>
      <c r="D53" s="1001">
        <f t="shared" si="7"/>
        <v>0</v>
      </c>
      <c r="E53" s="702"/>
      <c r="F53" s="1673"/>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2052</v>
      </c>
      <c r="B54" s="1260">
        <f>估价对象房地状况!C24</f>
        <v>0</v>
      </c>
      <c r="C54" s="1886"/>
      <c r="D54" s="1001">
        <f t="shared" si="7"/>
        <v>0</v>
      </c>
      <c r="E54" s="702"/>
      <c r="F54" s="1673"/>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2053</v>
      </c>
      <c r="B55" s="1974" t="s">
        <v>2054</v>
      </c>
      <c r="C55" s="1886"/>
      <c r="D55" s="1001">
        <f t="shared" si="7"/>
        <v>0</v>
      </c>
      <c r="E55" s="702"/>
      <c r="F55" s="1673"/>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2055</v>
      </c>
      <c r="B56" s="1238" t="str">
        <f>估价对象房地状况!C21</f>
        <v>估价对象所在区域公共配套设施齐备情况</v>
      </c>
      <c r="C56" s="1886"/>
      <c r="D56" s="1001">
        <f t="shared" si="7"/>
        <v>0</v>
      </c>
      <c r="E56" s="702"/>
      <c r="F56" s="1673"/>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2056</v>
      </c>
      <c r="B57" s="1260" t="str">
        <f>估价对象房地状况!C22</f>
        <v>估价对象所在区域基础设施水平</v>
      </c>
      <c r="C57" s="1886"/>
      <c r="D57" s="1001">
        <f t="shared" si="7"/>
        <v>0</v>
      </c>
      <c r="E57" s="702"/>
      <c r="F57" s="1673"/>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2057</v>
      </c>
      <c r="B58" s="1977" t="str">
        <f>估价对象房地状况!C20</f>
        <v>区域自然环境：；人文环境；综合评价环境状况一般</v>
      </c>
      <c r="C58" s="1886"/>
      <c r="D58" s="1001">
        <f t="shared" si="7"/>
        <v>0</v>
      </c>
      <c r="E58" s="703"/>
      <c r="F58" s="1673"/>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2058</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2040</v>
      </c>
      <c r="B60" s="1260"/>
      <c r="C60" s="1260" t="s">
        <v>2042</v>
      </c>
      <c r="D60" s="1260" t="s">
        <v>2043</v>
      </c>
      <c r="E60" s="700" t="s">
        <v>2044</v>
      </c>
      <c r="F60" s="1970" t="s">
        <v>2059</v>
      </c>
      <c r="G60" s="1260" t="s">
        <v>310</v>
      </c>
      <c r="H60" s="1971" t="s">
        <v>2046</v>
      </c>
      <c r="I60" s="1260" t="s">
        <v>2047</v>
      </c>
      <c r="J60" s="530" t="s">
        <v>1718</v>
      </c>
      <c r="K60" s="530" t="s">
        <v>1719</v>
      </c>
      <c r="L60" s="530" t="s">
        <v>1720</v>
      </c>
      <c r="M60" s="530" t="s">
        <v>1721</v>
      </c>
      <c r="N60" s="530" t="s">
        <v>1722</v>
      </c>
      <c r="AA60" s="1056"/>
      <c r="AB60" s="1056"/>
      <c r="AC60" s="1056"/>
      <c r="AD60" s="1056"/>
      <c r="AE60" s="1056"/>
      <c r="AF60" s="1056"/>
      <c r="AG60" s="1056"/>
      <c r="AH60" s="1056"/>
      <c r="AI60" s="1056"/>
      <c r="AJ60" s="1056"/>
      <c r="AK60" s="1056"/>
    </row>
    <row r="61" spans="1:37" s="1055" customFormat="1" ht="39.6">
      <c r="A61" s="1969" t="s">
        <v>2060</v>
      </c>
      <c r="B61" s="1972" t="str">
        <f>估价对象房地状况!C17</f>
        <v>估价对象位于XX商圈，周边办公楼项目较多，入驻率高，办公集聚程度较好</v>
      </c>
      <c r="C61" s="1886"/>
      <c r="D61" s="1001">
        <f t="shared" ref="D61:D69" si="12">SUMIF($J$60:$N$60,C61,J61:N61)</f>
        <v>0</v>
      </c>
      <c r="E61" s="701">
        <f>ROUND(SUM(D61:D69),4)</f>
        <v>0</v>
      </c>
      <c r="F61" s="1673"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2049</v>
      </c>
      <c r="B62" s="1260" t="str">
        <f>估价对象房地状况!C18</f>
        <v>估价对象周边道路状况、公共交通通达情况、停车便捷程度，综合评价交通便捷度较好</v>
      </c>
      <c r="C62" s="1886"/>
      <c r="D62" s="1001">
        <f t="shared" si="12"/>
        <v>0</v>
      </c>
      <c r="E62" s="702"/>
      <c r="F62" s="1673"/>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9" t="s">
        <v>3269</v>
      </c>
      <c r="B63" s="1260">
        <f>估价对象房地状况!C19</f>
        <v>0</v>
      </c>
      <c r="C63" s="1886"/>
      <c r="D63" s="1001">
        <f t="shared" si="12"/>
        <v>0</v>
      </c>
      <c r="E63" s="702"/>
      <c r="F63" s="1673"/>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2050</v>
      </c>
      <c r="B64" s="1973" t="s">
        <v>2051</v>
      </c>
      <c r="C64" s="1886"/>
      <c r="D64" s="1001">
        <f t="shared" si="12"/>
        <v>0</v>
      </c>
      <c r="E64" s="702"/>
      <c r="F64" s="1673"/>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2052</v>
      </c>
      <c r="B65" s="1260">
        <f>估价对象房地状况!C24</f>
        <v>0</v>
      </c>
      <c r="C65" s="1886"/>
      <c r="D65" s="1001">
        <f t="shared" si="12"/>
        <v>0</v>
      </c>
      <c r="E65" s="702"/>
      <c r="F65" s="1673"/>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2053</v>
      </c>
      <c r="B66" s="1974" t="s">
        <v>2054</v>
      </c>
      <c r="C66" s="1886"/>
      <c r="D66" s="1001">
        <f t="shared" si="12"/>
        <v>0</v>
      </c>
      <c r="E66" s="702"/>
      <c r="F66" s="1673"/>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2055</v>
      </c>
      <c r="B67" s="1238" t="str">
        <f>估价对象房地状况!C21</f>
        <v>估价对象所在区域公共配套设施齐备情况</v>
      </c>
      <c r="C67" s="1886"/>
      <c r="D67" s="1001">
        <f t="shared" si="12"/>
        <v>0</v>
      </c>
      <c r="E67" s="702"/>
      <c r="F67" s="1673"/>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2056</v>
      </c>
      <c r="B68" s="1238" t="str">
        <f>估价对象房地状况!C22</f>
        <v>估价对象所在区域基础设施水平</v>
      </c>
      <c r="C68" s="1886"/>
      <c r="D68" s="1001">
        <f t="shared" si="12"/>
        <v>0</v>
      </c>
      <c r="E68" s="702"/>
      <c r="F68" s="1673"/>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2057</v>
      </c>
      <c r="B69" s="1978" t="str">
        <f>估价对象房地状况!C20</f>
        <v>区域自然环境：；人文环境；综合评价环境状况一般</v>
      </c>
      <c r="C69" s="1886"/>
      <c r="D69" s="1001">
        <f t="shared" si="12"/>
        <v>0</v>
      </c>
      <c r="E69" s="703"/>
      <c r="F69" s="1673"/>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2061</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2040</v>
      </c>
      <c r="B71" s="1260"/>
      <c r="C71" s="1260" t="s">
        <v>2042</v>
      </c>
      <c r="D71" s="1260" t="s">
        <v>2043</v>
      </c>
      <c r="E71" s="700" t="s">
        <v>2044</v>
      </c>
      <c r="F71" s="1970" t="s">
        <v>2059</v>
      </c>
      <c r="G71" s="1260" t="s">
        <v>310</v>
      </c>
      <c r="H71" s="1971" t="s">
        <v>2046</v>
      </c>
      <c r="I71" s="1260" t="s">
        <v>2047</v>
      </c>
      <c r="J71" s="530" t="s">
        <v>1718</v>
      </c>
      <c r="K71" s="530" t="s">
        <v>1719</v>
      </c>
      <c r="L71" s="530" t="s">
        <v>1720</v>
      </c>
      <c r="M71" s="530" t="s">
        <v>1721</v>
      </c>
      <c r="N71" s="530" t="s">
        <v>1722</v>
      </c>
      <c r="AA71" s="1056"/>
      <c r="AB71" s="1056"/>
      <c r="AC71" s="1056"/>
      <c r="AD71" s="1056"/>
      <c r="AE71" s="1056"/>
      <c r="AF71" s="1056"/>
      <c r="AG71" s="1056"/>
      <c r="AH71" s="1056"/>
      <c r="AI71" s="1056"/>
      <c r="AJ71" s="1056"/>
      <c r="AK71" s="1056"/>
    </row>
    <row r="72" spans="1:37" s="1055" customFormat="1" ht="52.8">
      <c r="A72" s="1969" t="s">
        <v>2062</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3"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2049</v>
      </c>
      <c r="B73" s="1260" t="str">
        <f>估价对象房地状况!C18</f>
        <v>估价对象周边道路状况、公共交通通达情况、停车便捷程度，综合评价交通便捷度较好</v>
      </c>
      <c r="C73" s="1886"/>
      <c r="D73" s="1001">
        <f t="shared" si="17"/>
        <v>0</v>
      </c>
      <c r="E73" s="704"/>
      <c r="F73" s="1673"/>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9" t="s">
        <v>3269</v>
      </c>
      <c r="B74" s="1260">
        <f>估价对象房地状况!C19</f>
        <v>0</v>
      </c>
      <c r="C74" s="1886"/>
      <c r="D74" s="1001">
        <f t="shared" si="17"/>
        <v>0</v>
      </c>
      <c r="E74" s="704"/>
      <c r="F74" s="1673"/>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2063</v>
      </c>
      <c r="B75" s="1260">
        <f>估价对象房地状况!C24</f>
        <v>0</v>
      </c>
      <c r="C75" s="1886"/>
      <c r="D75" s="1001">
        <f t="shared" si="17"/>
        <v>0</v>
      </c>
      <c r="E75" s="704"/>
      <c r="F75" s="1673"/>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2055</v>
      </c>
      <c r="B76" s="1238" t="str">
        <f>估价对象房地状况!C21</f>
        <v>估价对象所在区域公共配套设施齐备情况</v>
      </c>
      <c r="C76" s="1886"/>
      <c r="D76" s="1001">
        <f t="shared" si="17"/>
        <v>0</v>
      </c>
      <c r="E76" s="704"/>
      <c r="F76" s="1673"/>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2056</v>
      </c>
      <c r="B77" s="1238" t="str">
        <f>估价对象房地状况!C22</f>
        <v>估价对象所在区域基础设施水平</v>
      </c>
      <c r="C77" s="1886"/>
      <c r="D77" s="1001">
        <f t="shared" si="17"/>
        <v>0</v>
      </c>
      <c r="E77" s="704"/>
      <c r="F77" s="1673"/>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2053</v>
      </c>
      <c r="B78" s="1974" t="s">
        <v>2054</v>
      </c>
      <c r="C78" s="1886"/>
      <c r="D78" s="1001">
        <f t="shared" si="17"/>
        <v>0</v>
      </c>
      <c r="E78" s="704"/>
      <c r="F78" s="1673"/>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2057</v>
      </c>
      <c r="B79" s="1972" t="str">
        <f>估价对象房地状况!C20</f>
        <v>区域自然环境：；人文环境；综合评价环境状况一般</v>
      </c>
      <c r="C79" s="1886"/>
      <c r="D79" s="1001">
        <f t="shared" si="17"/>
        <v>0</v>
      </c>
      <c r="E79" s="704"/>
      <c r="F79" s="1673"/>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36.6" thickBot="1">
      <c r="A80" s="1976" t="s">
        <v>2064</v>
      </c>
      <c r="B80" s="1980"/>
      <c r="C80" s="1886"/>
      <c r="D80" s="1001">
        <f t="shared" si="17"/>
        <v>0</v>
      </c>
      <c r="E80" s="705"/>
      <c r="F80" s="1673"/>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4.4">
      <c r="A81" s="1966" t="s">
        <v>2065</v>
      </c>
      <c r="B81" s="1967">
        <f>1+E83</f>
        <v>1.0225</v>
      </c>
      <c r="C81" s="698"/>
      <c r="D81" s="698"/>
      <c r="E81" s="699"/>
      <c r="F81" s="1968"/>
      <c r="G81" s="3"/>
      <c r="H81" s="3"/>
      <c r="I81" s="3"/>
      <c r="J81" s="4"/>
      <c r="K81" s="4"/>
      <c r="L81" s="4"/>
      <c r="M81" s="4"/>
      <c r="N81" s="4"/>
      <c r="Z81" s="1844"/>
      <c r="AA81" s="1894"/>
      <c r="AG81" s="1057"/>
      <c r="AK81" s="1894"/>
    </row>
    <row r="82" spans="1:37" ht="25.2">
      <c r="A82" s="1969" t="s">
        <v>2040</v>
      </c>
      <c r="B82" s="1260"/>
      <c r="C82" s="1260" t="s">
        <v>2042</v>
      </c>
      <c r="D82" s="1260" t="s">
        <v>2043</v>
      </c>
      <c r="E82" s="700" t="s">
        <v>2044</v>
      </c>
      <c r="F82" s="1970" t="s">
        <v>2059</v>
      </c>
      <c r="G82" s="1260" t="s">
        <v>310</v>
      </c>
      <c r="H82" s="1971" t="s">
        <v>2046</v>
      </c>
      <c r="I82" s="1260" t="s">
        <v>2047</v>
      </c>
      <c r="J82" s="530" t="s">
        <v>1718</v>
      </c>
      <c r="K82" s="530" t="s">
        <v>1719</v>
      </c>
      <c r="L82" s="530" t="s">
        <v>1720</v>
      </c>
      <c r="M82" s="530" t="s">
        <v>1721</v>
      </c>
      <c r="N82" s="530" t="s">
        <v>1722</v>
      </c>
      <c r="Z82" s="1844"/>
      <c r="AA82" s="1894"/>
      <c r="AG82" s="1057"/>
      <c r="AK82" s="1894"/>
    </row>
    <row r="83" spans="1:37" ht="39.6">
      <c r="A83" s="1969" t="s">
        <v>2066</v>
      </c>
      <c r="B83" s="1260" t="str">
        <f>估价对象房地状况!G15</f>
        <v>估价对象位于XX开发区，园区建设成熟度XX，产业集聚程度XX</v>
      </c>
      <c r="C83" s="1886" t="s">
        <v>3782</v>
      </c>
      <c r="D83" s="1001">
        <f t="shared" ref="D83:D90" si="22">SUMIF($J$82:$N$82,C83,J83:N83)</f>
        <v>6.4999999999999997E-3</v>
      </c>
      <c r="E83" s="701">
        <f>ROUND(SUM(D83:D90),4)</f>
        <v>2.2499999999999999E-2</v>
      </c>
      <c r="F83" s="1673">
        <f>IF(E2="工业",SUMIF(L1:L12,G2,N1:N12),"——")</f>
        <v>0.05</v>
      </c>
      <c r="G83" s="999">
        <f>H83</f>
        <v>6.4999999999999997E-3</v>
      </c>
      <c r="H83" s="1002">
        <f t="shared" ref="H83:H90" si="23">IFERROR(ROUNDDOWN($F$83*I83/2,4),"——")</f>
        <v>6.4999999999999997E-3</v>
      </c>
      <c r="I83" s="3067">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52.8">
      <c r="A84" s="1969" t="s">
        <v>2049</v>
      </c>
      <c r="B84" s="1260" t="str">
        <f>估价对象房地状况!G16</f>
        <v>估价对象周边道路状况、公共交通通达情况、停车便捷程度，综合评价交通便捷度较好</v>
      </c>
      <c r="C84" s="1886" t="s">
        <v>3782</v>
      </c>
      <c r="D84" s="1001">
        <f t="shared" si="22"/>
        <v>7.4999999999999997E-3</v>
      </c>
      <c r="E84" s="704"/>
      <c r="F84" s="1673"/>
      <c r="G84" s="999">
        <f t="shared" ref="G84:G90" si="27">H84</f>
        <v>7.4999999999999997E-3</v>
      </c>
      <c r="H84" s="1002">
        <f t="shared" si="23"/>
        <v>7.4999999999999997E-3</v>
      </c>
      <c r="I84" s="3067">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48">
      <c r="A85" s="3069" t="s">
        <v>3270</v>
      </c>
      <c r="B85" s="1260">
        <f>估价对象房地状况!G17</f>
        <v>0</v>
      </c>
      <c r="C85" s="1886" t="s">
        <v>3782</v>
      </c>
      <c r="D85" s="1001">
        <f t="shared" si="22"/>
        <v>2.5000000000000001E-3</v>
      </c>
      <c r="E85" s="704"/>
      <c r="F85" s="1673"/>
      <c r="G85" s="999">
        <f t="shared" si="27"/>
        <v>2.5000000000000001E-3</v>
      </c>
      <c r="H85" s="1002">
        <f t="shared" si="23"/>
        <v>2.5000000000000001E-3</v>
      </c>
      <c r="I85" s="3067">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3.8">
      <c r="A86" s="1969" t="s">
        <v>2063</v>
      </c>
      <c r="B86" s="1260">
        <f>估价对象房地状况!G22</f>
        <v>0</v>
      </c>
      <c r="C86" s="1886" t="s">
        <v>3800</v>
      </c>
      <c r="D86" s="1001">
        <f t="shared" si="22"/>
        <v>-1.1999999999999999E-3</v>
      </c>
      <c r="E86" s="704"/>
      <c r="F86" s="1673"/>
      <c r="G86" s="999">
        <f t="shared" si="27"/>
        <v>1.1999999999999999E-3</v>
      </c>
      <c r="H86" s="1002">
        <f t="shared" si="23"/>
        <v>1.1999999999999999E-3</v>
      </c>
      <c r="I86" s="3067">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6.4">
      <c r="A87" s="1969" t="s">
        <v>2055</v>
      </c>
      <c r="B87" s="1238" t="str">
        <f>估价对象房地状况!G19</f>
        <v>估价对象所在区域公共配套设施齐备情况</v>
      </c>
      <c r="C87" s="1886" t="s">
        <v>3782</v>
      </c>
      <c r="D87" s="1001">
        <f t="shared" si="22"/>
        <v>1.5E-3</v>
      </c>
      <c r="E87" s="704"/>
      <c r="F87" s="1673"/>
      <c r="G87" s="999">
        <f t="shared" si="27"/>
        <v>1.5E-3</v>
      </c>
      <c r="H87" s="1002">
        <f t="shared" si="23"/>
        <v>1.5E-3</v>
      </c>
      <c r="I87" s="3067">
        <v>0.06</v>
      </c>
      <c r="J87" s="1000">
        <f t="shared" si="24"/>
        <v>3.0000000000000001E-3</v>
      </c>
      <c r="K87" s="1000">
        <f t="shared" si="25"/>
        <v>1.5E-3</v>
      </c>
      <c r="L87" s="1000">
        <v>0</v>
      </c>
      <c r="M87" s="1000">
        <f t="shared" si="26"/>
        <v>-1.5E-3</v>
      </c>
      <c r="N87" s="1000">
        <f t="shared" si="26"/>
        <v>-3.0000000000000001E-3</v>
      </c>
    </row>
    <row r="88" spans="1:37" ht="26.4">
      <c r="A88" s="1969" t="s">
        <v>2056</v>
      </c>
      <c r="B88" s="1238" t="str">
        <f>估价对象房地状况!G20</f>
        <v>估价对象所在区域基础设施水平</v>
      </c>
      <c r="C88" s="1886" t="s">
        <v>3782</v>
      </c>
      <c r="D88" s="1001">
        <f t="shared" si="22"/>
        <v>3.0000000000000001E-3</v>
      </c>
      <c r="E88" s="704"/>
      <c r="F88" s="1673"/>
      <c r="G88" s="999">
        <f t="shared" si="27"/>
        <v>3.0000000000000001E-3</v>
      </c>
      <c r="H88" s="1002">
        <f t="shared" si="23"/>
        <v>3.0000000000000001E-3</v>
      </c>
      <c r="I88" s="3067">
        <v>0.12</v>
      </c>
      <c r="J88" s="1000">
        <f t="shared" si="24"/>
        <v>6.0000000000000001E-3</v>
      </c>
      <c r="K88" s="1000">
        <f t="shared" si="25"/>
        <v>3.0000000000000001E-3</v>
      </c>
      <c r="L88" s="1000">
        <v>0</v>
      </c>
      <c r="M88" s="1000">
        <f t="shared" si="26"/>
        <v>-3.0000000000000001E-3</v>
      </c>
      <c r="N88" s="1000">
        <f t="shared" si="26"/>
        <v>-6.0000000000000001E-3</v>
      </c>
    </row>
    <row r="89" spans="1:37" ht="36">
      <c r="A89" s="1969" t="s">
        <v>2053</v>
      </c>
      <c r="B89" s="1974" t="s">
        <v>2067</v>
      </c>
      <c r="C89" s="1886" t="s">
        <v>3782</v>
      </c>
      <c r="D89" s="1001">
        <f t="shared" si="22"/>
        <v>1.5E-3</v>
      </c>
      <c r="E89" s="704"/>
      <c r="F89" s="1673"/>
      <c r="G89" s="999">
        <f t="shared" si="27"/>
        <v>1.5E-3</v>
      </c>
      <c r="H89" s="1002">
        <f t="shared" si="23"/>
        <v>1.5E-3</v>
      </c>
      <c r="I89" s="3067">
        <v>0.06</v>
      </c>
      <c r="J89" s="1000">
        <f t="shared" si="24"/>
        <v>3.0000000000000001E-3</v>
      </c>
      <c r="K89" s="1000">
        <f t="shared" si="25"/>
        <v>1.5E-3</v>
      </c>
      <c r="L89" s="1000">
        <v>0</v>
      </c>
      <c r="M89" s="1000">
        <f t="shared" si="26"/>
        <v>-1.5E-3</v>
      </c>
      <c r="N89" s="1000">
        <f t="shared" si="26"/>
        <v>-3.0000000000000001E-3</v>
      </c>
    </row>
    <row r="90" spans="1:37" ht="40.200000000000003" thickBot="1">
      <c r="A90" s="1976" t="s">
        <v>2068</v>
      </c>
      <c r="B90" s="1981" t="str">
        <f>估价对象房地状况!G18</f>
        <v>该园区内是否有污染型企业，绿化情况，卫生条件，整体环境状况判断</v>
      </c>
      <c r="C90" s="1886" t="s">
        <v>3782</v>
      </c>
      <c r="D90" s="1001">
        <f t="shared" si="22"/>
        <v>1.1999999999999999E-3</v>
      </c>
      <c r="E90" s="705"/>
      <c r="F90" s="1673"/>
      <c r="G90" s="999">
        <f t="shared" si="27"/>
        <v>1.1999999999999999E-3</v>
      </c>
      <c r="H90" s="1002">
        <f t="shared" si="23"/>
        <v>1.1999999999999999E-3</v>
      </c>
      <c r="I90" s="3068">
        <v>0.05</v>
      </c>
      <c r="J90" s="1000">
        <f t="shared" si="24"/>
        <v>2.3999999999999998E-3</v>
      </c>
      <c r="K90" s="1000">
        <f t="shared" si="25"/>
        <v>1.1999999999999999E-3</v>
      </c>
      <c r="L90" s="1000">
        <v>0</v>
      </c>
      <c r="M90" s="1000">
        <f t="shared" si="26"/>
        <v>-1.1999999999999999E-3</v>
      </c>
      <c r="N90" s="1000">
        <f t="shared" si="26"/>
        <v>-2.3999999999999998E-3</v>
      </c>
    </row>
    <row r="91" spans="1:37" ht="13.8">
      <c r="A91" s="3077" t="s">
        <v>2612</v>
      </c>
      <c r="B91" s="3078">
        <f>1+E93</f>
        <v>1</v>
      </c>
      <c r="C91" s="3071"/>
      <c r="D91" s="3072"/>
      <c r="E91" s="1673"/>
      <c r="F91" s="1673"/>
      <c r="G91" s="3073"/>
      <c r="H91" s="3074"/>
      <c r="I91" s="3075"/>
      <c r="J91" s="3076"/>
      <c r="K91" s="3076"/>
      <c r="L91" s="3076"/>
      <c r="M91" s="3076"/>
      <c r="N91" s="3076"/>
    </row>
    <row r="92" spans="1:37" ht="25.2">
      <c r="A92" s="3079" t="s">
        <v>3271</v>
      </c>
      <c r="B92" s="2308"/>
      <c r="C92" s="2308" t="s">
        <v>3280</v>
      </c>
      <c r="D92" s="2308" t="s">
        <v>3281</v>
      </c>
      <c r="E92" s="3051" t="s">
        <v>3282</v>
      </c>
      <c r="F92" s="3081" t="s">
        <v>3283</v>
      </c>
      <c r="G92" s="2308" t="s">
        <v>3284</v>
      </c>
      <c r="H92" s="3088" t="s">
        <v>3287</v>
      </c>
      <c r="I92" s="2308" t="s">
        <v>3288</v>
      </c>
      <c r="J92" s="2149" t="s">
        <v>3289</v>
      </c>
      <c r="K92" s="2149" t="s">
        <v>3290</v>
      </c>
      <c r="L92" s="2149" t="s">
        <v>3291</v>
      </c>
      <c r="M92" s="2149" t="s">
        <v>3292</v>
      </c>
      <c r="N92" s="2149" t="s">
        <v>3293</v>
      </c>
    </row>
    <row r="93" spans="1:37" ht="24">
      <c r="A93" s="3069" t="s">
        <v>3272</v>
      </c>
      <c r="B93" s="1219"/>
      <c r="C93" s="1886"/>
      <c r="D93" s="2308">
        <f>SUMIF($J$92:$N$92,C93,J93:N93)</f>
        <v>0</v>
      </c>
      <c r="E93" s="3082">
        <f>ROUND(SUM(D93:D101),4)</f>
        <v>0</v>
      </c>
      <c r="F93" s="1673"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52.8">
      <c r="A94" s="3079" t="s">
        <v>3273</v>
      </c>
      <c r="B94" s="3070" t="str">
        <f>估价对象房地状况!C18</f>
        <v>估价对象周边道路状况、公共交通通达情况、停车便捷程度，综合评价交通便捷度较好</v>
      </c>
      <c r="C94" s="1886"/>
      <c r="D94" s="2308">
        <f t="shared" ref="D94:D101" si="31">SUMIF($J$60:$N$60,C94,J94:N94)</f>
        <v>0</v>
      </c>
      <c r="E94" s="3083"/>
      <c r="F94" s="1673"/>
      <c r="G94" s="3073"/>
      <c r="H94" s="3118" t="str">
        <f>IFERROR(ROUNDDOWN($F$93*I94/2,4),"——")</f>
        <v>——</v>
      </c>
      <c r="I94" s="3067">
        <v>0.26</v>
      </c>
      <c r="J94" s="1911">
        <f t="shared" si="28"/>
        <v>0</v>
      </c>
      <c r="K94" s="1911">
        <f t="shared" si="29"/>
        <v>0</v>
      </c>
      <c r="L94" s="1911">
        <v>0</v>
      </c>
      <c r="M94" s="1911">
        <f t="shared" si="30"/>
        <v>0</v>
      </c>
      <c r="N94" s="1911">
        <f t="shared" si="30"/>
        <v>0</v>
      </c>
    </row>
    <row r="95" spans="1:37" ht="48">
      <c r="A95" s="3069" t="s">
        <v>3269</v>
      </c>
      <c r="B95" s="3070">
        <f>估价对象房地状况!C19</f>
        <v>0</v>
      </c>
      <c r="C95" s="1886"/>
      <c r="D95" s="2308">
        <f t="shared" si="31"/>
        <v>0</v>
      </c>
      <c r="E95" s="3083"/>
      <c r="F95" s="1673"/>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7.200000000000003">
      <c r="A96" s="3079" t="s">
        <v>3274</v>
      </c>
      <c r="B96" s="3085" t="s">
        <v>3285</v>
      </c>
      <c r="C96" s="1886"/>
      <c r="D96" s="2308">
        <f t="shared" si="31"/>
        <v>0</v>
      </c>
      <c r="E96" s="3083"/>
      <c r="F96" s="1673"/>
      <c r="G96" s="3073"/>
      <c r="H96" s="3118" t="str">
        <f t="shared" si="32"/>
        <v>——</v>
      </c>
      <c r="I96" s="3067">
        <v>0.05</v>
      </c>
      <c r="J96" s="1911">
        <f t="shared" si="28"/>
        <v>0</v>
      </c>
      <c r="K96" s="1911">
        <f t="shared" si="29"/>
        <v>0</v>
      </c>
      <c r="L96" s="1911">
        <v>0</v>
      </c>
      <c r="M96" s="1911">
        <f t="shared" si="30"/>
        <v>0</v>
      </c>
      <c r="N96" s="1911">
        <f t="shared" si="30"/>
        <v>0</v>
      </c>
    </row>
    <row r="97" spans="1:14" ht="24">
      <c r="A97" s="3079" t="s">
        <v>3275</v>
      </c>
      <c r="B97" s="3070">
        <f>估价对象房地状况!C24</f>
        <v>0</v>
      </c>
      <c r="C97" s="1886"/>
      <c r="D97" s="2308">
        <f t="shared" si="31"/>
        <v>0</v>
      </c>
      <c r="E97" s="3083"/>
      <c r="F97" s="1673"/>
      <c r="G97" s="3073"/>
      <c r="H97" s="3118" t="str">
        <f t="shared" si="32"/>
        <v>——</v>
      </c>
      <c r="I97" s="3067">
        <v>0.05</v>
      </c>
      <c r="J97" s="1911">
        <f t="shared" si="28"/>
        <v>0</v>
      </c>
      <c r="K97" s="1911">
        <f t="shared" si="29"/>
        <v>0</v>
      </c>
      <c r="L97" s="1911">
        <v>0</v>
      </c>
      <c r="M97" s="1911">
        <f t="shared" si="30"/>
        <v>0</v>
      </c>
      <c r="N97" s="1911">
        <f t="shared" si="30"/>
        <v>0</v>
      </c>
    </row>
    <row r="98" spans="1:14" ht="36">
      <c r="A98" s="3079" t="s">
        <v>3276</v>
      </c>
      <c r="B98" s="3086" t="s">
        <v>3286</v>
      </c>
      <c r="C98" s="1886"/>
      <c r="D98" s="2308">
        <f t="shared" si="31"/>
        <v>0</v>
      </c>
      <c r="E98" s="3083"/>
      <c r="F98" s="1673"/>
      <c r="G98" s="3073"/>
      <c r="H98" s="3118" t="str">
        <f t="shared" si="32"/>
        <v>——</v>
      </c>
      <c r="I98" s="3067">
        <v>0.06</v>
      </c>
      <c r="J98" s="1911">
        <f t="shared" si="28"/>
        <v>0</v>
      </c>
      <c r="K98" s="1911">
        <f t="shared" si="29"/>
        <v>0</v>
      </c>
      <c r="L98" s="1911">
        <v>0</v>
      </c>
      <c r="M98" s="1911">
        <f t="shared" si="30"/>
        <v>0</v>
      </c>
      <c r="N98" s="1911">
        <f t="shared" si="30"/>
        <v>0</v>
      </c>
    </row>
    <row r="99" spans="1:14" ht="26.4">
      <c r="A99" s="3079" t="s">
        <v>3277</v>
      </c>
      <c r="B99" s="3070" t="str">
        <f>估价对象房地状况!C21</f>
        <v>估价对象所在区域公共配套设施齐备情况</v>
      </c>
      <c r="C99" s="1886"/>
      <c r="D99" s="2308">
        <f t="shared" si="31"/>
        <v>0</v>
      </c>
      <c r="E99" s="3083"/>
      <c r="F99" s="1673"/>
      <c r="G99" s="3073"/>
      <c r="H99" s="3118" t="str">
        <f t="shared" si="32"/>
        <v>——</v>
      </c>
      <c r="I99" s="3067">
        <v>0.06</v>
      </c>
      <c r="J99" s="1911">
        <f t="shared" si="28"/>
        <v>0</v>
      </c>
      <c r="K99" s="1911">
        <f t="shared" si="29"/>
        <v>0</v>
      </c>
      <c r="L99" s="1911">
        <v>0</v>
      </c>
      <c r="M99" s="1911">
        <f t="shared" si="30"/>
        <v>0</v>
      </c>
      <c r="N99" s="1911">
        <f t="shared" si="30"/>
        <v>0</v>
      </c>
    </row>
    <row r="100" spans="1:14" ht="26.4">
      <c r="A100" s="3079" t="s">
        <v>3278</v>
      </c>
      <c r="B100" s="3070" t="str">
        <f>估价对象房地状况!C22</f>
        <v>估价对象所在区域基础设施水平</v>
      </c>
      <c r="C100" s="1886"/>
      <c r="D100" s="2308">
        <f t="shared" si="31"/>
        <v>0</v>
      </c>
      <c r="E100" s="3083"/>
      <c r="F100" s="1673"/>
      <c r="G100" s="3073"/>
      <c r="H100" s="3118" t="str">
        <f t="shared" si="32"/>
        <v>——</v>
      </c>
      <c r="I100" s="3067">
        <v>0.09</v>
      </c>
      <c r="J100" s="1911">
        <f t="shared" si="28"/>
        <v>0</v>
      </c>
      <c r="K100" s="1911">
        <f t="shared" si="29"/>
        <v>0</v>
      </c>
      <c r="L100" s="1911">
        <v>0</v>
      </c>
      <c r="M100" s="1911">
        <f t="shared" si="30"/>
        <v>0</v>
      </c>
      <c r="N100" s="1911">
        <f t="shared" si="30"/>
        <v>0</v>
      </c>
    </row>
    <row r="101" spans="1:14" ht="40.200000000000003" thickBot="1">
      <c r="A101" s="3080" t="s">
        <v>3279</v>
      </c>
      <c r="B101" s="3087" t="str">
        <f>估价对象房地状况!C20</f>
        <v>区域自然环境：；人文环境；综合评价环境状况一般</v>
      </c>
      <c r="C101" s="1886"/>
      <c r="D101" s="2308">
        <f t="shared" si="31"/>
        <v>0</v>
      </c>
      <c r="E101" s="3084"/>
      <c r="F101" s="1673"/>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529" t="s">
        <v>3294</v>
      </c>
      <c r="B103" s="3529"/>
      <c r="C103" s="3529"/>
      <c r="D103" s="3529"/>
      <c r="E103" s="3529"/>
      <c r="F103" s="3529"/>
      <c r="G103" s="3529"/>
      <c r="H103" s="3529"/>
      <c r="I103" s="3529"/>
      <c r="J103" s="3529"/>
      <c r="K103" s="1665"/>
      <c r="L103" s="1665"/>
      <c r="M103" s="1665"/>
      <c r="N103" s="1665"/>
    </row>
    <row r="104" spans="1:14">
      <c r="A104" s="3530" t="s">
        <v>3295</v>
      </c>
      <c r="B104" s="3530" t="s">
        <v>3296</v>
      </c>
      <c r="C104" s="3089" t="s">
        <v>3297</v>
      </c>
      <c r="D104" s="3090"/>
      <c r="E104" s="3090"/>
      <c r="F104" s="3090"/>
      <c r="G104" s="3090"/>
      <c r="H104" s="3090"/>
      <c r="I104" s="3090"/>
      <c r="J104" s="3091"/>
      <c r="K104" s="3092"/>
      <c r="L104" s="3092"/>
      <c r="M104" s="3092"/>
      <c r="N104" s="3092"/>
    </row>
    <row r="105" spans="1:14">
      <c r="A105" s="3530"/>
      <c r="B105" s="3530"/>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516"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1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1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1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1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17"/>
      <c r="B111" s="3093" t="s">
        <v>3268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518"/>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519" t="s">
        <v>3311</v>
      </c>
      <c r="B113" s="3519"/>
      <c r="C113" s="3519"/>
      <c r="D113" s="3519"/>
      <c r="E113" s="3519"/>
      <c r="F113" s="3519"/>
      <c r="G113" s="3519"/>
      <c r="H113" s="3519"/>
      <c r="I113" s="3519"/>
      <c r="J113" s="3519"/>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3312</v>
      </c>
      <c r="B116" s="3113">
        <f>G3</f>
        <v>1.24</v>
      </c>
      <c r="C116" s="3098" t="s">
        <v>3313</v>
      </c>
      <c r="D116" s="3099">
        <f>SUMPRODUCT((A118:A122=F116)*(B117:M117=H116)*B118:M122)</f>
        <v>0.56689999999999996</v>
      </c>
      <c r="E116" s="162" t="s">
        <v>3314</v>
      </c>
      <c r="F116" s="3100" t="str">
        <f>E2</f>
        <v>工业</v>
      </c>
      <c r="G116" s="162" t="s">
        <v>3315</v>
      </c>
      <c r="H116" s="3100" t="str">
        <f>G2</f>
        <v>八级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0.98319999999999996</v>
      </c>
      <c r="C118" s="3088">
        <f>B118</f>
        <v>0.98319999999999996</v>
      </c>
      <c r="D118" s="3088">
        <f>ROUND(0.949-0.014*B116,4)</f>
        <v>0.93159999999999998</v>
      </c>
      <c r="E118" s="3088">
        <f>D118</f>
        <v>0.93159999999999998</v>
      </c>
      <c r="F118" s="3088">
        <f>E118</f>
        <v>0.93159999999999998</v>
      </c>
      <c r="G118" s="3088">
        <f>F118</f>
        <v>0.93159999999999998</v>
      </c>
      <c r="H118" s="3088">
        <f>G118</f>
        <v>0.93159999999999998</v>
      </c>
      <c r="I118" s="3088">
        <f>ROUND(0.8486-0.018*B116,4)</f>
        <v>0.82630000000000003</v>
      </c>
      <c r="J118" s="3088">
        <f t="shared" ref="J118:M122" si="36">I118</f>
        <v>0.82630000000000003</v>
      </c>
      <c r="K118" s="3088">
        <f t="shared" si="36"/>
        <v>0.82630000000000003</v>
      </c>
      <c r="L118" s="3088">
        <f t="shared" si="36"/>
        <v>0.82630000000000003</v>
      </c>
      <c r="M118" s="3108">
        <f t="shared" si="36"/>
        <v>0.82630000000000003</v>
      </c>
      <c r="N118" s="3096"/>
    </row>
    <row r="119" spans="1:14">
      <c r="A119" s="3056" t="s">
        <v>3329</v>
      </c>
      <c r="B119" s="3088">
        <f>ROUND(0.993-0.0112*B116,4)</f>
        <v>0.97909999999999997</v>
      </c>
      <c r="C119" s="3088">
        <f>B119</f>
        <v>0.97909999999999997</v>
      </c>
      <c r="D119" s="3088">
        <f>ROUND(0.9415-0.0142*B116,4)</f>
        <v>0.92390000000000005</v>
      </c>
      <c r="E119" s="3088">
        <f t="shared" ref="E119:H120" si="37">D119</f>
        <v>0.92390000000000005</v>
      </c>
      <c r="F119" s="3088">
        <f t="shared" si="37"/>
        <v>0.92390000000000005</v>
      </c>
      <c r="G119" s="3088">
        <f t="shared" si="37"/>
        <v>0.92390000000000005</v>
      </c>
      <c r="H119" s="3088">
        <f t="shared" si="37"/>
        <v>0.92390000000000005</v>
      </c>
      <c r="I119" s="3088">
        <f>ROUND(0.838-0.0182*B116,4)</f>
        <v>0.81540000000000001</v>
      </c>
      <c r="J119" s="3088">
        <f t="shared" si="36"/>
        <v>0.81540000000000001</v>
      </c>
      <c r="K119" s="3088">
        <f t="shared" si="36"/>
        <v>0.81540000000000001</v>
      </c>
      <c r="L119" s="3088">
        <f t="shared" si="36"/>
        <v>0.81540000000000001</v>
      </c>
      <c r="M119" s="3108">
        <f t="shared" si="36"/>
        <v>0.81540000000000001</v>
      </c>
      <c r="N119" s="3096"/>
    </row>
    <row r="120" spans="1:14">
      <c r="A120" s="3056" t="s">
        <v>3330</v>
      </c>
      <c r="B120" s="3088">
        <f>ROUND(0.9448-0.0115*B116,4)</f>
        <v>0.93049999999999999</v>
      </c>
      <c r="C120" s="3088">
        <f>B120</f>
        <v>0.93049999999999999</v>
      </c>
      <c r="D120" s="3088">
        <f>ROUND(0.937-0.0145*B116,4)</f>
        <v>0.91900000000000004</v>
      </c>
      <c r="E120" s="3088">
        <f t="shared" si="37"/>
        <v>0.91900000000000004</v>
      </c>
      <c r="F120" s="3088">
        <f t="shared" si="37"/>
        <v>0.91900000000000004</v>
      </c>
      <c r="G120" s="3088">
        <f t="shared" si="37"/>
        <v>0.91900000000000004</v>
      </c>
      <c r="H120" s="3088">
        <f t="shared" si="37"/>
        <v>0.91900000000000004</v>
      </c>
      <c r="I120" s="3088">
        <f>ROUND(0.7965-0.0185*B116,4)</f>
        <v>0.77359999999999995</v>
      </c>
      <c r="J120" s="3088">
        <f t="shared" si="36"/>
        <v>0.77359999999999995</v>
      </c>
      <c r="K120" s="3088">
        <f t="shared" si="36"/>
        <v>0.77359999999999995</v>
      </c>
      <c r="L120" s="3088">
        <f t="shared" si="36"/>
        <v>0.77359999999999995</v>
      </c>
      <c r="M120" s="3108">
        <f t="shared" si="36"/>
        <v>0.77359999999999995</v>
      </c>
      <c r="N120" s="3096"/>
    </row>
    <row r="121" spans="1:14" ht="13.8" thickBot="1">
      <c r="A121" s="3109" t="s">
        <v>3331</v>
      </c>
      <c r="B121" s="3110">
        <f>ROUND(0.7836-0.012*B116,4)</f>
        <v>0.76870000000000005</v>
      </c>
      <c r="C121" s="3110">
        <f>B121</f>
        <v>0.76870000000000005</v>
      </c>
      <c r="D121" s="3110">
        <f>ROUND(0.753-0.015*B116,4)</f>
        <v>0.73440000000000005</v>
      </c>
      <c r="E121" s="3110">
        <f>D121</f>
        <v>0.73440000000000005</v>
      </c>
      <c r="F121" s="3110">
        <f>E121</f>
        <v>0.73440000000000005</v>
      </c>
      <c r="G121" s="3110">
        <f>ROUND(0.6612-0.018*B116,4)</f>
        <v>0.63890000000000002</v>
      </c>
      <c r="H121" s="3110">
        <f>G121</f>
        <v>0.63890000000000002</v>
      </c>
      <c r="I121" s="3110">
        <f>ROUND(0.5905-0.019*B116,4)</f>
        <v>0.56689999999999996</v>
      </c>
      <c r="J121" s="3110">
        <f t="shared" si="36"/>
        <v>0.56689999999999996</v>
      </c>
      <c r="K121" s="3110">
        <f t="shared" si="36"/>
        <v>0.56689999999999996</v>
      </c>
      <c r="L121" s="3110">
        <f t="shared" si="36"/>
        <v>0.56689999999999996</v>
      </c>
      <c r="M121" s="3111">
        <f t="shared" si="36"/>
        <v>0.56689999999999996</v>
      </c>
      <c r="N121" s="3096"/>
    </row>
    <row r="122" spans="1:14">
      <c r="A122" s="3112" t="s">
        <v>2612</v>
      </c>
      <c r="B122" s="3088">
        <f>ROUND(0.9404-0.0106*B116,4)</f>
        <v>0.92730000000000001</v>
      </c>
      <c r="C122" s="3088">
        <f>B122</f>
        <v>0.92730000000000001</v>
      </c>
      <c r="D122" s="3088">
        <f>ROUND(0.8955-0.0135*B116,4)</f>
        <v>0.87880000000000003</v>
      </c>
      <c r="E122" s="3088">
        <f t="shared" ref="E122:H122" si="38">D122</f>
        <v>0.87880000000000003</v>
      </c>
      <c r="F122" s="3088">
        <f t="shared" si="38"/>
        <v>0.87880000000000003</v>
      </c>
      <c r="G122" s="3088">
        <f t="shared" si="38"/>
        <v>0.87880000000000003</v>
      </c>
      <c r="H122" s="3088">
        <f t="shared" si="38"/>
        <v>0.87880000000000003</v>
      </c>
      <c r="I122" s="3088">
        <f>ROUND(0.7632-0.0166*B116,4)</f>
        <v>0.74260000000000004</v>
      </c>
      <c r="J122" s="3088">
        <f t="shared" si="36"/>
        <v>0.74260000000000004</v>
      </c>
      <c r="K122" s="3088">
        <f t="shared" si="36"/>
        <v>0.74260000000000004</v>
      </c>
      <c r="L122" s="3088">
        <f t="shared" si="36"/>
        <v>0.74260000000000004</v>
      </c>
      <c r="M122" s="3108">
        <f t="shared" si="36"/>
        <v>0.74260000000000004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E2" xr:uid="{00000000-0002-0000-2B00-000004000000}">
      <formula1>"商业,办公,住宅,工业,公共服务"</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61:C69 C72:C80 C50:C58 C83:C91 C93:C101" xr:uid="{00000000-0002-0000-2B00-000008000000}">
      <formula1>五等判定</formula1>
    </dataValidation>
    <dataValidation type="list" allowBlank="1" showInputMessage="1" showErrorMessage="1" sqref="H23" xr:uid="{00000000-0002-0000-2B00-000009000000}">
      <formula1>"地价指数,季度增幅（自定义）,按公示增长率计算"</formula1>
    </dataValidation>
    <dataValidation type="list" allowBlank="1" showInputMessage="1" showErrorMessage="1" sqref="H20:O20" xr:uid="{00000000-0002-0000-2B00-00000A000000}">
      <formula1>七通一平</formula1>
    </dataValidation>
    <dataValidation type="list" allowBlank="1" showInputMessage="1" showErrorMessage="1" sqref="J23" xr:uid="{00000000-0002-0000-2B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42" t="s">
        <v>2607</v>
      </c>
      <c r="B20" s="3535" t="s">
        <v>2628</v>
      </c>
      <c r="C20" s="2841" t="s">
        <v>2439</v>
      </c>
      <c r="D20" s="2842"/>
      <c r="E20" s="2843">
        <v>1</v>
      </c>
      <c r="F20" s="2844" t="s">
        <v>2440</v>
      </c>
      <c r="G20" s="2844"/>
    </row>
    <row r="21" spans="1:13" ht="19.5" customHeight="1">
      <c r="A21" s="3543"/>
      <c r="B21" s="3536"/>
      <c r="C21" s="2845" t="s">
        <v>2441</v>
      </c>
      <c r="D21" s="2846"/>
      <c r="E21" s="2847">
        <v>1</v>
      </c>
      <c r="F21" s="2844" t="s">
        <v>2442</v>
      </c>
      <c r="G21" s="2844"/>
    </row>
    <row r="22" spans="1:13" ht="19.5" customHeight="1">
      <c r="A22" s="3543"/>
      <c r="B22" s="3536"/>
      <c r="C22" s="2845" t="s">
        <v>2443</v>
      </c>
      <c r="D22" s="2846"/>
      <c r="E22" s="2847">
        <v>0.9</v>
      </c>
      <c r="F22" s="2844" t="s">
        <v>2444</v>
      </c>
      <c r="G22" s="2844"/>
    </row>
    <row r="23" spans="1:13" ht="19.5" customHeight="1">
      <c r="A23" s="3543"/>
      <c r="B23" s="3536"/>
      <c r="C23" s="2845" t="s">
        <v>2445</v>
      </c>
      <c r="D23" s="2846"/>
      <c r="E23" s="2847">
        <v>0.9</v>
      </c>
      <c r="F23" s="2844" t="s">
        <v>2446</v>
      </c>
      <c r="G23" s="2844"/>
    </row>
    <row r="24" spans="1:13" ht="19.5" customHeight="1">
      <c r="A24" s="3543"/>
      <c r="B24" s="3536"/>
      <c r="C24" s="2845" t="s">
        <v>2447</v>
      </c>
      <c r="D24" s="2846"/>
      <c r="E24" s="2847">
        <v>0.8</v>
      </c>
      <c r="F24" s="2844" t="s">
        <v>2448</v>
      </c>
      <c r="G24" s="2844"/>
    </row>
    <row r="25" spans="1:13" ht="19.5" customHeight="1" thickBot="1">
      <c r="A25" s="3544"/>
      <c r="B25" s="353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538" t="s">
        <v>2631</v>
      </c>
      <c r="B27" s="3535" t="s">
        <v>2612</v>
      </c>
      <c r="C27" s="2841" t="s">
        <v>2452</v>
      </c>
      <c r="D27" s="2842"/>
      <c r="E27" s="2843">
        <v>1</v>
      </c>
      <c r="F27" s="2844" t="s">
        <v>2453</v>
      </c>
      <c r="G27" s="2844"/>
    </row>
    <row r="28" spans="1:13" ht="19.5" customHeight="1">
      <c r="A28" s="3539"/>
      <c r="B28" s="3536"/>
      <c r="C28" s="2845" t="s">
        <v>2454</v>
      </c>
      <c r="D28" s="2846"/>
      <c r="E28" s="2847">
        <v>1</v>
      </c>
      <c r="F28" s="2844" t="s">
        <v>2455</v>
      </c>
      <c r="G28" s="2844"/>
    </row>
    <row r="29" spans="1:13" ht="19.5" customHeight="1">
      <c r="A29" s="3539"/>
      <c r="B29" s="3536"/>
      <c r="C29" s="2845" t="s">
        <v>2456</v>
      </c>
      <c r="D29" s="2846"/>
      <c r="E29" s="2847">
        <v>0.8</v>
      </c>
      <c r="F29" s="2844" t="s">
        <v>2457</v>
      </c>
      <c r="G29" s="2844"/>
    </row>
    <row r="30" spans="1:13" ht="19.5" customHeight="1">
      <c r="A30" s="3539"/>
      <c r="B30" s="3536"/>
      <c r="C30" s="2845" t="s">
        <v>2458</v>
      </c>
      <c r="D30" s="2846"/>
      <c r="E30" s="2847">
        <v>0.8</v>
      </c>
      <c r="F30" s="2844" t="s">
        <v>2459</v>
      </c>
      <c r="G30" s="2844"/>
    </row>
    <row r="31" spans="1:13" ht="19.5" customHeight="1">
      <c r="A31" s="3539"/>
      <c r="B31" s="3536"/>
      <c r="C31" s="2845" t="s">
        <v>2460</v>
      </c>
      <c r="D31" s="2846"/>
      <c r="E31" s="2847">
        <v>0.8</v>
      </c>
      <c r="F31" s="2844" t="s">
        <v>2461</v>
      </c>
      <c r="G31" s="2844"/>
    </row>
    <row r="32" spans="1:13" ht="19.5" customHeight="1">
      <c r="A32" s="3539"/>
      <c r="B32" s="3536"/>
      <c r="C32" s="2845" t="s">
        <v>2462</v>
      </c>
      <c r="D32" s="2846"/>
      <c r="E32" s="2847">
        <v>0.7</v>
      </c>
      <c r="F32" s="2844" t="s">
        <v>2463</v>
      </c>
      <c r="G32" s="2844"/>
    </row>
    <row r="33" spans="1:7" ht="19.5" customHeight="1">
      <c r="A33" s="3539"/>
      <c r="B33" s="3536"/>
      <c r="C33" s="2845" t="s">
        <v>2464</v>
      </c>
      <c r="D33" s="2846"/>
      <c r="E33" s="2847">
        <v>0.8</v>
      </c>
      <c r="F33" s="2844" t="s">
        <v>2465</v>
      </c>
      <c r="G33" s="2844"/>
    </row>
    <row r="34" spans="1:7" ht="19.5" customHeight="1">
      <c r="A34" s="3539"/>
      <c r="B34" s="3536"/>
      <c r="C34" s="2845" t="s">
        <v>2466</v>
      </c>
      <c r="D34" s="2846"/>
      <c r="E34" s="2847">
        <v>0.6</v>
      </c>
      <c r="F34" s="2844" t="s">
        <v>2467</v>
      </c>
      <c r="G34" s="2844"/>
    </row>
    <row r="35" spans="1:7" ht="19.5" customHeight="1">
      <c r="A35" s="3539"/>
      <c r="B35" s="3536"/>
      <c r="C35" s="2845" t="s">
        <v>2468</v>
      </c>
      <c r="D35" s="2846"/>
      <c r="E35" s="2847">
        <v>0.2</v>
      </c>
      <c r="F35" s="2844" t="s">
        <v>2469</v>
      </c>
      <c r="G35" s="2844"/>
    </row>
    <row r="36" spans="1:7" ht="19.5" customHeight="1">
      <c r="A36" s="3539"/>
      <c r="B36" s="3536"/>
      <c r="C36" s="2845" t="s">
        <v>2470</v>
      </c>
      <c r="D36" s="2846"/>
      <c r="E36" s="2847">
        <v>0.2</v>
      </c>
      <c r="F36" s="2844" t="s">
        <v>2471</v>
      </c>
      <c r="G36" s="2844"/>
    </row>
    <row r="37" spans="1:7" ht="19.5" customHeight="1">
      <c r="A37" s="3539"/>
      <c r="B37" s="3541" t="s">
        <v>2632</v>
      </c>
      <c r="C37" s="2845" t="s">
        <v>2472</v>
      </c>
      <c r="D37" s="2846"/>
      <c r="E37" s="2847">
        <v>0.6</v>
      </c>
      <c r="F37" s="2844" t="s">
        <v>2473</v>
      </c>
      <c r="G37" s="2844"/>
    </row>
    <row r="38" spans="1:7" ht="19.5" customHeight="1">
      <c r="A38" s="3539"/>
      <c r="B38" s="3536"/>
      <c r="C38" s="2845" t="s">
        <v>2474</v>
      </c>
      <c r="D38" s="2846"/>
      <c r="E38" s="2847">
        <v>0.6</v>
      </c>
      <c r="F38" s="2844" t="s">
        <v>2475</v>
      </c>
      <c r="G38" s="2844"/>
    </row>
    <row r="39" spans="1:7" ht="19.5" customHeight="1" thickBot="1">
      <c r="A39" s="3540"/>
      <c r="B39" s="353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542" t="s">
        <v>2610</v>
      </c>
      <c r="B41" s="3535" t="s">
        <v>2634</v>
      </c>
      <c r="C41" s="2841" t="s">
        <v>2479</v>
      </c>
      <c r="D41" s="2842"/>
      <c r="E41" s="2843">
        <v>1</v>
      </c>
      <c r="F41" s="2844" t="s">
        <v>2480</v>
      </c>
      <c r="G41" s="2844"/>
    </row>
    <row r="42" spans="1:7" ht="19.5" customHeight="1">
      <c r="A42" s="3543"/>
      <c r="B42" s="3536"/>
      <c r="C42" s="2845" t="s">
        <v>2481</v>
      </c>
      <c r="D42" s="2846"/>
      <c r="E42" s="2847">
        <v>1</v>
      </c>
      <c r="F42" s="2844" t="s">
        <v>2482</v>
      </c>
      <c r="G42" s="2844"/>
    </row>
    <row r="43" spans="1:7" ht="19.5" customHeight="1">
      <c r="A43" s="3543"/>
      <c r="B43" s="3545"/>
      <c r="C43" s="2845" t="s">
        <v>2483</v>
      </c>
      <c r="D43" s="2846"/>
      <c r="E43" s="2847">
        <v>1.5</v>
      </c>
      <c r="F43" s="2844" t="s">
        <v>2484</v>
      </c>
      <c r="G43" s="2844"/>
    </row>
    <row r="44" spans="1:7" ht="19.5" customHeight="1">
      <c r="A44" s="3543"/>
      <c r="B44" s="2856" t="s">
        <v>2635</v>
      </c>
      <c r="C44" s="2845" t="s">
        <v>2636</v>
      </c>
      <c r="D44" s="2846"/>
      <c r="E44" s="2847">
        <v>2</v>
      </c>
      <c r="F44" s="2844" t="s">
        <v>2485</v>
      </c>
      <c r="G44" s="2844"/>
    </row>
    <row r="45" spans="1:7" ht="19.5" customHeight="1">
      <c r="A45" s="3543"/>
      <c r="B45" s="3541" t="s">
        <v>2637</v>
      </c>
      <c r="C45" s="2845" t="s">
        <v>2486</v>
      </c>
      <c r="D45" s="2846"/>
      <c r="E45" s="2847">
        <v>1</v>
      </c>
      <c r="F45" s="2844" t="s">
        <v>2487</v>
      </c>
      <c r="G45" s="2844"/>
    </row>
    <row r="46" spans="1:7" ht="19.5" customHeight="1">
      <c r="A46" s="3543"/>
      <c r="B46" s="3536"/>
      <c r="C46" s="2845" t="s">
        <v>2488</v>
      </c>
      <c r="D46" s="2846"/>
      <c r="E46" s="2847">
        <v>1</v>
      </c>
      <c r="F46" s="2844" t="s">
        <v>2489</v>
      </c>
      <c r="G46" s="2844"/>
    </row>
    <row r="47" spans="1:7" ht="19.5" customHeight="1">
      <c r="A47" s="3543"/>
      <c r="B47" s="3536"/>
      <c r="C47" s="2845" t="s">
        <v>2490</v>
      </c>
      <c r="D47" s="2846"/>
      <c r="E47" s="2847">
        <v>1</v>
      </c>
      <c r="F47" s="2844" t="s">
        <v>2491</v>
      </c>
      <c r="G47" s="2844"/>
    </row>
    <row r="48" spans="1:7" ht="19.5" customHeight="1">
      <c r="A48" s="3543"/>
      <c r="B48" s="3536"/>
      <c r="C48" s="2845" t="s">
        <v>2492</v>
      </c>
      <c r="D48" s="2846"/>
      <c r="E48" s="2847">
        <v>1</v>
      </c>
      <c r="F48" s="2844" t="s">
        <v>2493</v>
      </c>
      <c r="G48" s="2844"/>
    </row>
    <row r="49" spans="1:7" ht="19.5" customHeight="1">
      <c r="A49" s="3543"/>
      <c r="B49" s="3536"/>
      <c r="C49" s="2845" t="s">
        <v>2494</v>
      </c>
      <c r="D49" s="2846"/>
      <c r="E49" s="2847">
        <v>1</v>
      </c>
      <c r="F49" s="2844" t="s">
        <v>2495</v>
      </c>
      <c r="G49" s="2844"/>
    </row>
    <row r="50" spans="1:7" ht="19.5" customHeight="1">
      <c r="A50" s="3543"/>
      <c r="B50" s="3536"/>
      <c r="C50" s="2845" t="s">
        <v>2496</v>
      </c>
      <c r="D50" s="2846"/>
      <c r="E50" s="2847">
        <v>1</v>
      </c>
      <c r="F50" s="2844" t="s">
        <v>2497</v>
      </c>
      <c r="G50" s="2844"/>
    </row>
    <row r="51" spans="1:7" ht="19.5" customHeight="1" thickBot="1">
      <c r="A51" s="3544"/>
      <c r="B51" s="353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541" t="s">
        <v>2651</v>
      </c>
      <c r="C73" s="2830" t="s">
        <v>2652</v>
      </c>
      <c r="D73" s="2830" t="s">
        <v>2653</v>
      </c>
      <c r="E73" s="2856">
        <v>0.2</v>
      </c>
      <c r="F73" s="2856">
        <v>25</v>
      </c>
    </row>
    <row r="74" spans="1:7" ht="24">
      <c r="A74" s="2856">
        <v>2</v>
      </c>
      <c r="B74" s="3536"/>
      <c r="C74" s="2830" t="s">
        <v>2654</v>
      </c>
      <c r="D74" s="2830" t="s">
        <v>2655</v>
      </c>
      <c r="E74" s="2856">
        <v>0.2</v>
      </c>
      <c r="F74" s="2856">
        <v>25</v>
      </c>
    </row>
    <row r="75" spans="1:7" ht="24">
      <c r="A75" s="2856">
        <v>3</v>
      </c>
      <c r="B75" s="3536"/>
      <c r="C75" s="2830" t="s">
        <v>2656</v>
      </c>
      <c r="D75" s="2830" t="s">
        <v>2657</v>
      </c>
      <c r="E75" s="2856">
        <v>0.2</v>
      </c>
      <c r="F75" s="2856">
        <v>25</v>
      </c>
    </row>
    <row r="76" spans="1:7" ht="14.4">
      <c r="A76" s="2856">
        <v>4</v>
      </c>
      <c r="B76" s="3536"/>
      <c r="C76" s="2830" t="s">
        <v>2658</v>
      </c>
      <c r="D76" s="2830" t="s">
        <v>2659</v>
      </c>
      <c r="E76" s="2856">
        <v>0.15</v>
      </c>
      <c r="F76" s="2856">
        <v>20</v>
      </c>
    </row>
    <row r="77" spans="1:7" ht="24">
      <c r="A77" s="2856">
        <v>5</v>
      </c>
      <c r="B77" s="3536"/>
      <c r="C77" s="2830" t="s">
        <v>2660</v>
      </c>
      <c r="D77" s="2830" t="s">
        <v>2661</v>
      </c>
      <c r="E77" s="2856">
        <v>0.15</v>
      </c>
      <c r="F77" s="2856">
        <v>20</v>
      </c>
    </row>
    <row r="78" spans="1:7" ht="24">
      <c r="A78" s="2856">
        <v>6</v>
      </c>
      <c r="B78" s="3536"/>
      <c r="C78" s="2830" t="s">
        <v>2662</v>
      </c>
      <c r="D78" s="2830" t="s">
        <v>2663</v>
      </c>
      <c r="E78" s="2856">
        <v>0.15</v>
      </c>
      <c r="F78" s="2856">
        <v>20</v>
      </c>
    </row>
    <row r="79" spans="1:7" ht="24">
      <c r="A79" s="2856">
        <v>7</v>
      </c>
      <c r="B79" s="3536"/>
      <c r="C79" s="2830" t="s">
        <v>2664</v>
      </c>
      <c r="D79" s="2830" t="s">
        <v>2665</v>
      </c>
      <c r="E79" s="2856">
        <v>0.15</v>
      </c>
      <c r="F79" s="2856">
        <v>20</v>
      </c>
    </row>
    <row r="80" spans="1:7" ht="24">
      <c r="A80" s="2856">
        <v>8</v>
      </c>
      <c r="B80" s="3536"/>
      <c r="C80" s="2830" t="s">
        <v>2666</v>
      </c>
      <c r="D80" s="2830" t="s">
        <v>2667</v>
      </c>
      <c r="E80" s="2856">
        <v>0.1</v>
      </c>
      <c r="F80" s="2856">
        <v>15</v>
      </c>
    </row>
    <row r="81" spans="1:6" ht="24">
      <c r="A81" s="2856">
        <v>9</v>
      </c>
      <c r="B81" s="3536"/>
      <c r="C81" s="2830" t="s">
        <v>2668</v>
      </c>
      <c r="D81" s="2830" t="s">
        <v>2669</v>
      </c>
      <c r="E81" s="2856">
        <v>0.1</v>
      </c>
      <c r="F81" s="2856">
        <v>15</v>
      </c>
    </row>
    <row r="82" spans="1:6" ht="24">
      <c r="A82" s="2856">
        <v>10</v>
      </c>
      <c r="B82" s="3536"/>
      <c r="C82" s="2830" t="s">
        <v>2670</v>
      </c>
      <c r="D82" s="2830" t="s">
        <v>2671</v>
      </c>
      <c r="E82" s="2856">
        <v>0.1</v>
      </c>
      <c r="F82" s="2856">
        <v>15</v>
      </c>
    </row>
    <row r="83" spans="1:6" ht="24">
      <c r="A83" s="2856">
        <v>11</v>
      </c>
      <c r="B83" s="3536"/>
      <c r="C83" s="2830" t="s">
        <v>2672</v>
      </c>
      <c r="D83" s="2830" t="s">
        <v>2673</v>
      </c>
      <c r="E83" s="2856">
        <v>0.1</v>
      </c>
      <c r="F83" s="2856">
        <v>15</v>
      </c>
    </row>
    <row r="84" spans="1:6" ht="24">
      <c r="A84" s="2856">
        <v>12</v>
      </c>
      <c r="B84" s="3536"/>
      <c r="C84" s="2830" t="s">
        <v>2674</v>
      </c>
      <c r="D84" s="2830" t="s">
        <v>2675</v>
      </c>
      <c r="E84" s="2856">
        <v>0.1</v>
      </c>
      <c r="F84" s="2856">
        <v>15</v>
      </c>
    </row>
    <row r="85" spans="1:6" ht="24">
      <c r="A85" s="2856">
        <v>13</v>
      </c>
      <c r="B85" s="3536"/>
      <c r="C85" s="2830" t="s">
        <v>2676</v>
      </c>
      <c r="D85" s="2830" t="s">
        <v>2677</v>
      </c>
      <c r="E85" s="2856">
        <v>0.1</v>
      </c>
      <c r="F85" s="2856">
        <v>15</v>
      </c>
    </row>
    <row r="86" spans="1:6" ht="24">
      <c r="A86" s="2856">
        <v>14</v>
      </c>
      <c r="B86" s="3536"/>
      <c r="C86" s="2830" t="s">
        <v>2678</v>
      </c>
      <c r="D86" s="2830" t="s">
        <v>2679</v>
      </c>
      <c r="E86" s="2856">
        <v>0.1</v>
      </c>
      <c r="F86" s="2856">
        <v>15</v>
      </c>
    </row>
    <row r="87" spans="1:6" ht="24">
      <c r="A87" s="2856">
        <v>15</v>
      </c>
      <c r="B87" s="3536"/>
      <c r="C87" s="2830" t="s">
        <v>2680</v>
      </c>
      <c r="D87" s="2830" t="s">
        <v>2681</v>
      </c>
      <c r="E87" s="2856">
        <v>0.1</v>
      </c>
      <c r="F87" s="2856">
        <v>15</v>
      </c>
    </row>
    <row r="88" spans="1:6" ht="24">
      <c r="A88" s="2856">
        <v>16</v>
      </c>
      <c r="B88" s="3536"/>
      <c r="C88" s="2830" t="s">
        <v>2682</v>
      </c>
      <c r="D88" s="2830" t="s">
        <v>2683</v>
      </c>
      <c r="E88" s="2856">
        <v>0.1</v>
      </c>
      <c r="F88" s="2856">
        <v>15</v>
      </c>
    </row>
    <row r="89" spans="1:6" ht="24">
      <c r="A89" s="2856">
        <v>17</v>
      </c>
      <c r="B89" s="3545"/>
      <c r="C89" s="2830" t="s">
        <v>2684</v>
      </c>
      <c r="D89" s="2830" t="s">
        <v>2685</v>
      </c>
      <c r="E89" s="2856">
        <v>0.1</v>
      </c>
      <c r="F89" s="2856">
        <v>15</v>
      </c>
    </row>
    <row r="90" spans="1:6" ht="14.4">
      <c r="A90" s="2856">
        <v>18</v>
      </c>
      <c r="B90" s="3541" t="s">
        <v>2686</v>
      </c>
      <c r="C90" s="2830" t="s">
        <v>2687</v>
      </c>
      <c r="D90" s="2830" t="s">
        <v>2688</v>
      </c>
      <c r="E90" s="2856">
        <v>0.2</v>
      </c>
      <c r="F90" s="2856">
        <v>25</v>
      </c>
    </row>
    <row r="91" spans="1:6" ht="24">
      <c r="A91" s="2856">
        <v>19</v>
      </c>
      <c r="B91" s="3536"/>
      <c r="C91" s="2830" t="s">
        <v>2689</v>
      </c>
      <c r="D91" s="2830" t="s">
        <v>2690</v>
      </c>
      <c r="E91" s="2856">
        <v>0.2</v>
      </c>
      <c r="F91" s="2856">
        <v>25</v>
      </c>
    </row>
    <row r="92" spans="1:6" ht="14.4">
      <c r="A92" s="2856">
        <v>20</v>
      </c>
      <c r="B92" s="3536"/>
      <c r="C92" s="2830" t="s">
        <v>2691</v>
      </c>
      <c r="D92" s="2830" t="s">
        <v>2692</v>
      </c>
      <c r="E92" s="2856">
        <v>0.15</v>
      </c>
      <c r="F92" s="2856">
        <v>20</v>
      </c>
    </row>
    <row r="93" spans="1:6" ht="24">
      <c r="A93" s="2856">
        <v>21</v>
      </c>
      <c r="B93" s="3536"/>
      <c r="C93" s="2830" t="s">
        <v>2693</v>
      </c>
      <c r="D93" s="2830" t="s">
        <v>2694</v>
      </c>
      <c r="E93" s="2856">
        <v>0.15</v>
      </c>
      <c r="F93" s="2856">
        <v>20</v>
      </c>
    </row>
    <row r="94" spans="1:6" ht="24">
      <c r="A94" s="2856">
        <v>22</v>
      </c>
      <c r="B94" s="3536"/>
      <c r="C94" s="2830" t="s">
        <v>2695</v>
      </c>
      <c r="D94" s="2830" t="s">
        <v>2696</v>
      </c>
      <c r="E94" s="2856">
        <v>0.15</v>
      </c>
      <c r="F94" s="2856">
        <v>20</v>
      </c>
    </row>
    <row r="95" spans="1:6" ht="36">
      <c r="A95" s="2856">
        <v>23</v>
      </c>
      <c r="B95" s="3536"/>
      <c r="C95" s="2830" t="s">
        <v>2697</v>
      </c>
      <c r="D95" s="2830" t="s">
        <v>2698</v>
      </c>
      <c r="E95" s="2856">
        <v>0.15</v>
      </c>
      <c r="F95" s="2856">
        <v>20</v>
      </c>
    </row>
    <row r="96" spans="1:6" ht="24">
      <c r="A96" s="2856">
        <v>24</v>
      </c>
      <c r="B96" s="3536"/>
      <c r="C96" s="2830" t="s">
        <v>2699</v>
      </c>
      <c r="D96" s="2830" t="s">
        <v>2700</v>
      </c>
      <c r="E96" s="2856">
        <v>0.1</v>
      </c>
      <c r="F96" s="2856">
        <v>15</v>
      </c>
    </row>
    <row r="97" spans="1:6" ht="24">
      <c r="A97" s="2856">
        <v>25</v>
      </c>
      <c r="B97" s="3536"/>
      <c r="C97" s="2830" t="s">
        <v>2701</v>
      </c>
      <c r="D97" s="2830" t="s">
        <v>2702</v>
      </c>
      <c r="E97" s="2856">
        <v>0.1</v>
      </c>
      <c r="F97" s="2856">
        <v>15</v>
      </c>
    </row>
    <row r="98" spans="1:6" ht="24">
      <c r="A98" s="2856">
        <v>26</v>
      </c>
      <c r="B98" s="3536"/>
      <c r="C98" s="2830" t="s">
        <v>2703</v>
      </c>
      <c r="D98" s="2830" t="s">
        <v>2704</v>
      </c>
      <c r="E98" s="2856">
        <v>0.1</v>
      </c>
      <c r="F98" s="2856">
        <v>15</v>
      </c>
    </row>
    <row r="99" spans="1:6" ht="24">
      <c r="A99" s="2856">
        <v>27</v>
      </c>
      <c r="B99" s="3536"/>
      <c r="C99" s="2830" t="s">
        <v>2705</v>
      </c>
      <c r="D99" s="2830" t="s">
        <v>2706</v>
      </c>
      <c r="E99" s="2856">
        <v>0.1</v>
      </c>
      <c r="F99" s="2856">
        <v>15</v>
      </c>
    </row>
    <row r="100" spans="1:6" ht="24">
      <c r="A100" s="2856">
        <v>28</v>
      </c>
      <c r="B100" s="3536"/>
      <c r="C100" s="2830" t="s">
        <v>2707</v>
      </c>
      <c r="D100" s="2830" t="s">
        <v>2708</v>
      </c>
      <c r="E100" s="2856">
        <v>0.1</v>
      </c>
      <c r="F100" s="2856">
        <v>15</v>
      </c>
    </row>
    <row r="101" spans="1:6" ht="24">
      <c r="A101" s="2856">
        <v>29</v>
      </c>
      <c r="B101" s="3536"/>
      <c r="C101" s="2830" t="s">
        <v>2709</v>
      </c>
      <c r="D101" s="2830" t="s">
        <v>2710</v>
      </c>
      <c r="E101" s="2856">
        <v>0.1</v>
      </c>
      <c r="F101" s="2856">
        <v>15</v>
      </c>
    </row>
    <row r="102" spans="1:6" ht="24">
      <c r="A102" s="2856">
        <v>30</v>
      </c>
      <c r="B102" s="3536"/>
      <c r="C102" s="2830" t="s">
        <v>2711</v>
      </c>
      <c r="D102" s="2830" t="s">
        <v>2712</v>
      </c>
      <c r="E102" s="2856">
        <v>0.1</v>
      </c>
      <c r="F102" s="2856">
        <v>15</v>
      </c>
    </row>
    <row r="103" spans="1:6" ht="24">
      <c r="A103" s="2856">
        <v>31</v>
      </c>
      <c r="B103" s="3536"/>
      <c r="C103" s="2830" t="s">
        <v>2713</v>
      </c>
      <c r="D103" s="2830" t="s">
        <v>2714</v>
      </c>
      <c r="E103" s="2856">
        <v>0.1</v>
      </c>
      <c r="F103" s="2856">
        <v>15</v>
      </c>
    </row>
    <row r="104" spans="1:6" ht="24">
      <c r="A104" s="2856">
        <v>32</v>
      </c>
      <c r="B104" s="3536"/>
      <c r="C104" s="2830" t="s">
        <v>2715</v>
      </c>
      <c r="D104" s="2830" t="s">
        <v>2716</v>
      </c>
      <c r="E104" s="2856">
        <v>0.1</v>
      </c>
      <c r="F104" s="2856">
        <v>15</v>
      </c>
    </row>
    <row r="105" spans="1:6" ht="24">
      <c r="A105" s="2856">
        <v>33</v>
      </c>
      <c r="B105" s="3536"/>
      <c r="C105" s="2830" t="s">
        <v>2717</v>
      </c>
      <c r="D105" s="2830" t="s">
        <v>2718</v>
      </c>
      <c r="E105" s="2856">
        <v>0.1</v>
      </c>
      <c r="F105" s="2856">
        <v>15</v>
      </c>
    </row>
    <row r="106" spans="1:6" ht="24">
      <c r="A106" s="2856">
        <v>34</v>
      </c>
      <c r="B106" s="3545"/>
      <c r="C106" s="2830" t="s">
        <v>2719</v>
      </c>
      <c r="D106" s="2830" t="s">
        <v>2720</v>
      </c>
      <c r="E106" s="2856">
        <v>0.1</v>
      </c>
      <c r="F106" s="2856">
        <v>15</v>
      </c>
    </row>
    <row r="107" spans="1:6" ht="36">
      <c r="A107" s="2856">
        <v>35</v>
      </c>
      <c r="B107" s="3541" t="s">
        <v>2721</v>
      </c>
      <c r="C107" s="2856" t="s">
        <v>2722</v>
      </c>
      <c r="D107" s="2830" t="s">
        <v>2723</v>
      </c>
      <c r="E107" s="2856">
        <v>0.15</v>
      </c>
      <c r="F107" s="2856">
        <v>20</v>
      </c>
    </row>
    <row r="108" spans="1:6" ht="24">
      <c r="A108" s="2856">
        <v>36</v>
      </c>
      <c r="B108" s="3536"/>
      <c r="C108" s="2856" t="s">
        <v>2724</v>
      </c>
      <c r="D108" s="2830" t="s">
        <v>2725</v>
      </c>
      <c r="E108" s="2856">
        <v>0.15</v>
      </c>
      <c r="F108" s="2856">
        <v>20</v>
      </c>
    </row>
    <row r="109" spans="1:6" ht="24">
      <c r="A109" s="2856">
        <v>37</v>
      </c>
      <c r="B109" s="3536"/>
      <c r="C109" s="2856" t="s">
        <v>2726</v>
      </c>
      <c r="D109" s="2830" t="s">
        <v>2727</v>
      </c>
      <c r="E109" s="2856">
        <v>0.15</v>
      </c>
      <c r="F109" s="2856">
        <v>20</v>
      </c>
    </row>
    <row r="110" spans="1:6" ht="24">
      <c r="A110" s="2856">
        <v>38</v>
      </c>
      <c r="B110" s="3536"/>
      <c r="C110" s="2856" t="s">
        <v>2728</v>
      </c>
      <c r="D110" s="2830" t="s">
        <v>2729</v>
      </c>
      <c r="E110" s="2856">
        <v>0.1</v>
      </c>
      <c r="F110" s="2856">
        <v>15</v>
      </c>
    </row>
    <row r="111" spans="1:6" ht="24">
      <c r="A111" s="2856">
        <v>39</v>
      </c>
      <c r="B111" s="3536"/>
      <c r="C111" s="2856" t="s">
        <v>2730</v>
      </c>
      <c r="D111" s="2830" t="s">
        <v>2731</v>
      </c>
      <c r="E111" s="2856">
        <v>0.1</v>
      </c>
      <c r="F111" s="2856">
        <v>15</v>
      </c>
    </row>
    <row r="112" spans="1:6" ht="24">
      <c r="A112" s="2856">
        <v>40</v>
      </c>
      <c r="B112" s="3545"/>
      <c r="C112" s="2856" t="s">
        <v>2732</v>
      </c>
      <c r="D112" s="2830" t="s">
        <v>2733</v>
      </c>
      <c r="E112" s="2856">
        <v>0.1</v>
      </c>
      <c r="F112" s="2856">
        <v>15</v>
      </c>
    </row>
    <row r="113" spans="1:6" ht="24">
      <c r="A113" s="2856">
        <v>41</v>
      </c>
      <c r="B113" s="3546" t="s">
        <v>2734</v>
      </c>
      <c r="C113" s="2856" t="s">
        <v>2735</v>
      </c>
      <c r="D113" s="2830" t="s">
        <v>2736</v>
      </c>
      <c r="E113" s="2856">
        <v>0.1</v>
      </c>
      <c r="F113" s="2856">
        <v>15</v>
      </c>
    </row>
    <row r="114" spans="1:6" ht="24">
      <c r="A114" s="2856">
        <v>42</v>
      </c>
      <c r="B114" s="3546"/>
      <c r="C114" s="2856" t="s">
        <v>2737</v>
      </c>
      <c r="D114" s="2830" t="s">
        <v>2738</v>
      </c>
      <c r="E114" s="2856">
        <v>0.1</v>
      </c>
      <c r="F114" s="2856">
        <v>15</v>
      </c>
    </row>
    <row r="115" spans="1:6" ht="24">
      <c r="A115" s="2856">
        <v>43</v>
      </c>
      <c r="B115" s="3546"/>
      <c r="C115" s="2856" t="s">
        <v>2739</v>
      </c>
      <c r="D115" s="2830" t="s">
        <v>2740</v>
      </c>
      <c r="E115" s="2856">
        <v>0.1</v>
      </c>
      <c r="F115" s="2856">
        <v>15</v>
      </c>
    </row>
    <row r="116" spans="1:6" ht="24">
      <c r="A116" s="2856">
        <v>44</v>
      </c>
      <c r="B116" s="3541" t="s">
        <v>2741</v>
      </c>
      <c r="C116" s="2856" t="s">
        <v>2742</v>
      </c>
      <c r="D116" s="2830" t="s">
        <v>2743</v>
      </c>
      <c r="E116" s="2856">
        <v>0.1</v>
      </c>
      <c r="F116" s="2856">
        <v>15</v>
      </c>
    </row>
    <row r="117" spans="1:6" ht="24">
      <c r="A117" s="2856">
        <v>45</v>
      </c>
      <c r="B117" s="3545"/>
      <c r="C117" s="2830" t="s">
        <v>2744</v>
      </c>
      <c r="D117" s="2830" t="s">
        <v>2745</v>
      </c>
      <c r="E117" s="2856">
        <v>0.1</v>
      </c>
      <c r="F117" s="2856">
        <v>15</v>
      </c>
    </row>
    <row r="118" spans="1:6" ht="24">
      <c r="A118" s="2856">
        <v>46</v>
      </c>
      <c r="B118" s="3541" t="s">
        <v>2746</v>
      </c>
      <c r="C118" s="2856" t="s">
        <v>2747</v>
      </c>
      <c r="D118" s="2830" t="s">
        <v>2748</v>
      </c>
      <c r="E118" s="2856">
        <v>0.1</v>
      </c>
      <c r="F118" s="2856">
        <v>15</v>
      </c>
    </row>
    <row r="119" spans="1:6" ht="24">
      <c r="A119" s="2856">
        <v>47</v>
      </c>
      <c r="B119" s="3545"/>
      <c r="C119" s="2856" t="s">
        <v>2749</v>
      </c>
      <c r="D119" s="2830" t="s">
        <v>2750</v>
      </c>
      <c r="E119" s="2856">
        <v>0.1</v>
      </c>
      <c r="F119" s="2856">
        <v>15</v>
      </c>
    </row>
    <row r="120" spans="1:6" ht="24">
      <c r="A120" s="2856">
        <v>48</v>
      </c>
      <c r="B120" s="3541" t="s">
        <v>2751</v>
      </c>
      <c r="C120" s="2856" t="s">
        <v>2752</v>
      </c>
      <c r="D120" s="2830" t="s">
        <v>2753</v>
      </c>
      <c r="E120" s="2856">
        <v>0.1</v>
      </c>
      <c r="F120" s="2856">
        <v>15</v>
      </c>
    </row>
    <row r="121" spans="1:6" ht="24">
      <c r="A121" s="2856">
        <v>49</v>
      </c>
      <c r="B121" s="3545"/>
      <c r="C121" s="2856" t="s">
        <v>2754</v>
      </c>
      <c r="D121" s="2830" t="s">
        <v>2755</v>
      </c>
      <c r="E121" s="2856">
        <v>0.1</v>
      </c>
      <c r="F121" s="2856">
        <v>15</v>
      </c>
    </row>
    <row r="122" spans="1:6" ht="24">
      <c r="A122" s="2856">
        <v>50</v>
      </c>
      <c r="B122" s="3546" t="s">
        <v>2756</v>
      </c>
      <c r="C122" s="2856" t="s">
        <v>2757</v>
      </c>
      <c r="D122" s="2830" t="s">
        <v>2758</v>
      </c>
      <c r="E122" s="2856">
        <v>0.1</v>
      </c>
      <c r="F122" s="2856">
        <v>15</v>
      </c>
    </row>
    <row r="123" spans="1:6" ht="24">
      <c r="A123" s="2856">
        <v>51</v>
      </c>
      <c r="B123" s="3546"/>
      <c r="C123" s="2856" t="s">
        <v>2759</v>
      </c>
      <c r="D123" s="2830" t="s">
        <v>2760</v>
      </c>
      <c r="E123" s="2856">
        <v>0.1</v>
      </c>
      <c r="F123" s="2856">
        <v>15</v>
      </c>
    </row>
    <row r="124" spans="1:6" ht="24">
      <c r="A124" s="2856">
        <v>52</v>
      </c>
      <c r="B124" s="3546" t="s">
        <v>2761</v>
      </c>
      <c r="C124" s="2856" t="s">
        <v>2762</v>
      </c>
      <c r="D124" s="2830" t="s">
        <v>2763</v>
      </c>
      <c r="E124" s="2856">
        <v>0.1</v>
      </c>
      <c r="F124" s="2856">
        <v>15</v>
      </c>
    </row>
    <row r="125" spans="1:6" ht="24">
      <c r="A125" s="2856">
        <v>53</v>
      </c>
      <c r="B125" s="3546"/>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546" t="s">
        <v>2769</v>
      </c>
      <c r="C127" s="2856" t="s">
        <v>2770</v>
      </c>
      <c r="D127" s="2830" t="s">
        <v>2771</v>
      </c>
      <c r="E127" s="2856">
        <v>0.1</v>
      </c>
      <c r="F127" s="2856">
        <v>15</v>
      </c>
    </row>
    <row r="128" spans="1:6" ht="24">
      <c r="A128" s="2856">
        <v>56</v>
      </c>
      <c r="B128" s="3546"/>
      <c r="C128" s="2856" t="s">
        <v>2772</v>
      </c>
      <c r="D128" s="2830" t="s">
        <v>2773</v>
      </c>
      <c r="E128" s="2856">
        <v>0.1</v>
      </c>
      <c r="F128" s="2856">
        <v>15</v>
      </c>
    </row>
    <row r="129" spans="1:6" ht="24">
      <c r="A129" s="2856">
        <v>57</v>
      </c>
      <c r="B129" s="3546"/>
      <c r="C129" s="2856" t="s">
        <v>2774</v>
      </c>
      <c r="D129" s="2830" t="s">
        <v>2775</v>
      </c>
      <c r="E129" s="2856">
        <v>0.1</v>
      </c>
      <c r="F129" s="2856">
        <v>15</v>
      </c>
    </row>
    <row r="130" spans="1:6" ht="24">
      <c r="A130" s="2856">
        <v>58</v>
      </c>
      <c r="B130" s="3546" t="s">
        <v>2776</v>
      </c>
      <c r="C130" s="2856" t="s">
        <v>2777</v>
      </c>
      <c r="D130" s="2830" t="s">
        <v>2778</v>
      </c>
      <c r="E130" s="2856">
        <v>0.1</v>
      </c>
      <c r="F130" s="2856">
        <v>15</v>
      </c>
    </row>
    <row r="131" spans="1:6" ht="24">
      <c r="A131" s="2856">
        <v>59</v>
      </c>
      <c r="B131" s="3546"/>
      <c r="C131" s="2856" t="s">
        <v>2779</v>
      </c>
      <c r="D131" s="2830" t="s">
        <v>2780</v>
      </c>
      <c r="E131" s="2856">
        <v>0.1</v>
      </c>
      <c r="F131" s="2856">
        <v>15</v>
      </c>
    </row>
    <row r="132" spans="1:6" ht="24">
      <c r="A132" s="2856">
        <v>60</v>
      </c>
      <c r="B132" s="3541" t="s">
        <v>2781</v>
      </c>
      <c r="C132" s="2856" t="s">
        <v>2782</v>
      </c>
      <c r="D132" s="2830" t="s">
        <v>2783</v>
      </c>
      <c r="E132" s="2856">
        <v>0.1</v>
      </c>
      <c r="F132" s="2856">
        <v>15</v>
      </c>
    </row>
    <row r="133" spans="1:6" ht="24">
      <c r="A133" s="2856">
        <v>61</v>
      </c>
      <c r="B133" s="3545"/>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546" t="s">
        <v>2789</v>
      </c>
      <c r="C135" s="2856" t="s">
        <v>2790</v>
      </c>
      <c r="D135" s="2830" t="s">
        <v>2791</v>
      </c>
      <c r="E135" s="2856">
        <v>0.1</v>
      </c>
      <c r="F135" s="2856">
        <v>15</v>
      </c>
    </row>
    <row r="136" spans="1:6" ht="24">
      <c r="A136" s="2856">
        <v>64</v>
      </c>
      <c r="B136" s="3546"/>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1.173</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1.0678000000000001</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32006</v>
      </c>
      <c r="C2" s="2" t="s">
        <v>106</v>
      </c>
      <c r="D2" s="191"/>
      <c r="E2" s="191"/>
      <c r="F2" s="191"/>
      <c r="G2" s="191"/>
    </row>
    <row r="3" spans="1:7" s="192" customFormat="1" ht="18" customHeight="1" thickBot="1">
      <c r="A3" s="195" t="s">
        <v>58</v>
      </c>
      <c r="B3" s="196">
        <f ca="1">ROUND(B2*10000/'数据-汇总表'!E3,0)</f>
        <v>15976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401</v>
      </c>
      <c r="D10" s="794">
        <f>'数据-汇总表'!E6</f>
        <v>20034.16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401</v>
      </c>
      <c r="D19" s="204">
        <f>'数据-汇总表'!E3</f>
        <v>20034.16</v>
      </c>
      <c r="E19" s="203">
        <f>'数据-取费表'!B31</f>
        <v>200</v>
      </c>
      <c r="F19" s="223"/>
      <c r="G19" s="1" t="s">
        <v>436</v>
      </c>
    </row>
    <row r="20" spans="1:7" s="206" customFormat="1" ht="13.5" customHeight="1">
      <c r="A20" s="730" t="s">
        <v>419</v>
      </c>
      <c r="B20" s="202" t="s">
        <v>77</v>
      </c>
      <c r="C20" s="224">
        <f>ROUND((C5+C19)*F20,0)</f>
        <v>420</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1108</v>
      </c>
      <c r="D22" s="227">
        <f ca="1">C26</f>
        <v>5.0000000000000001E-4</v>
      </c>
      <c r="E22" s="228" t="s">
        <v>99</v>
      </c>
      <c r="F22" s="229">
        <f ca="1">'数据-取费表'!B40</f>
        <v>3.4500000000000003E-2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1076</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21</v>
      </c>
      <c r="D24" s="230"/>
      <c r="E24" s="230"/>
      <c r="F24" s="231"/>
      <c r="G24" s="232" t="s">
        <v>82</v>
      </c>
    </row>
    <row r="25" spans="1:7" s="206" customFormat="1" ht="24">
      <c r="A25" s="733" t="s">
        <v>348</v>
      </c>
      <c r="B25" s="207" t="s">
        <v>420</v>
      </c>
      <c r="C25" s="1041">
        <f ca="1">ROUND(IF('数据-取费表'!B22&lt;=1,C20*F22*'数据-取费表'!B23/2,C20*(POWER((1+F22),'数据-取费表'!B23/2)-1)),0)</f>
        <v>11</v>
      </c>
      <c r="D25" s="230"/>
      <c r="E25" s="233"/>
      <c r="F25" s="231"/>
      <c r="G25" s="234" t="s">
        <v>83</v>
      </c>
    </row>
    <row r="26" spans="1:7" s="206" customFormat="1">
      <c r="A26" s="733" t="s">
        <v>350</v>
      </c>
      <c r="B26" s="207" t="s">
        <v>422</v>
      </c>
      <c r="C26" s="230">
        <f ca="1">ROUND(IF('数据-取费表'!B22&lt;=1,F21*F22*'数据-取费表'!B23/2,F21*(POWER((1+F22),'数据-取费表'!B23/2)-1)),4)</f>
        <v>5.0000000000000001E-4</v>
      </c>
      <c r="D26" s="230"/>
      <c r="E26" s="233"/>
      <c r="F26" s="231"/>
      <c r="G26" s="235"/>
    </row>
    <row r="27" spans="1:7" s="206" customFormat="1" ht="26.4">
      <c r="A27" s="730" t="s">
        <v>342</v>
      </c>
      <c r="B27" s="236" t="s">
        <v>85</v>
      </c>
      <c r="C27" s="237">
        <f>C28</f>
        <v>1500</v>
      </c>
      <c r="D27" s="227">
        <f>C29</f>
        <v>1.4E-3</v>
      </c>
      <c r="E27" s="228" t="s">
        <v>99</v>
      </c>
      <c r="F27" s="238">
        <f>'数据-取费表'!Q16</f>
        <v>7.0000000000000007E-2</v>
      </c>
      <c r="G27" s="239" t="s">
        <v>431</v>
      </c>
    </row>
    <row r="28" spans="1:7" s="206" customFormat="1" ht="13.5" customHeight="1">
      <c r="A28" s="733" t="s">
        <v>349</v>
      </c>
      <c r="B28" s="240" t="s">
        <v>424</v>
      </c>
      <c r="C28" s="241">
        <f>ROUND((C5+C19+C20)*F27*'数据-取费表'!B21/'数据-取费表'!B20,0)</f>
        <v>1500</v>
      </c>
      <c r="D28" s="227"/>
      <c r="E28" s="228"/>
      <c r="F28" s="238"/>
      <c r="G28" s="239"/>
    </row>
    <row r="29" spans="1:7" s="206" customFormat="1" ht="13.5" customHeight="1">
      <c r="A29" s="733" t="s">
        <v>347</v>
      </c>
      <c r="B29" s="240" t="s">
        <v>425</v>
      </c>
      <c r="C29" s="230">
        <f>ROUND(C21*F27*'数据-取费表'!B21/'数据-取费表'!B20,4)</f>
        <v>1.4E-3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25968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6323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5587</v>
      </c>
      <c r="D34" s="209"/>
      <c r="E34" s="212"/>
      <c r="F34" s="249">
        <f>IF('数据-取费表'!B24=0,1,'数据-取费表'!N16)</f>
        <v>1</v>
      </c>
      <c r="G34" s="211" t="s">
        <v>89</v>
      </c>
    </row>
    <row r="35" spans="1:7" ht="13.5" customHeight="1">
      <c r="A35" s="733" t="s">
        <v>351</v>
      </c>
      <c r="B35" s="207" t="s">
        <v>33</v>
      </c>
      <c r="C35" s="212">
        <f>ROUND(C34*F35,0)</f>
        <v>223</v>
      </c>
      <c r="D35" s="212"/>
      <c r="E35" s="212"/>
      <c r="F35" s="251">
        <f>'数据-取费表'!B33</f>
        <v>0.04</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401</v>
      </c>
      <c r="D37" s="209">
        <f>'数据-汇总表'!E3</f>
        <v>20034.16</v>
      </c>
      <c r="E37" s="241">
        <f>'数据-取费表'!B35</f>
        <v>200</v>
      </c>
      <c r="F37" s="251"/>
      <c r="G37" s="253" t="s">
        <v>92</v>
      </c>
    </row>
    <row r="38" spans="1:7" ht="13.5" customHeight="1">
      <c r="A38" s="733" t="s">
        <v>354</v>
      </c>
      <c r="B38" s="207" t="s">
        <v>36</v>
      </c>
      <c r="C38" s="212">
        <f>ROUND(C34*F38,0)</f>
        <v>112</v>
      </c>
      <c r="D38" s="212"/>
      <c r="E38" s="212"/>
      <c r="F38" s="251">
        <f>'数据-取费表'!B36</f>
        <v>0.02</v>
      </c>
      <c r="G38" s="211" t="s">
        <v>90</v>
      </c>
    </row>
    <row r="39" spans="1:7" s="206" customFormat="1" ht="13.5" customHeight="1">
      <c r="A39" s="730" t="s">
        <v>338</v>
      </c>
      <c r="B39" s="202" t="s">
        <v>77</v>
      </c>
      <c r="C39" s="224">
        <f>ROUND(C33*F20,0)</f>
        <v>126</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166</v>
      </c>
      <c r="D41" s="227">
        <f ca="1">C44</f>
        <v>5.0000000000000001E-4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163</v>
      </c>
      <c r="D42" s="230"/>
      <c r="E42" s="230"/>
      <c r="F42" s="231"/>
      <c r="G42" s="3413" t="s">
        <v>94</v>
      </c>
    </row>
    <row r="43" spans="1:7" ht="13.5" customHeight="1">
      <c r="A43" s="733" t="s">
        <v>347</v>
      </c>
      <c r="B43" s="207" t="s">
        <v>426</v>
      </c>
      <c r="C43" s="230">
        <f ca="1">ROUND(IF('数据-取费表'!B22&lt;=1,C39*F22*'数据-取费表'!B21/2,C39*(POWER((1+F22),'数据-取费表'!B21/2)-1)),0)</f>
        <v>3</v>
      </c>
      <c r="D43" s="230"/>
      <c r="E43" s="230"/>
      <c r="F43" s="231"/>
      <c r="G43" s="3414"/>
    </row>
    <row r="44" spans="1:7" ht="13.5" customHeight="1">
      <c r="A44" s="733" t="s">
        <v>348</v>
      </c>
      <c r="B44" s="207" t="s">
        <v>428</v>
      </c>
      <c r="C44" s="230">
        <f ca="1">ROUND(IF('数据-取费表'!B22&lt;=1,C40*F22*'数据-取费表'!B21/2,C40*(POWER((1+F22),'数据-取费表'!B21/2)-1)),4)</f>
        <v>5.0000000000000001E-4</v>
      </c>
      <c r="D44" s="230"/>
      <c r="E44" s="230"/>
      <c r="F44" s="231"/>
      <c r="G44" s="3415"/>
    </row>
    <row r="45" spans="1:7" s="206" customFormat="1" ht="13.5" customHeight="1">
      <c r="A45" s="730" t="s">
        <v>341</v>
      </c>
      <c r="B45" s="236" t="s">
        <v>85</v>
      </c>
      <c r="C45" s="237">
        <f>C46</f>
        <v>451</v>
      </c>
      <c r="D45" s="227">
        <f>C47</f>
        <v>1.4E-3</v>
      </c>
      <c r="E45" s="228" t="s">
        <v>102</v>
      </c>
      <c r="F45" s="238"/>
      <c r="G45" s="239" t="s">
        <v>434</v>
      </c>
    </row>
    <row r="46" spans="1:7" s="206" customFormat="1" ht="13.5" customHeight="1">
      <c r="A46" s="733" t="s">
        <v>349</v>
      </c>
      <c r="B46" s="240" t="s">
        <v>427</v>
      </c>
      <c r="C46" s="241">
        <f>ROUND((C33+C39)*F27,0)</f>
        <v>451</v>
      </c>
      <c r="D46" s="255"/>
      <c r="E46" s="228"/>
      <c r="F46" s="238"/>
      <c r="G46" s="239"/>
    </row>
    <row r="47" spans="1:7" s="206" customFormat="1" ht="13.5" customHeight="1">
      <c r="A47" s="733" t="s">
        <v>347</v>
      </c>
      <c r="B47" s="240" t="s">
        <v>429</v>
      </c>
      <c r="C47" s="230">
        <f>ROUND(C40*F27,4)</f>
        <v>1.4E-3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7633</v>
      </c>
      <c r="D49" s="224"/>
      <c r="E49" s="224"/>
      <c r="F49" s="256"/>
      <c r="G49" s="226" t="s">
        <v>435</v>
      </c>
    </row>
    <row r="50" spans="1:7" s="250" customFormat="1" ht="24">
      <c r="A50" s="730" t="s">
        <v>344</v>
      </c>
      <c r="B50" s="202" t="s">
        <v>97</v>
      </c>
      <c r="C50" s="224"/>
      <c r="D50" s="224"/>
      <c r="E50" s="224"/>
      <c r="F50" s="256">
        <f>IF('数据-取费表'!B24=0,'数据-取费表'!N16,1)</f>
        <v>0.79100000000000004</v>
      </c>
      <c r="G50" s="239" t="s">
        <v>98</v>
      </c>
    </row>
    <row r="51" spans="1:7" ht="16.5" customHeight="1">
      <c r="A51" s="730" t="s">
        <v>345</v>
      </c>
      <c r="B51" s="202" t="s">
        <v>105</v>
      </c>
      <c r="C51" s="224">
        <f ca="1">ROUND(C49*F50,0)</f>
        <v>6038</v>
      </c>
      <c r="D51" s="224"/>
      <c r="E51" s="224"/>
      <c r="F51" s="256"/>
      <c r="G51" s="226" t="s">
        <v>37</v>
      </c>
    </row>
    <row r="52" spans="1:7" s="200" customFormat="1" ht="16.8" thickBot="1">
      <c r="A52" s="257" t="s">
        <v>38</v>
      </c>
      <c r="B52" s="258"/>
      <c r="C52" s="259">
        <f ca="1">C31+C51</f>
        <v>32006</v>
      </c>
      <c r="D52" s="258"/>
      <c r="E52" s="258"/>
      <c r="F52" s="258"/>
      <c r="G52" s="260"/>
    </row>
    <row r="55" spans="1:7" ht="15">
      <c r="B55" s="262" t="s">
        <v>39</v>
      </c>
      <c r="C55" s="263"/>
    </row>
    <row r="56" spans="1:7">
      <c r="B56" s="265" t="s">
        <v>40</v>
      </c>
      <c r="C56" s="266">
        <f ca="1">ROUND(C51/C52,3)</f>
        <v>0.189</v>
      </c>
    </row>
    <row r="57" spans="1:7">
      <c r="B57" s="265" t="s">
        <v>41</v>
      </c>
      <c r="C57" s="267">
        <f ca="1">1-C56</f>
        <v>0.81099999999999994</v>
      </c>
    </row>
  </sheetData>
  <mergeCells count="1">
    <mergeCell ref="G42:G44"/>
  </mergeCells>
  <phoneticPr fontId="20"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49" t="s">
        <v>2839</v>
      </c>
      <c r="B1" s="3549"/>
      <c r="C1" s="3549"/>
      <c r="D1" s="3549"/>
      <c r="E1" s="3549"/>
      <c r="F1" s="3549"/>
      <c r="G1" s="3550"/>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47"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48"/>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51" t="s">
        <v>3181</v>
      </c>
      <c r="B1" s="3551"/>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928</v>
      </c>
      <c r="B2" s="3225" t="s">
        <v>929</v>
      </c>
      <c r="C2" s="3225" t="s">
        <v>930</v>
      </c>
      <c r="D2" s="3225" t="str">
        <f>结果表!D116</f>
        <v>出让国有建设用地使用权价值</v>
      </c>
      <c r="E2" s="3225"/>
      <c r="F2" s="3225" t="str">
        <f>结果表!F116</f>
        <v>建筑物价值</v>
      </c>
      <c r="G2" s="3225"/>
      <c r="H2" s="3225" t="str">
        <f>IF(项目基本情况!B9="房地产市场价值","房地产市场价值","房地产价值")</f>
        <v>房地产价值</v>
      </c>
      <c r="I2" s="3225"/>
    </row>
    <row r="3" spans="1:9" ht="15.6">
      <c r="A3" s="3226"/>
      <c r="B3" s="3226"/>
      <c r="C3" s="3226"/>
      <c r="D3" s="800" t="s">
        <v>925</v>
      </c>
      <c r="E3" s="800" t="s">
        <v>931</v>
      </c>
      <c r="F3" s="800" t="s">
        <v>925</v>
      </c>
      <c r="G3" s="800" t="s">
        <v>926</v>
      </c>
      <c r="H3" s="800" t="s">
        <v>925</v>
      </c>
      <c r="I3" s="800" t="s">
        <v>926</v>
      </c>
    </row>
    <row r="4" spans="1:9" ht="15">
      <c r="A4" s="1401" t="str">
        <f>项目基本情况!S2</f>
        <v>北京市房地产</v>
      </c>
      <c r="B4" s="800">
        <f>项目基本情况!C17</f>
        <v>20034.16</v>
      </c>
      <c r="C4" s="800">
        <f>项目基本情况!C18</f>
        <v>15530.82</v>
      </c>
      <c r="D4" s="800">
        <f ca="1">结果表!D118</f>
        <v>5730</v>
      </c>
      <c r="E4" s="800">
        <f ca="1">结果表!E118</f>
        <v>2860</v>
      </c>
      <c r="F4" s="800">
        <f ca="1">结果表!F118</f>
        <v>7914</v>
      </c>
      <c r="G4" s="800">
        <f ca="1">结果表!G118</f>
        <v>3950</v>
      </c>
      <c r="H4" s="800">
        <f ca="1">结果表!H118</f>
        <v>13644</v>
      </c>
      <c r="I4" s="800">
        <f ca="1">结果表!I118</f>
        <v>6810</v>
      </c>
    </row>
    <row r="5" spans="1:9" ht="30" customHeight="1">
      <c r="A5" s="3226" t="s">
        <v>927</v>
      </c>
      <c r="B5" s="3226"/>
      <c r="C5" s="3226"/>
      <c r="D5" s="3226" t="str">
        <f ca="1">结果表!D119</f>
        <v>伍仟柒佰叁拾万元整</v>
      </c>
      <c r="E5" s="3226"/>
      <c r="F5" s="3226" t="str">
        <f ca="1">结果表!F119</f>
        <v>柒仟玖佰壹拾肆万元整</v>
      </c>
      <c r="G5" s="3226"/>
      <c r="H5" s="3226" t="str">
        <f ca="1">结果表!H119</f>
        <v>壹亿叁仟陆佰肆拾肆万元整</v>
      </c>
      <c r="I5" s="3226"/>
    </row>
    <row r="6" spans="1:9" ht="15.6">
      <c r="A6" s="3227" t="str">
        <f>结果表!A120</f>
        <v>估价师知悉的法定优先受偿款</v>
      </c>
      <c r="B6" s="3227"/>
      <c r="C6" s="3227"/>
      <c r="D6" s="3227">
        <f>结果表!D120</f>
        <v>0</v>
      </c>
      <c r="E6" s="3227"/>
      <c r="F6" s="3227"/>
      <c r="G6" s="3227"/>
      <c r="H6" s="3227"/>
      <c r="I6" s="3227"/>
    </row>
    <row r="7" spans="1:9" ht="15">
      <c r="A7" s="3226" t="s">
        <v>927</v>
      </c>
      <c r="B7" s="3226"/>
      <c r="C7" s="3226"/>
      <c r="D7" s="3228" t="str">
        <f>结果表!D121</f>
        <v>零元整</v>
      </c>
      <c r="E7" s="3229"/>
      <c r="F7" s="3229"/>
      <c r="G7" s="3229"/>
      <c r="H7" s="3229"/>
      <c r="I7" s="3230"/>
    </row>
    <row r="8" spans="1:9" ht="15.6">
      <c r="A8" s="3227" t="str">
        <f>结果表!A122</f>
        <v>房地产抵押价值</v>
      </c>
      <c r="B8" s="3227"/>
      <c r="C8" s="3227"/>
      <c r="D8" s="3227">
        <f ca="1">结果表!D122</f>
        <v>13644</v>
      </c>
      <c r="E8" s="3227"/>
      <c r="F8" s="3227"/>
      <c r="G8" s="3227"/>
      <c r="H8" s="3227"/>
      <c r="I8" s="3227"/>
    </row>
    <row r="9" spans="1:9" ht="15">
      <c r="A9" s="3226" t="s">
        <v>927</v>
      </c>
      <c r="B9" s="3226"/>
      <c r="C9" s="3226"/>
      <c r="D9" s="3226" t="str">
        <f ca="1">结果表!D123</f>
        <v>壹亿叁仟陆佰肆拾肆万元整</v>
      </c>
      <c r="E9" s="3226"/>
      <c r="F9" s="3226"/>
      <c r="G9" s="3226"/>
      <c r="H9" s="3226"/>
      <c r="I9" s="3226"/>
    </row>
    <row r="10" spans="1:9" ht="15.6">
      <c r="A10" s="3227" t="str">
        <f>结果表!A124</f>
        <v/>
      </c>
      <c r="B10" s="3227"/>
      <c r="C10" s="3227"/>
      <c r="D10" s="3227" t="str">
        <f>结果表!D124</f>
        <v>——</v>
      </c>
      <c r="E10" s="3227"/>
      <c r="F10" s="3227"/>
      <c r="G10" s="3227"/>
      <c r="H10" s="3227"/>
      <c r="I10" s="3227"/>
    </row>
    <row r="11" spans="1:9" ht="15">
      <c r="A11" s="3226" t="s">
        <v>927</v>
      </c>
      <c r="B11" s="3226"/>
      <c r="C11" s="3226"/>
      <c r="D11" s="3226" t="e">
        <f>结果表!D125</f>
        <v>#VALUE!</v>
      </c>
      <c r="E11" s="3226"/>
      <c r="F11" s="3226"/>
      <c r="G11" s="3226"/>
      <c r="H11" s="3226"/>
      <c r="I11" s="3226"/>
    </row>
    <row r="12" spans="1:9" ht="15.6">
      <c r="A12" s="3227" t="str">
        <f>结果表!A126</f>
        <v/>
      </c>
      <c r="B12" s="3227"/>
      <c r="C12" s="3227"/>
      <c r="D12" s="3227" t="str">
        <f>结果表!D126</f>
        <v>——</v>
      </c>
      <c r="E12" s="3227"/>
      <c r="F12" s="3227"/>
      <c r="G12" s="3227"/>
      <c r="H12" s="3227"/>
      <c r="I12" s="3227"/>
    </row>
    <row r="13" spans="1:9" ht="15.6" thickBot="1">
      <c r="A13" s="3231" t="s">
        <v>927</v>
      </c>
      <c r="B13" s="3231"/>
      <c r="C13" s="3231"/>
      <c r="D13" s="3231" t="e">
        <f>结果表!D127</f>
        <v>#VALUE!</v>
      </c>
      <c r="E13" s="3231"/>
      <c r="F13" s="3231"/>
      <c r="G13" s="3231"/>
      <c r="H13" s="3231"/>
      <c r="I13" s="3231"/>
    </row>
    <row r="14" spans="1:9" ht="14.4" thickTop="1">
      <c r="A14" s="3232" t="s">
        <v>932</v>
      </c>
      <c r="B14" s="3232"/>
      <c r="C14" s="3232"/>
      <c r="D14" s="3232"/>
      <c r="E14" s="3232"/>
      <c r="F14" s="3232"/>
      <c r="G14" s="3232"/>
      <c r="H14" s="3232"/>
      <c r="I14" s="3232"/>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sqref="A1:XFD1048576"/>
    </sheetView>
  </sheetViews>
  <sheetFormatPr defaultColWidth="13.21875" defaultRowHeight="14.4"/>
  <cols>
    <col min="1" max="16384" width="13.21875" style="2812"/>
  </cols>
  <sheetData>
    <row r="1" spans="1:6">
      <c r="A1" s="3552" t="s">
        <v>3232</v>
      </c>
      <c r="B1" s="3552"/>
      <c r="C1" s="3552"/>
      <c r="D1" s="3552"/>
      <c r="E1" s="3552"/>
      <c r="F1" s="355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2936">
        <f>基准地价修正!G23</f>
        <v>45470</v>
      </c>
      <c r="B1" s="2928" t="s">
        <v>3371</v>
      </c>
      <c r="C1" s="2929"/>
      <c r="D1" s="2929"/>
      <c r="E1" s="2929"/>
      <c r="F1" s="2929"/>
      <c r="G1" s="2929"/>
      <c r="H1" s="2929"/>
      <c r="I1" s="2929"/>
      <c r="J1" s="2895"/>
      <c r="K1" s="2929" t="s">
        <v>454</v>
      </c>
      <c r="L1" s="2929"/>
      <c r="M1" s="2929"/>
      <c r="N1" s="2929"/>
      <c r="O1" s="2929"/>
      <c r="P1" s="2929"/>
      <c r="Q1" s="2895"/>
      <c r="R1" s="3554" t="s">
        <v>456</v>
      </c>
      <c r="S1" s="3555"/>
      <c r="T1" s="3555"/>
      <c r="U1" s="3555"/>
      <c r="V1" s="3555"/>
      <c r="W1" s="3555"/>
      <c r="X1" s="2895"/>
      <c r="Y1" s="3554" t="s">
        <v>457</v>
      </c>
      <c r="Z1" s="3555"/>
      <c r="AA1" s="3555"/>
      <c r="AB1" s="3555"/>
      <c r="AC1" s="3555"/>
      <c r="AD1" s="3555"/>
    </row>
    <row r="2" spans="1:30" s="2009" customFormat="1" ht="1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row>
    <row r="3" spans="1:30" s="2885" customFormat="1" ht="13.2">
      <c r="A3" s="2883" t="s">
        <v>2819</v>
      </c>
      <c r="B3" s="2884"/>
      <c r="D3" s="2885">
        <f>ROUND(AVERAGEIF(D4:D19,"&lt;&gt;0"),2)</f>
        <v>0.68</v>
      </c>
      <c r="E3" s="2885">
        <f t="shared" ref="E3:H3" si="0">ROUND(AVERAGEIF(E4:E19,"&lt;&gt;0"),2)</f>
        <v>0.4</v>
      </c>
      <c r="F3" s="2885">
        <f t="shared" si="0"/>
        <v>0.17</v>
      </c>
      <c r="G3" s="2885">
        <f t="shared" si="0"/>
        <v>0.74</v>
      </c>
      <c r="H3" s="2885">
        <f t="shared" si="0"/>
        <v>0.62</v>
      </c>
      <c r="I3" s="2885">
        <f>F3</f>
        <v>0.17</v>
      </c>
      <c r="J3" s="2886"/>
      <c r="K3" s="2887">
        <f>ROUND(AVERAGEIF(K4:K19,"&lt;&gt;0"),4)</f>
        <v>6.7999999999999996E-3</v>
      </c>
      <c r="L3" s="2888">
        <f t="shared" ref="L3:O3" si="1">ROUND(AVERAGEIF(L4:L19,"&lt;&gt;0"),4)</f>
        <v>4.0000000000000001E-3</v>
      </c>
      <c r="M3" s="2888">
        <f t="shared" si="1"/>
        <v>1.6999999999999999E-3</v>
      </c>
      <c r="N3" s="2888">
        <f t="shared" si="1"/>
        <v>7.4000000000000003E-3</v>
      </c>
      <c r="O3" s="2888">
        <f t="shared" si="1"/>
        <v>6.1999999999999998E-3</v>
      </c>
      <c r="P3" s="2888">
        <f>M3</f>
        <v>1.6999999999999999E-3</v>
      </c>
      <c r="Q3" s="2886"/>
      <c r="R3" s="2889">
        <f>ROUND(SUMPRODUCT(PRODUCT(1+K4:K19)),4)</f>
        <v>1.0916999999999999</v>
      </c>
      <c r="S3" s="2890">
        <f t="shared" ref="S3:V3" si="2">ROUND(SUMPRODUCT(PRODUCT(1+L4:L19)),4)</f>
        <v>1.0537000000000001</v>
      </c>
      <c r="T3" s="2890">
        <f t="shared" si="2"/>
        <v>1.0224</v>
      </c>
      <c r="U3" s="2890">
        <f t="shared" si="2"/>
        <v>1.1008</v>
      </c>
      <c r="V3" s="2890">
        <f t="shared" si="2"/>
        <v>1.0843</v>
      </c>
      <c r="W3" s="2889">
        <f>T3</f>
        <v>1.0224</v>
      </c>
      <c r="X3" s="2886"/>
      <c r="Y3" s="2891">
        <f>ROUND(AVERAGEIF(Y6:Y19,"&lt;&gt;0"),4)</f>
        <v>8.6999999999999994E-3</v>
      </c>
      <c r="Z3" s="2892">
        <f t="shared" ref="Z3:AC3" si="3">ROUND(AVERAGEIF(Z6:Z19,"&lt;&gt;0"),4)</f>
        <v>3.5000000000000001E-3</v>
      </c>
      <c r="AA3" s="2893">
        <f t="shared" si="3"/>
        <v>8.9999999999999998E-4</v>
      </c>
      <c r="AB3" s="2891">
        <f t="shared" si="3"/>
        <v>9.4999999999999998E-3</v>
      </c>
      <c r="AC3" s="2894">
        <f t="shared" si="3"/>
        <v>6.1000000000000004E-3</v>
      </c>
      <c r="AD3" s="2891">
        <f>AA3</f>
        <v>8.9999999999999998E-4</v>
      </c>
    </row>
    <row r="4" spans="1:30"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3.2">
      <c r="A5" s="2039" t="s">
        <v>3379</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1.0811999999999999</v>
      </c>
      <c r="S5" s="2026">
        <f>ROUND(IF(项目基本情况!$B$8="出让",SUMPRODUCT(PRODUCT(1+L5:$L$19)),SUMPRODUCT(PRODUCT(1+L5:$L$18))),4)</f>
        <v>1.052</v>
      </c>
      <c r="T5" s="2026">
        <f>ROUND(IF(项目基本情况!$B$8="出让",SUMPRODUCT(PRODUCT(1+M5:$M$19)),SUMPRODUCT(PRODUCT(1+M5:$M$18))),4)</f>
        <v>1.0249999999999999</v>
      </c>
      <c r="U5" s="2026">
        <f>ROUND(IF(项目基本情况!$B$8="出让",SUMPRODUCT(PRODUCT(1+N5:$N$19)),SUMPRODUCT(PRODUCT(1+N5:$N$18))),4)</f>
        <v>1.0888</v>
      </c>
      <c r="V5" s="2026">
        <f>ROUND(IF(项目基本情况!$B$8="出让",SUMPRODUCT(PRODUCT(1+O5:$O$19)),SUMPRODUCT(PRODUCT(1+O5:$O$18))),4)</f>
        <v>1.0804</v>
      </c>
      <c r="W5" s="2026">
        <f>T5</f>
        <v>1.0249999999999999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044" customFormat="1" ht="13.2">
      <c r="A6" s="2039" t="s">
        <v>3374</v>
      </c>
      <c r="B6" s="2030">
        <v>2024</v>
      </c>
      <c r="C6" s="2041">
        <v>2</v>
      </c>
      <c r="D6" s="2006">
        <v>0</v>
      </c>
      <c r="E6" s="2006">
        <v>0</v>
      </c>
      <c r="F6" s="2006">
        <v>0</v>
      </c>
      <c r="G6" s="2006">
        <v>0</v>
      </c>
      <c r="H6" s="2006">
        <v>0</v>
      </c>
      <c r="I6" s="2007">
        <f t="shared" ref="I6:I19" si="15">F6</f>
        <v>0</v>
      </c>
      <c r="J6" s="2905"/>
      <c r="K6" s="2042">
        <f t="shared" ref="K6:O19" si="16">D6/100</f>
        <v>0</v>
      </c>
      <c r="L6" s="2027">
        <f t="shared" si="16"/>
        <v>0</v>
      </c>
      <c r="M6" s="2027">
        <f t="shared" si="16"/>
        <v>0</v>
      </c>
      <c r="N6" s="2027">
        <f t="shared" si="16"/>
        <v>0</v>
      </c>
      <c r="O6" s="2027">
        <f t="shared" si="16"/>
        <v>0</v>
      </c>
      <c r="P6" s="2027">
        <f>M6</f>
        <v>0</v>
      </c>
      <c r="Q6" s="2905"/>
      <c r="R6" s="2026">
        <f>ROUND(IF(项目基本情况!$B$8="出让",SUMPRODUCT(PRODUCT(1+K6:$K$19)),SUMPRODUCT(PRODUCT(1+K6:$K$18))),4)</f>
        <v>1.0811999999999999</v>
      </c>
      <c r="S6" s="2026">
        <f>ROUND(IF(项目基本情况!$B$8="出让",SUMPRODUCT(PRODUCT(1+L6:$L$19)),SUMPRODUCT(PRODUCT(1+L6:$L$18))),4)</f>
        <v>1.052</v>
      </c>
      <c r="T6" s="2026">
        <f>ROUND(IF(项目基本情况!$B$8="出让",SUMPRODUCT(PRODUCT(1+M6:$M$19)),SUMPRODUCT(PRODUCT(1+M6:$M$18))),4)</f>
        <v>1.0249999999999999</v>
      </c>
      <c r="U6" s="2026">
        <f>ROUND(IF(项目基本情况!$B$8="出让",SUMPRODUCT(PRODUCT(1+N6:$N$19)),SUMPRODUCT(PRODUCT(1+N6:$N$18))),4)</f>
        <v>1.0888</v>
      </c>
      <c r="V6" s="2026">
        <f>ROUND(IF(项目基本情况!$B$8="出让",SUMPRODUCT(PRODUCT(1+O6:$O$19)),SUMPRODUCT(PRODUCT(1+O6:$O$18))),4)</f>
        <v>1.0804</v>
      </c>
      <c r="W6" s="2026">
        <f>T6</f>
        <v>1.0249999999999999</v>
      </c>
      <c r="X6" s="2905"/>
      <c r="Y6" s="2027">
        <f>IF(D6=0,0,ROUND(AVERAGE(D6:D19)/100,4))</f>
        <v>0</v>
      </c>
      <c r="Z6" s="2027">
        <f t="shared" ref="Z6:AC6" si="17">IF(E6=0,0,ROUND(AVERAGE(E6:E19)/100,4))</f>
        <v>0</v>
      </c>
      <c r="AA6" s="2027">
        <f t="shared" si="17"/>
        <v>0</v>
      </c>
      <c r="AB6" s="2027">
        <f t="shared" si="17"/>
        <v>0</v>
      </c>
      <c r="AC6" s="2027">
        <f t="shared" si="17"/>
        <v>0</v>
      </c>
      <c r="AD6" s="2027">
        <f t="shared" ref="AD6:AD18" si="18">AA6</f>
        <v>0</v>
      </c>
    </row>
    <row r="7" spans="1:30" s="2915" customFormat="1" ht="13.2">
      <c r="A7" s="2906" t="s">
        <v>3376</v>
      </c>
      <c r="B7" s="2907">
        <v>2024</v>
      </c>
      <c r="C7" s="2908">
        <v>1</v>
      </c>
      <c r="D7" s="2909">
        <v>0.08</v>
      </c>
      <c r="E7" s="2909">
        <v>0.46</v>
      </c>
      <c r="F7" s="2909">
        <v>-0.16</v>
      </c>
      <c r="G7" s="2909">
        <v>0.26</v>
      </c>
      <c r="H7" s="2910">
        <v>0.59</v>
      </c>
      <c r="I7" s="2911">
        <v>0</v>
      </c>
      <c r="J7" s="2912"/>
      <c r="K7" s="2913">
        <f t="shared" ref="K7" si="19">D7/100</f>
        <v>8.0000000000000004E-4</v>
      </c>
      <c r="L7" s="2914">
        <f t="shared" ref="L7" si="20">E7/100</f>
        <v>4.5999999999999999E-3</v>
      </c>
      <c r="M7" s="2914">
        <f t="shared" ref="M7" si="21">F7/100</f>
        <v>-1.6000000000000001E-3</v>
      </c>
      <c r="N7" s="2914">
        <f t="shared" ref="N7" si="22">G7/100</f>
        <v>2.5999999999999999E-3</v>
      </c>
      <c r="O7" s="2914">
        <f t="shared" ref="O7" si="23">H7/100</f>
        <v>5.8999999999999999E-3</v>
      </c>
      <c r="P7" s="2914">
        <f t="shared" ref="P7" si="24">M7</f>
        <v>-1.6000000000000001E-3</v>
      </c>
      <c r="Q7" s="2912"/>
      <c r="R7" s="2912">
        <f>ROUND(IF(项目基本情况!$B$8="出让",SUMPRODUCT(PRODUCT(1+K7:$K$19)),SUMPRODUCT(PRODUCT(1+K7:$K$18))),4)</f>
        <v>1.0811999999999999</v>
      </c>
      <c r="S7" s="2912">
        <f>ROUND(IF(项目基本情况!$B$8="出让",SUMPRODUCT(PRODUCT(1+L7:$L$19)),SUMPRODUCT(PRODUCT(1+L7:$L$18))),4)</f>
        <v>1.052</v>
      </c>
      <c r="T7" s="2912">
        <f>ROUND(IF(项目基本情况!$B$8="出让",SUMPRODUCT(PRODUCT(1+M7:$M$19)),SUMPRODUCT(PRODUCT(1+M7:$M$18))),4)</f>
        <v>1.0249999999999999</v>
      </c>
      <c r="U7" s="2912">
        <f>ROUND(IF(项目基本情况!$B$8="出让",SUMPRODUCT(PRODUCT(1+N7:$N$19)),SUMPRODUCT(PRODUCT(1+N7:$N$18))),4)</f>
        <v>1.0888</v>
      </c>
      <c r="V7" s="2912">
        <f>ROUND(IF(项目基本情况!$B$8="出让",SUMPRODUCT(PRODUCT(1+O7:$O$19)),SUMPRODUCT(PRODUCT(1+O7:$O$18))),4)</f>
        <v>1.0804</v>
      </c>
      <c r="W7" s="2912">
        <f t="shared" ref="W7" si="25">T7</f>
        <v>1.0249999999999999</v>
      </c>
      <c r="X7" s="2912"/>
      <c r="Y7" s="2914"/>
      <c r="Z7" s="2914"/>
      <c r="AA7" s="2914"/>
      <c r="AB7" s="2914"/>
      <c r="AC7" s="2914"/>
      <c r="AD7" s="2914"/>
    </row>
    <row r="8" spans="1:30" s="2044" customFormat="1" ht="13.2">
      <c r="A8" s="2904" t="s">
        <v>3377</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3.2">
      <c r="A9" s="2904" t="s">
        <v>3375</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3.2">
      <c r="A10" s="2904" t="s">
        <v>3370</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3.2">
      <c r="A11" s="2904" t="s">
        <v>3369</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3.2">
      <c r="A12" s="2904" t="s">
        <v>3368</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3.2">
      <c r="A13" s="2904" t="s">
        <v>3364</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3.2">
      <c r="A14" s="2904" t="s">
        <v>3355</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3.2">
      <c r="A15" s="2904" t="s">
        <v>2820</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3.2">
      <c r="A16" s="2904" t="s">
        <v>2821</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3.2">
      <c r="A17" s="2904" t="s">
        <v>2822</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3.2">
      <c r="A18" s="2904" t="s">
        <v>2823</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ht="13.8" thickBot="1">
      <c r="A19" s="2917" t="s">
        <v>2824</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3366</v>
      </c>
    </row>
    <row r="22" spans="1:30">
      <c r="I22" s="1403" t="s">
        <v>2825</v>
      </c>
    </row>
    <row r="24" spans="1:30" s="2008" customFormat="1" ht="13.2">
      <c r="B24" s="2928" t="s">
        <v>3372</v>
      </c>
      <c r="C24" s="2929"/>
      <c r="D24" s="2929"/>
      <c r="E24" s="2929"/>
      <c r="F24" s="2929"/>
      <c r="G24" s="2929"/>
      <c r="H24" s="2929"/>
      <c r="I24" s="2929"/>
      <c r="J24" s="2895"/>
      <c r="K24" s="2929" t="s">
        <v>2826</v>
      </c>
      <c r="L24" s="2929"/>
      <c r="M24" s="2929"/>
      <c r="N24" s="2929"/>
      <c r="O24" s="2929"/>
      <c r="P24" s="2929"/>
      <c r="Q24" s="2895"/>
      <c r="R24" s="3554" t="s">
        <v>2827</v>
      </c>
      <c r="S24" s="3555"/>
      <c r="T24" s="3555"/>
      <c r="U24" s="3555"/>
      <c r="V24" s="3555"/>
      <c r="W24" s="3555"/>
      <c r="X24" s="2895"/>
      <c r="Y24" s="3554" t="s">
        <v>2828</v>
      </c>
      <c r="Z24" s="3555"/>
      <c r="AA24" s="3555"/>
      <c r="AB24" s="3555"/>
      <c r="AC24" s="3555"/>
      <c r="AD24" s="3555"/>
    </row>
    <row r="25" spans="1:30" s="2009" customFormat="1" ht="15" thickBot="1">
      <c r="B25" s="2880"/>
      <c r="C25" s="2881"/>
      <c r="D25" s="2010" t="s">
        <v>2829</v>
      </c>
      <c r="E25" s="2011" t="s">
        <v>2830</v>
      </c>
      <c r="F25" s="2011" t="s">
        <v>2831</v>
      </c>
      <c r="G25" s="2011" t="s">
        <v>2832</v>
      </c>
      <c r="H25" s="2011"/>
      <c r="I25" s="2011" t="s">
        <v>2833</v>
      </c>
      <c r="J25" s="2882"/>
      <c r="K25" s="2010" t="s">
        <v>2829</v>
      </c>
      <c r="L25" s="2011" t="s">
        <v>2830</v>
      </c>
      <c r="M25" s="2011" t="s">
        <v>2831</v>
      </c>
      <c r="N25" s="2011" t="s">
        <v>2832</v>
      </c>
      <c r="O25" s="2011"/>
      <c r="P25" s="2011" t="s">
        <v>2833</v>
      </c>
      <c r="Q25" s="2882"/>
      <c r="R25" s="2010" t="s">
        <v>2829</v>
      </c>
      <c r="S25" s="2011" t="s">
        <v>2830</v>
      </c>
      <c r="T25" s="2011" t="s">
        <v>2831</v>
      </c>
      <c r="U25" s="2011" t="s">
        <v>2832</v>
      </c>
      <c r="V25" s="2011"/>
      <c r="W25" s="2011" t="s">
        <v>2833</v>
      </c>
      <c r="X25" s="2882"/>
      <c r="Y25" s="2010" t="s">
        <v>2829</v>
      </c>
      <c r="Z25" s="2011" t="s">
        <v>2830</v>
      </c>
      <c r="AA25" s="2011" t="s">
        <v>2831</v>
      </c>
      <c r="AB25" s="2011" t="s">
        <v>2832</v>
      </c>
      <c r="AC25" s="2011"/>
      <c r="AD25" s="2011" t="s">
        <v>2833</v>
      </c>
    </row>
    <row r="26" spans="1:30" s="2885" customFormat="1" ht="13.2">
      <c r="A26" s="2883" t="s">
        <v>2834</v>
      </c>
      <c r="B26" s="2884"/>
      <c r="E26" s="2885">
        <f t="shared" ref="E26:G26" si="43">ROUND(AVERAGEIF(E27:E42,"&lt;&gt;0"),2)</f>
        <v>0.38</v>
      </c>
      <c r="F26" s="2885">
        <f t="shared" si="43"/>
        <v>0.28999999999999998</v>
      </c>
      <c r="G26" s="2885">
        <f t="shared" si="43"/>
        <v>0.56999999999999995</v>
      </c>
      <c r="I26" s="2885">
        <f>F26</f>
        <v>0.28999999999999998</v>
      </c>
      <c r="J26" s="2886"/>
      <c r="K26" s="2887"/>
      <c r="L26" s="2888">
        <f t="shared" ref="L26:N26" si="44">ROUND(AVERAGEIF(L27:L42,"&lt;&gt;0"),4)</f>
        <v>3.8E-3</v>
      </c>
      <c r="M26" s="2888">
        <f t="shared" si="44"/>
        <v>2.8999999999999998E-3</v>
      </c>
      <c r="N26" s="2888">
        <f t="shared" si="44"/>
        <v>5.7000000000000002E-3</v>
      </c>
      <c r="O26" s="2888"/>
      <c r="P26" s="2888">
        <f>M26</f>
        <v>2.8999999999999998E-3</v>
      </c>
      <c r="Q26" s="2886"/>
      <c r="R26" s="2889"/>
      <c r="S26" s="2890">
        <f>ROUND(SUMPRODUCT(PRODUCT(1+L27:L42)),4)</f>
        <v>1.0502</v>
      </c>
      <c r="T26" s="2890">
        <f t="shared" ref="T26:U26" si="45">ROUND(SUMPRODUCT(PRODUCT(1+M27:M42)),4)</f>
        <v>1.0387999999999999</v>
      </c>
      <c r="U26" s="2890">
        <f t="shared" si="45"/>
        <v>1.0763</v>
      </c>
      <c r="V26" s="2890"/>
      <c r="W26" s="2889">
        <f>T26</f>
        <v>1.0387999999999999</v>
      </c>
      <c r="X26" s="2886"/>
      <c r="Y26" s="2891"/>
      <c r="Z26" s="2892">
        <f t="shared" ref="Z26:AB26" si="46">ROUND(AVERAGEIF(Z27:Z42,"&lt;&gt;0"),4)</f>
        <v>4.3E-3</v>
      </c>
      <c r="AA26" s="2893">
        <f t="shared" si="46"/>
        <v>3.5999999999999999E-3</v>
      </c>
      <c r="AB26" s="2891">
        <f t="shared" si="46"/>
        <v>8.8999999999999999E-3</v>
      </c>
      <c r="AC26" s="2894"/>
      <c r="AD26" s="2891">
        <f>AA26</f>
        <v>3.5999999999999999E-3</v>
      </c>
    </row>
    <row r="27" spans="1:30" s="2008" customFormat="1" ht="13.2">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3.2">
      <c r="A28" s="2039" t="s">
        <v>3379</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1.0465</v>
      </c>
      <c r="T28" s="2026">
        <f>ROUND(IF(项目基本情况!$B$8="出让",SUMPRODUCT(PRODUCT(1+M28:M$42)),SUMPRODUCT(PRODUCT(1+M28:M$41))),4)</f>
        <v>1.0338000000000001</v>
      </c>
      <c r="U28" s="2026">
        <f>ROUND(IF(项目基本情况!$B$8="出让",SUMPRODUCT(PRODUCT(1+N28:N$42)),SUMPRODUCT(PRODUCT(1+N28:N$41))),4)</f>
        <v>1.0659000000000001</v>
      </c>
      <c r="V28" s="2026"/>
      <c r="W28" s="2026">
        <f>T28</f>
        <v>1.0338000000000001</v>
      </c>
      <c r="X28" s="2905"/>
      <c r="Y28" s="2027"/>
      <c r="Z28" s="2901">
        <f t="shared" ref="Z28:AB29" si="51">IF(E28=0,0,ROUND(AVERAGE(E28:E41)/100,4))</f>
        <v>0</v>
      </c>
      <c r="AA28" s="2901">
        <f t="shared" si="51"/>
        <v>0</v>
      </c>
      <c r="AB28" s="2901">
        <f t="shared" si="51"/>
        <v>0</v>
      </c>
      <c r="AC28" s="2903"/>
      <c r="AD28" s="2027">
        <f>IF(I28=0,0,ROUND(AVERAGE(I28:I41)/100,4))</f>
        <v>0</v>
      </c>
    </row>
    <row r="29" spans="1:30" s="2044" customFormat="1" ht="13.2">
      <c r="A29" s="2039" t="s">
        <v>3374</v>
      </c>
      <c r="B29" s="2030">
        <v>2024</v>
      </c>
      <c r="C29" s="2041">
        <v>2</v>
      </c>
      <c r="D29" s="2006"/>
      <c r="E29" s="2006">
        <v>0</v>
      </c>
      <c r="F29" s="2006">
        <v>0</v>
      </c>
      <c r="G29" s="2006">
        <v>0</v>
      </c>
      <c r="H29" s="2006"/>
      <c r="I29" s="2007">
        <f t="shared" ref="I29:I42" si="52">F29</f>
        <v>0</v>
      </c>
      <c r="J29" s="2905"/>
      <c r="K29" s="2042"/>
      <c r="L29" s="2027">
        <f t="shared" ref="L29:N42" si="53">E29/100</f>
        <v>0</v>
      </c>
      <c r="M29" s="2027">
        <f t="shared" si="53"/>
        <v>0</v>
      </c>
      <c r="N29" s="2027">
        <f t="shared" si="53"/>
        <v>0</v>
      </c>
      <c r="O29" s="2027"/>
      <c r="P29" s="2027">
        <f>M29</f>
        <v>0</v>
      </c>
      <c r="Q29" s="2905"/>
      <c r="R29" s="2026"/>
      <c r="S29" s="2026">
        <f>ROUND(IF(项目基本情况!$B$8="出让",SUMPRODUCT(PRODUCT(1+L29:L$42)),SUMPRODUCT(PRODUCT(1+L29:L$41))),4)</f>
        <v>1.0465</v>
      </c>
      <c r="T29" s="2026">
        <f>ROUND(IF(项目基本情况!$B$8="出让",SUMPRODUCT(PRODUCT(1+M29:M$42)),SUMPRODUCT(PRODUCT(1+M29:M$41))),4)</f>
        <v>1.0338000000000001</v>
      </c>
      <c r="U29" s="2026">
        <f>ROUND(IF(项目基本情况!$B$8="出让",SUMPRODUCT(PRODUCT(1+N29:N$42)),SUMPRODUCT(PRODUCT(1+N29:N$41))),4)</f>
        <v>1.0659000000000001</v>
      </c>
      <c r="V29" s="2026"/>
      <c r="W29" s="2026">
        <f>T29</f>
        <v>1.0338000000000001</v>
      </c>
      <c r="X29" s="2905"/>
      <c r="Y29" s="2027"/>
      <c r="Z29" s="2901">
        <f t="shared" si="51"/>
        <v>0</v>
      </c>
      <c r="AA29" s="2901">
        <f t="shared" si="51"/>
        <v>0</v>
      </c>
      <c r="AB29" s="2901">
        <f t="shared" si="51"/>
        <v>0</v>
      </c>
      <c r="AC29" s="2903"/>
      <c r="AD29" s="2027">
        <f>IF(I29=0,0,ROUND(AVERAGE(I29:I42)/100,4))</f>
        <v>0</v>
      </c>
    </row>
    <row r="30" spans="1:30" s="2915" customFormat="1" ht="13.2">
      <c r="A30" s="2906" t="s">
        <v>3376</v>
      </c>
      <c r="B30" s="2907">
        <v>2024</v>
      </c>
      <c r="C30" s="2908">
        <v>1</v>
      </c>
      <c r="D30" s="2909"/>
      <c r="E30" s="2909">
        <v>0.25</v>
      </c>
      <c r="F30" s="2909">
        <v>0.4</v>
      </c>
      <c r="G30" s="2909">
        <v>-0.63</v>
      </c>
      <c r="H30" s="2910"/>
      <c r="I30" s="2911">
        <f t="shared" ref="I30:I31" si="54">F30</f>
        <v>0.4</v>
      </c>
      <c r="J30" s="2912"/>
      <c r="K30" s="2913"/>
      <c r="L30" s="2914">
        <f t="shared" ref="L30" si="55">E30/100</f>
        <v>2.5000000000000001E-3</v>
      </c>
      <c r="M30" s="2914">
        <f t="shared" ref="M30" si="56">F30/100</f>
        <v>4.0000000000000001E-3</v>
      </c>
      <c r="N30" s="2914">
        <f t="shared" ref="N30" si="57">G30/100</f>
        <v>-6.3E-3</v>
      </c>
      <c r="O30" s="2914"/>
      <c r="P30" s="2914">
        <f t="shared" ref="P30" si="58">M30</f>
        <v>4.0000000000000001E-3</v>
      </c>
      <c r="Q30" s="2912"/>
      <c r="R30" s="2912"/>
      <c r="S30" s="2912">
        <f>ROUND(IF(项目基本情况!$B$8="出让",SUMPRODUCT(PRODUCT(1+L30:L$42)),SUMPRODUCT(PRODUCT(1+L30:L$41))),4)</f>
        <v>1.0465</v>
      </c>
      <c r="T30" s="2912">
        <f>ROUND(IF(项目基本情况!$B$8="出让",SUMPRODUCT(PRODUCT(1+M30:M$42)),SUMPRODUCT(PRODUCT(1+M30:M$41))),4)</f>
        <v>1.0338000000000001</v>
      </c>
      <c r="U30" s="2912">
        <f>ROUND(IF(项目基本情况!$B$8="出让",SUMPRODUCT(PRODUCT(1+N30:N$42)),SUMPRODUCT(PRODUCT(1+N30:N$41))),4)</f>
        <v>1.0659000000000001</v>
      </c>
      <c r="V30" s="2912"/>
      <c r="W30" s="2912">
        <f t="shared" ref="W30" si="59">T30</f>
        <v>1.0338000000000001</v>
      </c>
      <c r="X30" s="2912"/>
      <c r="Y30" s="2914"/>
      <c r="Z30" s="2930"/>
      <c r="AA30" s="2931"/>
      <c r="AB30" s="2914"/>
      <c r="AC30" s="2932"/>
      <c r="AD30" s="2914"/>
    </row>
    <row r="31" spans="1:30" s="2044" customFormat="1" ht="13.2">
      <c r="A31" s="2904" t="s">
        <v>3378</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3.2">
      <c r="A32" s="2904" t="s">
        <v>3375</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3.2">
      <c r="A33" s="2904" t="s">
        <v>3373</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3.2">
      <c r="A34" s="2904" t="s">
        <v>3369</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3.2">
      <c r="A35" s="2904" t="s">
        <v>3368</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3.2">
      <c r="A36" s="2904" t="s">
        <v>3365</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3.2">
      <c r="A37" s="2904" t="s">
        <v>3355</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3.2">
      <c r="A38" s="2904" t="s">
        <v>2835</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3.2">
      <c r="A39" s="2904" t="s">
        <v>2836</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3.2">
      <c r="A40" s="2904" t="s">
        <v>2837</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3.2">
      <c r="A41" s="2904" t="s">
        <v>2838</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ht="13.8" thickBot="1">
      <c r="A42" s="2917" t="s">
        <v>2824</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3367</v>
      </c>
    </row>
  </sheetData>
  <sheetProtection password="CEE9" sheet="1" objects="1" scenarios="1"/>
  <mergeCells count="4">
    <mergeCell ref="R24:W24"/>
    <mergeCell ref="Y24:AD24"/>
    <mergeCell ref="R1:W1"/>
    <mergeCell ref="Y1:AD1"/>
  </mergeCells>
  <phoneticPr fontId="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59" t="s">
        <v>452</v>
      </c>
      <c r="C1" s="3559"/>
      <c r="D1" s="3559"/>
      <c r="E1" s="3559"/>
      <c r="F1" s="3559"/>
      <c r="G1" s="3555" t="s">
        <v>453</v>
      </c>
      <c r="H1" s="3555"/>
      <c r="I1" s="3555"/>
      <c r="J1" s="3555"/>
      <c r="K1" s="3555"/>
      <c r="L1" s="3555"/>
      <c r="N1" s="3555" t="s">
        <v>454</v>
      </c>
      <c r="O1" s="3555"/>
      <c r="P1" s="3555"/>
      <c r="Q1" s="3555"/>
      <c r="S1" s="3555" t="s">
        <v>455</v>
      </c>
      <c r="T1" s="3555"/>
      <c r="U1" s="3555"/>
      <c r="V1" s="3555"/>
      <c r="X1" s="3554" t="s">
        <v>456</v>
      </c>
      <c r="Y1" s="3555"/>
      <c r="Z1" s="3555"/>
      <c r="AA1" s="3555"/>
      <c r="AB1" s="3555"/>
      <c r="AD1" s="3554" t="s">
        <v>457</v>
      </c>
      <c r="AE1" s="3555"/>
      <c r="AF1" s="3555"/>
      <c r="AG1" s="3555"/>
      <c r="AH1" s="355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5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5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5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6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56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5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5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6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6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5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5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5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5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5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5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5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5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5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5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5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6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6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6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6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5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5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5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5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5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5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5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5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5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5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5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5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5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5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5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5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5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5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5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5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5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5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5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5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5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5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5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5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5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5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5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5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5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5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5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5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5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5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5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5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5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5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5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5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4"/>
  <sheetViews>
    <sheetView workbookViewId="0">
      <selection activeCell="H18" sqref="H18"/>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45470</v>
      </c>
      <c r="D1" s="1215" t="s">
        <v>603</v>
      </c>
      <c r="E1" s="1210">
        <f>'数据-取费表'!B22</f>
        <v>1.5</v>
      </c>
      <c r="F1" s="1215" t="s">
        <v>604</v>
      </c>
      <c r="G1" s="1211">
        <f ca="1">INDIRECT("d"&amp;$K$1)/100</f>
        <v>3.4500000000000003E-2</v>
      </c>
      <c r="H1" s="1215" t="s">
        <v>634</v>
      </c>
      <c r="I1" s="1211">
        <f ca="1">F4/100</f>
        <v>1.4999999999999999E-2</v>
      </c>
      <c r="J1" s="1216">
        <f>IF(C1&gt;C13,0,MATCH(C1,C$13:C$111,-1))+IF(SUMIF(C13:C111,C1,D13:D111)=0,13,12)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4">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203"/>
      <c r="C18" s="1204">
        <v>44550</v>
      </c>
      <c r="D18" s="1203">
        <v>3.8</v>
      </c>
      <c r="E18" s="1203">
        <f>D18</f>
        <v>3.8</v>
      </c>
      <c r="F18" s="1203">
        <f>D18</f>
        <v>3.8</v>
      </c>
      <c r="G18" s="1203">
        <f>D18</f>
        <v>3.8</v>
      </c>
      <c r="H18" s="1203">
        <v>4.6500000000000004</v>
      </c>
      <c r="I18" s="1203"/>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5"/>
      <c r="B23" s="1198" t="s">
        <v>2309</v>
      </c>
      <c r="C23" s="1205">
        <v>43697</v>
      </c>
      <c r="D23" s="2573">
        <v>4.25</v>
      </c>
      <c r="E23" s="2573">
        <v>4.25</v>
      </c>
      <c r="F23" s="2573">
        <v>4.25</v>
      </c>
      <c r="G23" s="2573">
        <v>4.25</v>
      </c>
      <c r="H23" s="2573">
        <v>4.8499999999999996</v>
      </c>
      <c r="I23" s="2573"/>
      <c r="J23" s="257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5.6">
      <c r="B24" s="2576"/>
      <c r="C24" s="2577">
        <v>42301</v>
      </c>
      <c r="D24" s="2578">
        <v>4.3499999999999996</v>
      </c>
      <c r="E24" s="2578">
        <v>4.3499999999999996</v>
      </c>
      <c r="F24" s="2578">
        <v>4.75</v>
      </c>
      <c r="G24" s="2578">
        <v>4.75</v>
      </c>
      <c r="H24" s="2578">
        <v>4.9000000000000004</v>
      </c>
      <c r="I24" s="2578"/>
      <c r="J24" s="2578"/>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K4:L98"/>
  <sheetViews>
    <sheetView topLeftCell="A28" workbookViewId="0">
      <selection activeCell="K60" sqref="K60"/>
    </sheetView>
  </sheetViews>
  <sheetFormatPr defaultRowHeight="14.4"/>
  <sheetData>
    <row r="4" spans="11:11">
      <c r="K4" s="1403" t="s">
        <v>3848</v>
      </c>
    </row>
    <row r="23" spans="11:11">
      <c r="K23" s="1403" t="s">
        <v>3852</v>
      </c>
    </row>
    <row r="41" spans="11:11">
      <c r="K41" s="1403" t="s">
        <v>3851</v>
      </c>
    </row>
    <row r="60" spans="11:11">
      <c r="K60" s="1403" t="s">
        <v>3853</v>
      </c>
    </row>
    <row r="79" spans="12:12">
      <c r="L79" s="1403" t="s">
        <v>3855</v>
      </c>
    </row>
    <row r="98" spans="11:11">
      <c r="K98" s="1403" t="s">
        <v>3856</v>
      </c>
    </row>
  </sheetData>
  <phoneticPr fontId="136"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topLeftCell="B7" workbookViewId="0">
      <selection activeCell="A22" sqref="A22"/>
    </sheetView>
  </sheetViews>
  <sheetFormatPr defaultRowHeight="14.4"/>
  <sheetData/>
  <phoneticPr fontId="13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3" t="s">
        <v>949</v>
      </c>
      <c r="B1" s="3233"/>
      <c r="C1" s="3233"/>
      <c r="D1" s="3233"/>
    </row>
    <row r="2" spans="1:4" ht="17.399999999999999">
      <c r="A2" s="3234" t="s">
        <v>933</v>
      </c>
      <c r="B2" s="3234"/>
      <c r="C2" s="3234"/>
      <c r="D2" s="3234"/>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崔锴</v>
      </c>
      <c r="B5" s="1407">
        <f ca="1">项目基本情况!E4</f>
        <v>0</v>
      </c>
      <c r="C5" s="1410"/>
      <c r="D5" s="1409" t="s">
        <v>938</v>
      </c>
    </row>
    <row r="6" spans="1:4" ht="17.399999999999999">
      <c r="A6" s="3234" t="s">
        <v>939</v>
      </c>
      <c r="B6" s="3234"/>
      <c r="C6" s="3234"/>
      <c r="D6" s="3234"/>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35" t="s">
        <v>942</v>
      </c>
      <c r="B11" s="3236"/>
      <c r="C11" s="3236"/>
      <c r="D11" s="3236"/>
    </row>
    <row r="12" spans="1:4" ht="15.6">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9" t="s">
        <v>943</v>
      </c>
      <c r="B16" s="3239"/>
      <c r="C16" s="3239"/>
      <c r="D16" s="3239"/>
    </row>
    <row r="17" spans="1:4" ht="144" customHeight="1">
      <c r="A17" s="3239" t="s">
        <v>944</v>
      </c>
      <c r="B17" s="3239"/>
      <c r="C17" s="3239"/>
      <c r="D17" s="3239"/>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0"/>
      <c r="C21" s="3240"/>
      <c r="D21" s="3240"/>
    </row>
    <row r="22" spans="1:4" ht="18.75" customHeight="1">
      <c r="A22" s="3241" t="s">
        <v>945</v>
      </c>
      <c r="B22" s="3241"/>
      <c r="C22" s="3241"/>
      <c r="D22" s="3241"/>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38">
        <v>42551</v>
      </c>
      <c r="D31" s="32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47" t="s">
        <v>956</v>
      </c>
      <c r="B15" s="3242" t="s">
        <v>109</v>
      </c>
      <c r="C15" s="3243"/>
    </row>
    <row r="16" spans="1:7" ht="14.4">
      <c r="A16" s="3248"/>
      <c r="B16" s="3242" t="s">
        <v>42</v>
      </c>
      <c r="C16" s="3243"/>
    </row>
    <row r="17" spans="1:3" ht="14.4">
      <c r="A17" s="3248"/>
      <c r="B17" s="3245" t="s">
        <v>957</v>
      </c>
      <c r="C17" s="1427" t="s">
        <v>956</v>
      </c>
    </row>
    <row r="18" spans="1:3" ht="14.4">
      <c r="A18" s="3248"/>
      <c r="B18" s="3245"/>
      <c r="C18" s="1427" t="s">
        <v>958</v>
      </c>
    </row>
    <row r="19" spans="1:3" ht="14.4">
      <c r="A19" s="3248"/>
      <c r="B19" s="3245"/>
      <c r="C19" s="1427" t="s">
        <v>959</v>
      </c>
    </row>
    <row r="20" spans="1:3" ht="14.4">
      <c r="A20" s="3249"/>
      <c r="B20" s="3244" t="s">
        <v>960</v>
      </c>
      <c r="C20" s="3243"/>
    </row>
    <row r="21" spans="1:3" ht="14.4">
      <c r="A21" s="1428" t="s">
        <v>961</v>
      </c>
      <c r="B21" s="1429"/>
      <c r="C21" s="1430"/>
    </row>
    <row r="22" spans="1:3" ht="14.4">
      <c r="A22" s="3246" t="s">
        <v>962</v>
      </c>
      <c r="B22" s="3244" t="s">
        <v>963</v>
      </c>
      <c r="C22" s="3243"/>
    </row>
    <row r="23" spans="1:3" ht="14.4">
      <c r="A23" s="3246"/>
      <c r="B23" s="3244" t="s">
        <v>964</v>
      </c>
      <c r="C23" s="3243"/>
    </row>
    <row r="24" spans="1:3" ht="14.4">
      <c r="A24" s="3246"/>
      <c r="B24" s="3244" t="s">
        <v>965</v>
      </c>
      <c r="C24" s="3243"/>
    </row>
    <row r="25" spans="1:3" ht="14.4">
      <c r="A25" s="3246"/>
      <c r="B25" s="3245" t="s">
        <v>966</v>
      </c>
      <c r="C25" s="1427" t="s">
        <v>967</v>
      </c>
    </row>
    <row r="26" spans="1:3" ht="14.4">
      <c r="A26" s="3246"/>
      <c r="B26" s="3245"/>
      <c r="C26" s="1427" t="s">
        <v>968</v>
      </c>
    </row>
    <row r="27" spans="1:3" ht="14.4">
      <c r="A27" s="3246"/>
      <c r="B27" s="3245"/>
      <c r="C27" s="1427" t="s">
        <v>969</v>
      </c>
    </row>
    <row r="28" spans="1:3" ht="14.4">
      <c r="A28" s="3246"/>
      <c r="B28" s="3245"/>
      <c r="C28" s="1427" t="s">
        <v>970</v>
      </c>
    </row>
    <row r="29" spans="1:3" ht="14.4">
      <c r="A29" s="3246"/>
      <c r="B29" s="3245"/>
      <c r="C29" s="1427" t="s">
        <v>971</v>
      </c>
    </row>
    <row r="30" spans="1:3" ht="14.4">
      <c r="A30" s="3246"/>
      <c r="B30" s="3245"/>
      <c r="C30" s="1427" t="s">
        <v>972</v>
      </c>
    </row>
    <row r="31" spans="1:3" ht="14.4">
      <c r="A31" s="3246"/>
      <c r="B31" s="3245"/>
      <c r="C31" s="1427" t="s">
        <v>973</v>
      </c>
    </row>
    <row r="32" spans="1:3" ht="14.4">
      <c r="A32" s="3246"/>
      <c r="B32" s="3245"/>
      <c r="C32" s="1427" t="s">
        <v>974</v>
      </c>
    </row>
    <row r="33" spans="1:3" ht="14.4">
      <c r="A33" s="3246"/>
      <c r="B33" s="3245"/>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2135</v>
      </c>
      <c r="B2" s="2156">
        <f ca="1">TODAY()</f>
        <v>45832</v>
      </c>
      <c r="C2" s="2157" t="s">
        <v>2136</v>
      </c>
      <c r="D2" s="2157"/>
      <c r="E2" s="2157"/>
      <c r="F2" s="2153"/>
      <c r="G2" s="2153"/>
      <c r="H2" s="2153"/>
    </row>
    <row r="3" spans="1:8" ht="24" customHeight="1">
      <c r="A3" s="2158" t="s">
        <v>2137</v>
      </c>
      <c r="B3" s="1217" t="s">
        <v>2138</v>
      </c>
      <c r="C3" s="1217" t="s">
        <v>2139</v>
      </c>
      <c r="D3" s="2159" t="s">
        <v>2140</v>
      </c>
      <c r="E3" s="2160" t="s">
        <v>2141</v>
      </c>
      <c r="F3" s="1217" t="s">
        <v>2142</v>
      </c>
      <c r="G3" s="1217" t="s">
        <v>2139</v>
      </c>
      <c r="H3" s="2159" t="s">
        <v>2143</v>
      </c>
    </row>
    <row r="4" spans="1:8" ht="24" customHeight="1">
      <c r="A4" s="1217" t="s">
        <v>2144</v>
      </c>
      <c r="B4" s="1217">
        <f ca="1">IF(C4&lt;B2,"已过期",1119970066)</f>
        <v>1119970066</v>
      </c>
      <c r="C4" s="2161">
        <v>45937</v>
      </c>
      <c r="D4" s="2162" t="str">
        <f ca="1">A4&amp;"（注册号："&amp;B4&amp;"）"</f>
        <v>梁津（注册号：1119970066）</v>
      </c>
      <c r="E4" s="2163" t="s">
        <v>2144</v>
      </c>
      <c r="F4" s="1217">
        <f ca="1">IF(G4&lt;B2,"已过期",96010014)</f>
        <v>96010014</v>
      </c>
      <c r="G4" s="2164">
        <v>47118</v>
      </c>
      <c r="H4" s="2165" t="str">
        <f ca="1">E4&amp;"（注册号："&amp;F4&amp;"）"</f>
        <v>梁津（注册号：96010014）</v>
      </c>
    </row>
    <row r="5" spans="1:8" ht="24" customHeight="1">
      <c r="A5" s="1217" t="s">
        <v>2145</v>
      </c>
      <c r="B5" s="1217">
        <f ca="1">IF(C5&lt;B2,"已过期",1119970111)</f>
        <v>1119970111</v>
      </c>
      <c r="C5" s="2161">
        <v>45937</v>
      </c>
      <c r="D5" s="2162" t="str">
        <f t="shared" ref="D5:D15" ca="1" si="0">A5&amp;"（注册号："&amp;B5&amp;"）"</f>
        <v>叶凌（注册号：1119970111）</v>
      </c>
      <c r="E5" s="2163" t="s">
        <v>2145</v>
      </c>
      <c r="F5" s="1217">
        <f ca="1">IF(G5&lt;B2,"已过期",94010078)</f>
        <v>94010078</v>
      </c>
      <c r="G5" s="2164">
        <v>46387</v>
      </c>
      <c r="H5" s="2165" t="str">
        <f t="shared" ref="H5:H16" ca="1" si="1">E5&amp;"（注册号："&amp;F5&amp;"）"</f>
        <v>叶凌（注册号：94010078）</v>
      </c>
    </row>
    <row r="6" spans="1:8" ht="24" customHeight="1">
      <c r="A6" s="1217" t="s">
        <v>2146</v>
      </c>
      <c r="B6" s="1217" t="str">
        <f ca="1">IF(C6&lt;B2,"已过期",1120050019)</f>
        <v>已过期</v>
      </c>
      <c r="C6" s="2161">
        <v>45410</v>
      </c>
      <c r="D6" s="2162" t="str">
        <f t="shared" ca="1" si="0"/>
        <v>王鹏（注册号：已过期）</v>
      </c>
      <c r="E6" s="2163" t="s">
        <v>2146</v>
      </c>
      <c r="F6" s="1217">
        <f ca="1">IF(G6&lt;B2,"已过期",2002110030)</f>
        <v>2002110030</v>
      </c>
      <c r="G6" s="2164">
        <v>46387</v>
      </c>
      <c r="H6" s="2165" t="str">
        <f t="shared" ca="1" si="1"/>
        <v>王鹏（注册号：2002110030）</v>
      </c>
    </row>
    <row r="7" spans="1:8" ht="24" customHeight="1">
      <c r="A7" s="1217" t="s">
        <v>2147</v>
      </c>
      <c r="B7" s="1217">
        <f ca="1">IF(C7&lt;B2,"已过期",1120000080)</f>
        <v>1120000080</v>
      </c>
      <c r="C7" s="2161">
        <v>45937</v>
      </c>
      <c r="D7" s="2162" t="str">
        <f t="shared" ca="1" si="0"/>
        <v>欧红伟（注册号：1120000080）</v>
      </c>
      <c r="E7" s="2163" t="s">
        <v>2147</v>
      </c>
      <c r="F7" s="1217">
        <f ca="1">IF(G7&lt;B2,"已过期",2000110082)</f>
        <v>2000110082</v>
      </c>
      <c r="G7" s="2164">
        <v>46387</v>
      </c>
      <c r="H7" s="2165" t="str">
        <f t="shared" ca="1" si="1"/>
        <v>欧红伟（注册号：2000110082）</v>
      </c>
    </row>
    <row r="8" spans="1:8" ht="24" customHeight="1">
      <c r="A8" s="1217" t="s">
        <v>2148</v>
      </c>
      <c r="B8" s="1217">
        <f ca="1">IF(C8&lt;B2,"已过期",1419970001)</f>
        <v>1419970001</v>
      </c>
      <c r="C8" s="2161">
        <v>45937</v>
      </c>
      <c r="D8" s="2162" t="str">
        <f t="shared" ca="1" si="0"/>
        <v>吴薇（注册号：1419970001）</v>
      </c>
      <c r="E8" s="2163" t="s">
        <v>2148</v>
      </c>
      <c r="F8" s="1217">
        <f ca="1">IF(G8&lt;B2,"已过期",2002110125)</f>
        <v>2002110125</v>
      </c>
      <c r="G8" s="2164">
        <v>47118</v>
      </c>
      <c r="H8" s="2165" t="str">
        <f t="shared" ca="1" si="1"/>
        <v>吴薇（注册号：2002110125）</v>
      </c>
    </row>
    <row r="9" spans="1:8" ht="24" customHeight="1">
      <c r="A9" s="1217" t="s">
        <v>2149</v>
      </c>
      <c r="B9" s="1217" t="str">
        <f ca="1">IF(C9&lt;B2,"已过期",1120060040)</f>
        <v>已过期</v>
      </c>
      <c r="C9" s="2166">
        <v>45592</v>
      </c>
      <c r="D9" s="2162" t="str">
        <f t="shared" ca="1" si="0"/>
        <v>陈颖（注册号：已过期）</v>
      </c>
      <c r="E9" s="2163" t="s">
        <v>2149</v>
      </c>
      <c r="F9" s="1217">
        <f ca="1">IF(G9&lt;B2,"已过期",2004110096)</f>
        <v>2004110096</v>
      </c>
      <c r="G9" s="2164">
        <v>47118</v>
      </c>
      <c r="H9" s="2165" t="str">
        <f t="shared" ca="1" si="1"/>
        <v>陈颖（注册号：2004110096）</v>
      </c>
    </row>
    <row r="10" spans="1:8" ht="24" customHeight="1">
      <c r="A10" s="1217" t="s">
        <v>2150</v>
      </c>
      <c r="B10" s="1217" t="str">
        <f ca="1">IF(C10&lt;B2,"已过期",1120100036)</f>
        <v>已过期</v>
      </c>
      <c r="C10" s="2166">
        <v>45752</v>
      </c>
      <c r="D10" s="2162" t="str">
        <f t="shared" ca="1" si="0"/>
        <v>崔锴（注册号：已过期）</v>
      </c>
      <c r="E10" s="2163" t="s">
        <v>2150</v>
      </c>
      <c r="F10" s="1217">
        <f ca="1">IF(G10&lt;B2,"已过期",2010110070)</f>
        <v>2010110070</v>
      </c>
      <c r="G10" s="2164">
        <v>47907</v>
      </c>
      <c r="H10" s="2165" t="str">
        <f t="shared" ca="1" si="1"/>
        <v>崔锴（注册号：2010110070）</v>
      </c>
    </row>
    <row r="11" spans="1:8" ht="24" customHeight="1">
      <c r="A11" s="1217" t="s">
        <v>2151</v>
      </c>
      <c r="B11" s="1217">
        <f ca="1">IF(C11&lt;B2,"已过期",1120070131)</f>
        <v>1120070131</v>
      </c>
      <c r="C11" s="2161">
        <v>45937</v>
      </c>
      <c r="D11" s="2162" t="str">
        <f t="shared" ca="1" si="0"/>
        <v>郑燚（注册号：1120070131）</v>
      </c>
      <c r="E11" s="2163" t="s">
        <v>2151</v>
      </c>
      <c r="F11" s="1217">
        <f ca="1">IF(G11&lt;B2,"已过期",2014110011)</f>
        <v>2014110011</v>
      </c>
      <c r="G11" s="2164">
        <v>49302</v>
      </c>
      <c r="H11" s="2165" t="str">
        <f t="shared" ca="1" si="1"/>
        <v>郑燚（注册号：2014110011）</v>
      </c>
    </row>
    <row r="12" spans="1:8" ht="24" customHeight="1">
      <c r="A12" s="1217" t="s">
        <v>2152</v>
      </c>
      <c r="B12" s="1217">
        <f ca="1">IF(C12&lt;B2,"已过期",1120040230)</f>
        <v>1120040230</v>
      </c>
      <c r="C12" s="2166">
        <v>45937</v>
      </c>
      <c r="D12" s="2162" t="str">
        <f t="shared" ca="1" si="0"/>
        <v>苏海（注册号：1120040230）</v>
      </c>
      <c r="E12" s="2163" t="s">
        <v>2152</v>
      </c>
      <c r="F12" s="1217">
        <f ca="1">IF(G12&lt;B2,"已过期",98030020)</f>
        <v>98030020</v>
      </c>
      <c r="G12" s="2164">
        <v>47118</v>
      </c>
      <c r="H12" s="2165" t="str">
        <f t="shared" ca="1" si="1"/>
        <v>苏海（注册号：98030020）</v>
      </c>
    </row>
    <row r="13" spans="1:8" ht="24" customHeight="1">
      <c r="A13" s="1217" t="s">
        <v>2153</v>
      </c>
      <c r="B13" s="1217" t="str">
        <f ca="1">IF(C13&lt;B2,"已过期",1120020033)</f>
        <v>已过期</v>
      </c>
      <c r="C13" s="2161">
        <v>45375</v>
      </c>
      <c r="D13" s="2162" t="str">
        <f t="shared" ca="1" si="0"/>
        <v>刘敬东（注册号：已过期）</v>
      </c>
      <c r="E13" s="2163" t="s">
        <v>2153</v>
      </c>
      <c r="F13" s="1217">
        <f ca="1">IF(G13&lt;B2,"已过期",2000110137)</f>
        <v>2000110137</v>
      </c>
      <c r="G13" s="2164">
        <v>46387</v>
      </c>
      <c r="H13" s="2165" t="str">
        <f t="shared" ca="1" si="1"/>
        <v>刘敬东（注册号：2000110137）</v>
      </c>
    </row>
    <row r="14" spans="1:8" ht="24" customHeight="1">
      <c r="A14" s="1217" t="s">
        <v>2154</v>
      </c>
      <c r="B14" s="1217" t="str">
        <f ca="1">IF(C14&lt;B2,"已过期",1119980106)</f>
        <v>已过期</v>
      </c>
      <c r="C14" s="2166">
        <v>44969</v>
      </c>
      <c r="D14" s="2162" t="str">
        <f t="shared" ca="1" si="0"/>
        <v>刘俊财（注册号：已过期）</v>
      </c>
      <c r="E14" s="2163" t="s">
        <v>2154</v>
      </c>
      <c r="F14" s="1217">
        <f ca="1">IF(G14&lt;B2,"已过期",96010063)</f>
        <v>96010063</v>
      </c>
      <c r="G14" s="2164">
        <v>47483</v>
      </c>
      <c r="H14" s="2165" t="str">
        <f t="shared" ca="1" si="1"/>
        <v>刘俊财（注册号：96010063）</v>
      </c>
    </row>
    <row r="15" spans="1:8" ht="24" customHeight="1">
      <c r="A15" s="1217" t="s">
        <v>2437</v>
      </c>
      <c r="B15" s="1217">
        <v>1120210056</v>
      </c>
      <c r="C15" s="2166">
        <v>45410</v>
      </c>
      <c r="D15" s="2162" t="str">
        <f t="shared" si="0"/>
        <v>宁小鳗（注册号：1120210056）</v>
      </c>
      <c r="E15" s="2163" t="s">
        <v>2155</v>
      </c>
      <c r="F15" s="1217">
        <f ca="1">IF(G15&lt;B2,"已过期",2011110090)</f>
        <v>2011110090</v>
      </c>
      <c r="G15" s="2164">
        <v>48302</v>
      </c>
      <c r="H15" s="2165" t="str">
        <f t="shared" ca="1" si="1"/>
        <v>赵雯（注册号：2011110090）</v>
      </c>
    </row>
    <row r="16" spans="1:8" ht="24" customHeight="1">
      <c r="A16" s="1217"/>
      <c r="B16" s="1217"/>
      <c r="C16" s="1217"/>
      <c r="D16" s="2162" t="str">
        <f>A16&amp;"（注册号："&amp;B16&amp;"）"</f>
        <v>（注册号：）</v>
      </c>
      <c r="E16" s="2163"/>
      <c r="F16" s="1217"/>
      <c r="G16" s="1217"/>
      <c r="H16" s="2167" t="str">
        <f t="shared" si="1"/>
        <v>（注册号：）</v>
      </c>
    </row>
    <row r="17" spans="1:8" ht="24" customHeight="1">
      <c r="A17" s="3250" t="s">
        <v>2156</v>
      </c>
      <c r="B17" s="3250"/>
      <c r="C17" s="3250"/>
      <c r="D17" s="3250"/>
      <c r="E17" s="3250"/>
      <c r="F17" s="3250"/>
      <c r="G17" s="3250"/>
      <c r="H17" s="3250"/>
    </row>
    <row r="18" spans="1:8" ht="24" customHeight="1">
      <c r="A18" s="3251" t="s">
        <v>2157</v>
      </c>
      <c r="B18" s="3251"/>
      <c r="C18" s="3251"/>
      <c r="D18" s="2159"/>
      <c r="E18" s="3252" t="s">
        <v>2158</v>
      </c>
      <c r="F18" s="3251"/>
      <c r="G18" s="3251"/>
    </row>
    <row r="19" spans="1:8" s="2169" customFormat="1" ht="24" customHeight="1">
      <c r="A19" s="2168" t="s">
        <v>2159</v>
      </c>
      <c r="B19" s="1217" t="s">
        <v>2160</v>
      </c>
      <c r="C19" s="1217" t="s">
        <v>2139</v>
      </c>
      <c r="D19" s="2159"/>
      <c r="E19" s="2163" t="s">
        <v>2159</v>
      </c>
      <c r="F19" s="1217" t="s">
        <v>2160</v>
      </c>
      <c r="G19" s="1217" t="s">
        <v>2139</v>
      </c>
    </row>
    <row r="20" spans="1:8" s="2169" customFormat="1" ht="24" customHeight="1">
      <c r="A20" s="2170" t="s">
        <v>2161</v>
      </c>
      <c r="B20" s="2170" t="s">
        <v>2162</v>
      </c>
      <c r="C20" s="2164">
        <v>45898</v>
      </c>
      <c r="D20" s="2171"/>
      <c r="E20" s="2172" t="s">
        <v>2163</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4" type="noConversion"/>
  <conditionalFormatting sqref="A16:C16">
    <cfRule type="cellIs" dxfId="199" priority="32" stopIfTrue="1" operator="equal">
      <formula>"已过期"</formula>
    </cfRule>
  </conditionalFormatting>
  <conditionalFormatting sqref="B4:B15">
    <cfRule type="cellIs" dxfId="198" priority="4" stopIfTrue="1" operator="equal">
      <formula>"已过期"</formula>
    </cfRule>
  </conditionalFormatting>
  <conditionalFormatting sqref="C7:C12">
    <cfRule type="expression" dxfId="197" priority="22">
      <formula>AND($C7-TODAY()&lt;30,TODAY()&lt;$C7)</formula>
    </cfRule>
    <cfRule type="cellIs" dxfId="196" priority="23" stopIfTrue="1" operator="lessThan">
      <formula>$B$2</formula>
    </cfRule>
  </conditionalFormatting>
  <conditionalFormatting sqref="C14:C15">
    <cfRule type="expression" dxfId="195" priority="7">
      <formula>AND($C14-TODAY()&lt;30,TODAY()&lt;$C14)</formula>
    </cfRule>
    <cfRule type="cellIs" dxfId="194" priority="8" stopIfTrue="1" operator="lessThan">
      <formula>$B$2</formula>
    </cfRule>
  </conditionalFormatting>
  <conditionalFormatting sqref="C4:D6 D14">
    <cfRule type="cellIs" dxfId="193" priority="50" stopIfTrue="1" operator="lessThan">
      <formula>$B$2</formula>
    </cfRule>
  </conditionalFormatting>
  <conditionalFormatting sqref="C12:D13">
    <cfRule type="expression" dxfId="192" priority="47">
      <formula>AND($C12-TODAY()&lt;30,TODAY()&lt;$C12)</formula>
    </cfRule>
  </conditionalFormatting>
  <conditionalFormatting sqref="C13:D14">
    <cfRule type="expression" dxfId="191" priority="18">
      <formula>AND($C13-TODAY()&lt;30,TODAY()&lt;$C13)</formula>
    </cfRule>
    <cfRule type="cellIs" dxfId="190" priority="19" stopIfTrue="1" operator="lessThan">
      <formula>$B$2</formula>
    </cfRule>
  </conditionalFormatting>
  <conditionalFormatting sqref="C15:D15">
    <cfRule type="expression" dxfId="189" priority="5">
      <formula>AND($C15-TODAY()&lt;30,TODAY()&lt;$C15)</formula>
    </cfRule>
    <cfRule type="cellIs" dxfId="188" priority="6" stopIfTrue="1" operator="lessThan">
      <formula>$B$2</formula>
    </cfRule>
  </conditionalFormatting>
  <conditionalFormatting sqref="C20:D20 C13:D13">
    <cfRule type="cellIs" dxfId="187" priority="54" stopIfTrue="1" operator="lessThan">
      <formula>$B$2</formula>
    </cfRule>
  </conditionalFormatting>
  <conditionalFormatting sqref="C20:D20">
    <cfRule type="expression" dxfId="186" priority="52">
      <formula>AND($C20-TODAY()&lt;30,TODAY()&lt;$C20)</formula>
    </cfRule>
  </conditionalFormatting>
  <conditionalFormatting sqref="D7:D12 D16">
    <cfRule type="expression" dxfId="185" priority="53">
      <formula>AND($C7-TODAY()&lt;30,TODAY()&lt;$C7)</formula>
    </cfRule>
  </conditionalFormatting>
  <conditionalFormatting sqref="D7:D12">
    <cfRule type="cellIs" dxfId="184" priority="48" stopIfTrue="1" operator="lessThan">
      <formula>$B$2</formula>
    </cfRule>
  </conditionalFormatting>
  <conditionalFormatting sqref="D14 C4:D6">
    <cfRule type="expression" dxfId="183" priority="49">
      <formula>AND($C4-TODAY()&lt;30,TODAY()&lt;$C4)</formula>
    </cfRule>
  </conditionalFormatting>
  <conditionalFormatting sqref="D15:D16">
    <cfRule type="expression" dxfId="182" priority="12">
      <formula>AND($C15-TODAY()&lt;30,TODAY()&lt;$C15)</formula>
    </cfRule>
    <cfRule type="cellIs" dxfId="181" priority="13" stopIfTrue="1" operator="lessThan">
      <formula>$B$2</formula>
    </cfRule>
  </conditionalFormatting>
  <conditionalFormatting sqref="E16:G16">
    <cfRule type="cellIs" dxfId="180" priority="31" stopIfTrue="1" operator="equal">
      <formula>"已过期"</formula>
    </cfRule>
  </conditionalFormatting>
  <conditionalFormatting sqref="F4:F15">
    <cfRule type="cellIs" dxfId="179" priority="9" stopIfTrue="1" operator="equal">
      <formula>"已过期"</formula>
    </cfRule>
  </conditionalFormatting>
  <conditionalFormatting sqref="G4:G15">
    <cfRule type="cellIs" dxfId="178" priority="3" stopIfTrue="1" operator="lessThan">
      <formula>$B$2</formula>
    </cfRule>
  </conditionalFormatting>
  <conditionalFormatting sqref="G20:G21">
    <cfRule type="expression" dxfId="177" priority="1" stopIfTrue="1">
      <formula>AND(#REF!-TODAY()&lt;30,TODAY()&lt;#REF!)</formula>
    </cfRule>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165</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收益法-试测算车间已出租</vt:lpstr>
      <vt:lpstr>收益法-车间未出租</vt:lpstr>
      <vt:lpstr>系统读取表</vt:lpstr>
      <vt:lpstr>结果表</vt:lpstr>
      <vt:lpstr>成本法</vt:lpstr>
      <vt:lpstr>土地比较法-工业</vt:lpstr>
      <vt:lpstr>土地案例</vt:lpstr>
      <vt:lpstr>成本法 (元)</vt:lpstr>
      <vt:lpstr>假设开发法</vt:lpstr>
      <vt:lpstr>收益法（汇总）</vt:lpstr>
      <vt:lpstr>收益法-办公</vt:lpstr>
      <vt:lpstr>收益法-已出租车间</vt:lpstr>
      <vt:lpstr>收益法-未出租车间</vt:lpstr>
      <vt:lpstr>租赁合同整理</vt:lpstr>
      <vt:lpstr>租金平均增长率计算表</vt:lpstr>
      <vt:lpstr>收益法 (元)</vt:lpstr>
      <vt:lpstr>收益法-酒店模型</vt:lpstr>
      <vt:lpstr>比较法-住宅</vt:lpstr>
      <vt:lpstr>比较法-商业</vt:lpstr>
      <vt:lpstr>比较法-办公</vt:lpstr>
      <vt:lpstr>比较法-工业租金</vt:lpstr>
      <vt:lpstr>比较法-车位</vt:lpstr>
      <vt:lpstr>比较法-仓储</vt:lpstr>
      <vt:lpstr>土地比较法-住宅、综合</vt:lpstr>
      <vt:lpstr>典型户型修正</vt:lpstr>
      <vt:lpstr>基准地价（汇总）</vt:lpstr>
      <vt:lpstr>比较法-厂房租金</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Sheet1</vt:lpstr>
      <vt:lpstr>'比较法-办公'!Print_Area</vt:lpstr>
      <vt:lpstr>'比较法-仓储'!Print_Area</vt:lpstr>
      <vt:lpstr>'比较法-厂房租金'!Print_Area</vt:lpstr>
      <vt:lpstr>'比较法-车位'!Print_Area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'收益法-车间未出租'!Print_Area</vt:lpstr>
      <vt:lpstr>'收益法-试测算车间已出租'!Print_Area</vt:lpstr>
      <vt:lpstr>'收益法-未出租车间'!Print_Area</vt:lpstr>
      <vt:lpstr>'收益法-已出租车间'!Print_Area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'比较法-厂房租金'!工业公共部分装修</vt:lpstr>
      <vt:lpstr>工业公共部分装修</vt:lpstr>
      <vt:lpstr>'比较法-厂房租金'!工业基础设施水平</vt:lpstr>
      <vt:lpstr>工业基础设施水平</vt:lpstr>
      <vt:lpstr>'比较法-厂房租金'!工业建筑结构</vt:lpstr>
      <vt:lpstr>工业建筑结构</vt:lpstr>
      <vt:lpstr>'比较法-厂房租金'!工业建筑类型</vt:lpstr>
      <vt:lpstr>工业建筑类型</vt:lpstr>
      <vt:lpstr>'比较法-厂房租金'!工业交易情况</vt:lpstr>
      <vt:lpstr>工业交易情况</vt:lpstr>
      <vt:lpstr>'比较法-厂房租金'!工业内部装修</vt:lpstr>
      <vt:lpstr>工业内部装修</vt:lpstr>
      <vt:lpstr>'比较法-厂房租金'!工业物业管理</vt:lpstr>
      <vt:lpstr>工业物业管理</vt:lpstr>
      <vt:lpstr>'比较法-厂房租金'!工业用途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2025-06-24T01:45:06Z</dcterms:modified>
</cp:coreProperties>
</file>