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785" yWindow="-15" windowWidth="10830" windowHeight="9615" tabRatio="787" firstSheet="4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面积表" sheetId="70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E13" i="70" l="1"/>
  <c r="G22" i="59" l="1"/>
  <c r="G20" i="59"/>
  <c r="F13" i="70"/>
  <c r="D13" i="70"/>
  <c r="B13" i="70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C30" i="63" s="1"/>
  <c r="L2" i="66"/>
  <c r="C26" i="63" s="1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B9" i="64"/>
  <c r="D29" i="64"/>
  <c r="E14" i="64"/>
  <c r="D16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J71" i="63"/>
  <c r="I71" i="63" s="1"/>
  <c r="D8" i="63"/>
  <c r="D20" i="63"/>
  <c r="D19" i="63"/>
  <c r="L1" i="60"/>
  <c r="K1" i="60"/>
  <c r="F47" i="63"/>
  <c r="F45" i="63"/>
  <c r="F43" i="63"/>
  <c r="D43" i="63"/>
  <c r="J48" i="63"/>
  <c r="I48" i="63" s="1"/>
  <c r="J46" i="63"/>
  <c r="I46" i="63" s="1"/>
  <c r="J44" i="63"/>
  <c r="I44" i="63" s="1"/>
  <c r="F42" i="63"/>
  <c r="D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 s="1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E17" i="43" s="1"/>
  <c r="H6" i="44"/>
  <c r="G57" i="63"/>
  <c r="D57" i="63"/>
  <c r="G44" i="63"/>
  <c r="D44" i="63"/>
  <c r="G48" i="63"/>
  <c r="D48" i="63"/>
  <c r="D76" i="63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E42" i="63" s="1"/>
  <c r="B40" i="63" s="1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5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C15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AA7" i="39"/>
  <c r="R47" i="39" s="1"/>
  <c r="E47" i="39" s="1"/>
  <c r="J2" i="65"/>
  <c r="J7" i="39"/>
  <c r="AC7" i="39" s="1"/>
  <c r="V47" i="39" s="1"/>
  <c r="I47" i="39" s="1"/>
  <c r="H50" i="43"/>
  <c r="H53" i="43"/>
  <c r="H49" i="43"/>
  <c r="F17" i="59"/>
  <c r="F12" i="59" s="1"/>
  <c r="H54" i="43"/>
  <c r="H52" i="4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6" i="43"/>
  <c r="H64" i="43"/>
  <c r="H66" i="43"/>
  <c r="W7" i="39"/>
  <c r="T11" i="67"/>
  <c r="D11" i="67"/>
  <c r="C10" i="67"/>
  <c r="C9" i="67"/>
  <c r="D10" i="67"/>
  <c r="B3" i="43"/>
  <c r="D9" i="67"/>
  <c r="D8" i="67"/>
  <c r="I19" i="43"/>
  <c r="B4" i="43"/>
  <c r="D4" i="65"/>
  <c r="G5" i="65"/>
  <c r="D6" i="65"/>
  <c r="H4" i="65"/>
  <c r="D7" i="65"/>
  <c r="E4" i="65"/>
  <c r="H7" i="65"/>
  <c r="G8" i="65"/>
  <c r="E5" i="65"/>
  <c r="D5" i="65"/>
  <c r="E7" i="65"/>
  <c r="D8" i="65"/>
  <c r="E6" i="65"/>
  <c r="G6" i="65"/>
  <c r="H6" i="65"/>
  <c r="H5" i="65"/>
  <c r="H8" i="65"/>
  <c r="G4" i="65"/>
  <c r="E8" i="65"/>
  <c r="G7" i="65"/>
  <c r="O2" i="66" l="1"/>
  <c r="C29" i="63" s="1"/>
  <c r="I2" i="65"/>
  <c r="I1" i="65"/>
  <c r="A16" i="43"/>
  <c r="AB9" i="39"/>
  <c r="H67" i="43"/>
  <c r="H62" i="43"/>
  <c r="H72" i="43"/>
  <c r="H78" i="43"/>
  <c r="H76" i="43"/>
  <c r="H73" i="43"/>
  <c r="H71" i="43"/>
  <c r="AC9" i="39"/>
  <c r="W9" i="39"/>
  <c r="C15" i="64"/>
  <c r="H88" i="43"/>
  <c r="H84" i="43"/>
  <c r="E70" i="63"/>
  <c r="B68" i="63" s="1"/>
  <c r="D17" i="43"/>
  <c r="M1" i="60"/>
  <c r="C7" i="63" s="1"/>
  <c r="D56" i="39"/>
  <c r="C58" i="39"/>
  <c r="F29" i="59"/>
  <c r="F33" i="59" s="1"/>
  <c r="B17" i="9" s="1"/>
  <c r="A7" i="43"/>
  <c r="J20" i="43"/>
  <c r="H10" i="63"/>
  <c r="C10" i="63" s="1"/>
  <c r="C7" i="68"/>
  <c r="C6" i="68"/>
  <c r="C5" i="68"/>
  <c r="C8" i="68"/>
  <c r="G3" i="63"/>
  <c r="C11" i="39"/>
  <c r="G3" i="43"/>
  <c r="E51" i="39"/>
  <c r="F51" i="39" s="1"/>
  <c r="E52" i="39"/>
  <c r="F52" i="39" s="1"/>
  <c r="G51" i="39"/>
  <c r="H51" i="39" s="1"/>
  <c r="G52" i="39"/>
  <c r="H52" i="39" s="1"/>
  <c r="I52" i="39"/>
  <c r="J52" i="39" s="1"/>
  <c r="I51" i="39"/>
  <c r="J51" i="39" s="1"/>
  <c r="H59" i="43"/>
  <c r="H60" i="43"/>
  <c r="H65" i="43"/>
  <c r="H61" i="43"/>
  <c r="H81" i="43"/>
  <c r="H82" i="43"/>
  <c r="H83" i="43"/>
  <c r="R48" i="39"/>
  <c r="H48" i="43"/>
  <c r="H74" i="43"/>
  <c r="H87" i="43"/>
  <c r="H70" i="43"/>
  <c r="H55" i="43"/>
  <c r="H51" i="43"/>
  <c r="H77" i="43"/>
  <c r="H75" i="43"/>
  <c r="W12" i="39"/>
  <c r="AA12" i="39"/>
  <c r="M17" i="43"/>
  <c r="O17" i="43"/>
  <c r="E19" i="64"/>
  <c r="E16" i="64"/>
  <c r="D19" i="64"/>
  <c r="L17" i="43"/>
  <c r="N17" i="43"/>
  <c r="F20" i="59"/>
  <c r="F11" i="9" s="1"/>
  <c r="C6" i="67"/>
  <c r="D6" i="67" s="1"/>
  <c r="D7" i="67"/>
  <c r="I9" i="63"/>
  <c r="C9" i="63" s="1"/>
  <c r="K3" i="65"/>
  <c r="K1" i="65"/>
  <c r="K2" i="65"/>
  <c r="K4" i="65"/>
  <c r="I3" i="65"/>
  <c r="G3" i="65"/>
  <c r="G1" i="65"/>
  <c r="G2" i="65"/>
  <c r="E20" i="43"/>
  <c r="G17" i="43" l="1"/>
  <c r="C16" i="43" s="1"/>
  <c r="E56" i="39"/>
  <c r="D58" i="39"/>
  <c r="H22" i="43"/>
  <c r="E22" i="43"/>
  <c r="N104" i="46"/>
  <c r="B114" i="43"/>
  <c r="F22" i="43"/>
  <c r="G22" i="43"/>
  <c r="I102" i="43"/>
  <c r="G102" i="43"/>
  <c r="E102" i="43"/>
  <c r="F102" i="43"/>
  <c r="C21" i="43"/>
  <c r="K102" i="43"/>
  <c r="N102" i="43"/>
  <c r="J102" i="43"/>
  <c r="D102" i="43"/>
  <c r="C23" i="43"/>
  <c r="J22" i="43"/>
  <c r="M102" i="43"/>
  <c r="C102" i="43"/>
  <c r="L102" i="43"/>
  <c r="H102" i="43"/>
  <c r="E13" i="63"/>
  <c r="G13" i="63"/>
  <c r="H13" i="63" s="1"/>
  <c r="G12" i="63"/>
  <c r="D14" i="63"/>
  <c r="C21" i="63"/>
  <c r="E21" i="63" s="1"/>
  <c r="F13" i="63"/>
  <c r="H12" i="63"/>
  <c r="B80" i="63"/>
  <c r="E12" i="63"/>
  <c r="F12" i="63" s="1"/>
  <c r="H11" i="39"/>
  <c r="F11" i="39"/>
  <c r="J11" i="39"/>
  <c r="C20" i="63"/>
  <c r="C5" i="43"/>
  <c r="D5" i="43"/>
  <c r="C48" i="39"/>
  <c r="B3" i="39" s="1"/>
  <c r="C47" i="39"/>
  <c r="F22" i="59"/>
  <c r="F13" i="9" s="1"/>
  <c r="R20" i="43"/>
  <c r="S20" i="43"/>
  <c r="P20" i="43"/>
  <c r="G20" i="43" s="1"/>
  <c r="Q20" i="43"/>
  <c r="G9" i="59"/>
  <c r="C12" i="9" s="1"/>
  <c r="G21" i="59"/>
  <c r="C23" i="64"/>
  <c r="E58" i="39" l="1"/>
  <c r="F56" i="39"/>
  <c r="C20" i="43"/>
  <c r="E41" i="43"/>
  <c r="C41" i="43" s="1"/>
  <c r="C38" i="43" s="1"/>
  <c r="C22" i="63"/>
  <c r="B5" i="63" s="1"/>
  <c r="B4" i="63"/>
  <c r="F7" i="59" s="1"/>
  <c r="E20" i="63"/>
  <c r="AA11" i="39"/>
  <c r="S11" i="39"/>
  <c r="D13" i="63"/>
  <c r="D12" i="63"/>
  <c r="H110" i="43"/>
  <c r="H106" i="43"/>
  <c r="H107" i="43"/>
  <c r="H105" i="43"/>
  <c r="H108" i="43"/>
  <c r="H103" i="43"/>
  <c r="H104" i="43"/>
  <c r="C108" i="43"/>
  <c r="C110" i="43"/>
  <c r="C105" i="43"/>
  <c r="C103" i="43"/>
  <c r="C106" i="43"/>
  <c r="C107" i="43"/>
  <c r="C104" i="43"/>
  <c r="D108" i="43"/>
  <c r="D105" i="43"/>
  <c r="D104" i="43"/>
  <c r="D106" i="43"/>
  <c r="D103" i="43"/>
  <c r="D110" i="43"/>
  <c r="D107" i="43"/>
  <c r="N110" i="43"/>
  <c r="N103" i="43"/>
  <c r="N107" i="43"/>
  <c r="N105" i="43"/>
  <c r="N104" i="43"/>
  <c r="N108" i="43"/>
  <c r="N106" i="43"/>
  <c r="E107" i="43"/>
  <c r="E104" i="43"/>
  <c r="E105" i="43"/>
  <c r="E106" i="43"/>
  <c r="E110" i="43"/>
  <c r="E108" i="43"/>
  <c r="E103" i="43"/>
  <c r="I106" i="43"/>
  <c r="I110" i="43"/>
  <c r="I107" i="43"/>
  <c r="I103" i="43"/>
  <c r="I104" i="43"/>
  <c r="I108" i="43"/>
  <c r="I105" i="43"/>
  <c r="C29" i="43"/>
  <c r="AC11" i="39"/>
  <c r="W11" i="39"/>
  <c r="AB11" i="39"/>
  <c r="U11" i="39"/>
  <c r="B83" i="63"/>
  <c r="B85" i="63"/>
  <c r="B84" i="63"/>
  <c r="B82" i="63"/>
  <c r="B81" i="63" s="1"/>
  <c r="L108" i="43"/>
  <c r="L110" i="43"/>
  <c r="L105" i="43"/>
  <c r="L106" i="43"/>
  <c r="L104" i="43"/>
  <c r="L103" i="43"/>
  <c r="L107" i="43"/>
  <c r="M107" i="43"/>
  <c r="M110" i="43"/>
  <c r="M108" i="43"/>
  <c r="M106" i="43"/>
  <c r="M103" i="43"/>
  <c r="M104" i="43"/>
  <c r="M105" i="43"/>
  <c r="J108" i="43"/>
  <c r="J104" i="43"/>
  <c r="J105" i="43"/>
  <c r="J110" i="43"/>
  <c r="J106" i="43"/>
  <c r="J107" i="43"/>
  <c r="J103" i="43"/>
  <c r="K107" i="43"/>
  <c r="K105" i="43"/>
  <c r="K104" i="43"/>
  <c r="K103" i="43"/>
  <c r="K110" i="43"/>
  <c r="K108" i="43"/>
  <c r="K106" i="43"/>
  <c r="F108" i="43"/>
  <c r="F105" i="43"/>
  <c r="F103" i="43"/>
  <c r="F106" i="43"/>
  <c r="F110" i="43"/>
  <c r="F104" i="43"/>
  <c r="F107" i="43"/>
  <c r="G104" i="43"/>
  <c r="G105" i="43"/>
  <c r="G108" i="43"/>
  <c r="G107" i="43"/>
  <c r="G110" i="43"/>
  <c r="G106" i="43"/>
  <c r="G103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B116" i="43"/>
  <c r="G119" i="43"/>
  <c r="H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D119" i="43"/>
  <c r="E119" i="43" s="1"/>
  <c r="F119" i="43" s="1"/>
  <c r="I118" i="43"/>
  <c r="J118" i="43" s="1"/>
  <c r="K118" i="43" s="1"/>
  <c r="L118" i="43" s="1"/>
  <c r="M118" i="43" s="1"/>
  <c r="D22" i="43"/>
  <c r="C33" i="43"/>
  <c r="C39" i="43"/>
  <c r="C34" i="43"/>
  <c r="C35" i="43"/>
  <c r="C37" i="43"/>
  <c r="C36" i="43"/>
  <c r="B17" i="59"/>
  <c r="B18" i="59" s="1"/>
  <c r="C22" i="64"/>
  <c r="G12" i="9"/>
  <c r="F21" i="59"/>
  <c r="C11" i="63" l="1"/>
  <c r="C19" i="63" s="1"/>
  <c r="E19" i="63" s="1"/>
  <c r="G56" i="39"/>
  <c r="F58" i="39"/>
  <c r="G38" i="43"/>
  <c r="I38" i="43" s="1"/>
  <c r="E38" i="43"/>
  <c r="C30" i="43"/>
  <c r="E30" i="43" s="1"/>
  <c r="E29" i="43"/>
  <c r="C116" i="43"/>
  <c r="D114" i="43"/>
  <c r="G37" i="43"/>
  <c r="I37" i="43" s="1"/>
  <c r="E37" i="43"/>
  <c r="E34" i="43"/>
  <c r="G34" i="43"/>
  <c r="I34" i="43" s="1"/>
  <c r="E33" i="43"/>
  <c r="G33" i="43"/>
  <c r="I33" i="43" s="1"/>
  <c r="G36" i="43"/>
  <c r="I36" i="43" s="1"/>
  <c r="E36" i="43"/>
  <c r="E35" i="43"/>
  <c r="G35" i="43"/>
  <c r="I35" i="43" s="1"/>
  <c r="E39" i="43"/>
  <c r="G39" i="43"/>
  <c r="I39" i="43" s="1"/>
  <c r="C28" i="64"/>
  <c r="C30" i="64"/>
  <c r="B3" i="64"/>
  <c r="F11" i="59"/>
  <c r="F12" i="9"/>
  <c r="F14" i="9" s="1"/>
  <c r="C18" i="63" l="1"/>
  <c r="E18" i="63" s="1"/>
  <c r="G58" i="39"/>
  <c r="H56" i="39"/>
  <c r="C27" i="43"/>
  <c r="C26" i="43"/>
  <c r="B2" i="43" s="1"/>
  <c r="C29" i="64"/>
  <c r="E29" i="64" s="1"/>
  <c r="E30" i="64"/>
  <c r="E28" i="64"/>
  <c r="C27" i="64"/>
  <c r="E27" i="64" s="1"/>
  <c r="B3" i="63" l="1"/>
  <c r="F6" i="59" s="1"/>
  <c r="F5" i="59" s="1"/>
  <c r="F8" i="59" s="1"/>
  <c r="B11" i="9" s="1"/>
  <c r="I56" i="39"/>
  <c r="H58" i="39"/>
  <c r="F9" i="59" l="1"/>
  <c r="B12" i="9" s="1"/>
  <c r="F10" i="59"/>
  <c r="B13" i="9" s="1"/>
  <c r="B5" i="9"/>
  <c r="J56" i="39"/>
  <c r="I58" i="39"/>
  <c r="B14" i="9" l="1"/>
  <c r="F4" i="59"/>
  <c r="F24" i="59" s="1"/>
  <c r="B15" i="9" s="1"/>
  <c r="K56" i="39"/>
  <c r="J58" i="39"/>
  <c r="F35" i="59" l="1"/>
  <c r="F25" i="59"/>
  <c r="F36" i="59" s="1"/>
  <c r="B19" i="9" s="1"/>
  <c r="L56" i="39"/>
  <c r="K58" i="39"/>
  <c r="B18" i="9"/>
  <c r="C11" i="68" s="1"/>
  <c r="H2" i="70"/>
  <c r="B16" i="9"/>
  <c r="H16" i="9" s="1"/>
  <c r="L58" i="39" l="1"/>
  <c r="M56" i="39"/>
  <c r="I2" i="70"/>
  <c r="I3" i="70"/>
  <c r="I5" i="70"/>
  <c r="I7" i="70"/>
  <c r="I9" i="70"/>
  <c r="I11" i="70"/>
  <c r="I4" i="70"/>
  <c r="I6" i="70"/>
  <c r="I8" i="70"/>
  <c r="I10" i="70"/>
  <c r="I12" i="70"/>
  <c r="H19" i="9"/>
  <c r="B11" i="68"/>
  <c r="N56" i="39" l="1"/>
  <c r="M58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<sst xmlns="http://schemas.openxmlformats.org/spreadsheetml/2006/main" count="3953" uniqueCount="1802">
  <si>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</si>
  <si>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</si>
  <si>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</si>
  <si>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</si>
  <si>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</si>
  <si>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</si>
  <si>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</si>
  <si>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</si>
  <si>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</si>
  <si>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</si>
  <si>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</si>
  <si>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</si>
  <si>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</si>
  <si>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</si>
  <si>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</si>
  <si>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</si>
  <si>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</si>
  <si>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</si>
  <si>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</si>
  <si>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</si>
  <si>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</si>
  <si>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</si>
  <si>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</si>
  <si>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</si>
  <si>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</si>
  <si>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</si>
  <si>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</si>
  <si>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</si>
  <si>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</si>
  <si>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</si>
  <si>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</si>
  <si>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</si>
  <si>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</si>
  <si>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</si>
  <si>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</si>
  <si>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</si>
  <si>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</si>
  <si>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</si>
  <si>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</si>
  <si>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</si>
  <si>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</si>
  <si>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</si>
  <si>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</si>
  <si>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</si>
  <si>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</si>
  <si>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</si>
  <si>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</si>
  <si>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</si>
  <si>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</si>
  <si>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</si>
  <si>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</si>
  <si>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</si>
  <si>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</si>
  <si>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</si>
  <si>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</si>
  <si>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</si>
  <si>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</si>
  <si>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</si>
  <si>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</si>
  <si>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</si>
  <si>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</si>
  <si>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</si>
  <si>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</si>
  <si>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</si>
  <si>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</si>
  <si>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</si>
  <si>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</si>
  <si>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</si>
  <si>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</si>
  <si>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</si>
  <si>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</si>
  <si>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</si>
  <si>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</si>
  <si>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</si>
  <si>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</si>
  <si>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</si>
  <si>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</si>
  <si>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</si>
  <si>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</si>
  <si>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</si>
  <si>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</si>
  <si>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</si>
  <si>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</si>
  <si>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</si>
  <si>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</si>
  <si>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</si>
  <si>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</si>
  <si>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</si>
  <si>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</si>
  <si>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</si>
  <si>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</si>
  <si>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</si>
  <si>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</si>
  <si>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</si>
  <si>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</si>
  <si>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</si>
  <si>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</si>
  <si>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</si>
  <si>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</si>
  <si>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</si>
  <si>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</si>
  <si>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</si>
  <si>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</si>
  <si>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</si>
  <si>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</si>
  <si>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</si>
  <si>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</si>
  <si>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</si>
  <si>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</si>
  <si>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</si>
  <si>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</si>
  <si>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</si>
  <si>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</si>
  <si>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</si>
  <si>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</si>
  <si>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</si>
  <si>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</si>
  <si>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</si>
  <si>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</si>
  <si>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</si>
  <si>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</si>
  <si>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</si>
  <si>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</si>
  <si>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</si>
  <si>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</si>
  <si>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</si>
  <si>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</si>
  <si>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</si>
  <si>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</si>
  <si>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</si>
  <si>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</si>
  <si>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</si>
  <si>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</si>
  <si>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</si>
  <si>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</si>
  <si>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</si>
  <si>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</si>
  <si>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</si>
  <si>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</si>
  <si>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</si>
  <si>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</si>
  <si>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</si>
  <si>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</si>
  <si>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</si>
  <si>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</si>
  <si>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</si>
  <si>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</si>
  <si>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</si>
  <si>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</si>
  <si>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</si>
  <si>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</si>
  <si>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</si>
  <si>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</si>
  <si>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</si>
  <si>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</si>
  <si>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</si>
  <si>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</si>
  <si>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</si>
  <si>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</si>
  <si>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</si>
  <si>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</si>
  <si>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</si>
  <si>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</si>
  <si>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</si>
  <si>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</si>
  <si>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</si>
  <si>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</si>
  <si>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</si>
  <si>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</si>
  <si>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</si>
  <si>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</si>
  <si>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</si>
  <si>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</si>
  <si>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</si>
  <si>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</si>
  <si>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</si>
  <si>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</si>
  <si>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</si>
  <si>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</si>
  <si>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</si>
  <si>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</si>
  <si>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</si>
  <si>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</si>
  <si>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</si>
  <si>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</si>
  <si>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</si>
  <si>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</si>
  <si>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</si>
  <si>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</si>
  <si>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</si>
  <si>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</si>
  <si>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</si>
  <si>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</si>
  <si>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</si>
  <si>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</si>
  <si>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</si>
  <si>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</si>
  <si>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</si>
  <si>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</si>
  <si>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</si>
  <si>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</si>
  <si>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</si>
  <si>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</si>
  <si>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</si>
  <si>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</si>
  <si>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</si>
  <si>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</si>
  <si>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</si>
  <si>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</si>
  <si>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</si>
  <si>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</si>
  <si>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</si>
  <si>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</si>
  <si>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</si>
  <si>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</si>
  <si>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</si>
  <si>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</si>
  <si>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</si>
  <si>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</si>
  <si>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</si>
  <si>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</si>
  <si>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</si>
  <si>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</si>
  <si>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</si>
  <si>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</si>
  <si>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</si>
  <si>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</si>
  <si>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</si>
  <si>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</si>
  <si>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</si>
  <si>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</si>
  <si>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</si>
  <si>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</si>
  <si>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</si>
  <si>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</si>
  <si>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</si>
  <si>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</si>
  <si>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</si>
  <si>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</si>
  <si>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</si>
  <si>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</si>
  <si>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</si>
  <si>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</si>
  <si>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</si>
  <si>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</si>
  <si>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</si>
  <si>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</si>
  <si>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</si>
  <si>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</si>
  <si>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</si>
  <si>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</si>
  <si>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</si>
  <si>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</si>
  <si>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</si>
  <si>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</si>
  <si>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</si>
  <si>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</si>
  <si>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</si>
  <si>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</si>
  <si>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</si>
  <si>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</si>
  <si>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</si>
  <si>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</si>
  <si>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</si>
  <si>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</si>
  <si>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</si>
  <si>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</si>
  <si>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</si>
  <si>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</si>
  <si>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</si>
  <si>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</si>
  <si>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</si>
  <si>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</si>
  <si>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</si>
  <si>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</si>
  <si>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</si>
  <si>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</si>
  <si>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</si>
  <si>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</si>
  <si>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</si>
  <si>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</si>
  <si>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</si>
  <si>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</si>
  <si>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</si>
  <si>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</si>
  <si>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</si>
  <si>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</si>
  <si>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</si>
  <si>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</si>
  <si>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</si>
  <si>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</si>
  <si>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</si>
  <si>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</si>
  <si>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</si>
  <si>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</si>
  <si>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</si>
  <si>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</si>
  <si>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</si>
  <si>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</si>
  <si>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</si>
  <si>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</si>
  <si>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</si>
  <si>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</si>
  <si>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</si>
  <si>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</si>
  <si>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</si>
  <si>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</si>
  <si>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</si>
  <si>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</si>
  <si>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</si>
  <si>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</si>
  <si>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</si>
  <si>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</si>
  <si>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</si>
  <si>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</si>
  <si>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</si>
  <si>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</si>
  <si>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</si>
  <si>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</si>
  <si>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</si>
  <si>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</si>
  <si>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</si>
  <si>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</si>
  <si>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</si>
  <si>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</si>
  <si>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</si>
  <si>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</si>
  <si>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</si>
  <si>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</si>
  <si>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</si>
  <si>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</si>
  <si>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</si>
  <si>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</si>
  <si>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</si>
  <si>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</si>
  <si>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</si>
  <si>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</si>
  <si>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</si>
  <si>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</si>
  <si>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</si>
  <si>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</si>
  <si>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</si>
  <si>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</si>
  <si>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</si>
  <si>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</si>
  <si>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</si>
  <si>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</si>
  <si>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</si>
  <si>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</si>
  <si>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</si>
  <si>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</si>
  <si>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</si>
  <si>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</si>
  <si>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</si>
  <si>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</si>
  <si>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</si>
  <si>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</si>
  <si>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</si>
  <si>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</si>
  <si>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</si>
  <si>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</si>
  <si>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</si>
  <si>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</si>
  <si>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</si>
  <si>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</si>
  <si>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</si>
  <si>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</si>
  <si>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</si>
  <si>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</si>
  <si>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</si>
  <si>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</si>
  <si>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</si>
  <si>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</si>
  <si>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</si>
  <si>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</si>
  <si>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</si>
  <si>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</si>
  <si>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</si>
  <si>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</si>
  <si>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</si>
  <si>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</si>
  <si>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</si>
  <si>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</si>
  <si>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</si>
  <si>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</si>
  <si>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</si>
  <si>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</si>
  <si>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</si>
  <si>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</si>
  <si>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</si>
  <si>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</si>
  <si>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</si>
  <si>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</si>
  <si>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</si>
  <si>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</si>
  <si>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</si>
  <si>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</si>
  <si>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</si>
  <si>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</si>
  <si>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</si>
  <si>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</si>
  <si>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</si>
  <si>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</si>
  <si>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</si>
  <si>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</si>
  <si>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</si>
  <si>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</si>
  <si>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</si>
  <si>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</si>
  <si>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</si>
  <si>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</si>
  <si>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</si>
  <si>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</si>
  <si>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</si>
  <si>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</si>
  <si>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</si>
  <si>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</si>
  <si>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</si>
  <si>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</si>
  <si>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</si>
  <si>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</si>
  <si>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</si>
  <si>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</si>
  <si>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</si>
  <si>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</si>
  <si>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</si>
  <si>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</si>
  <si>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</si>
  <si>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</si>
  <si>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</si>
  <si>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</si>
  <si>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</si>
  <si>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</si>
  <si>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</si>
  <si>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</si>
  <si>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</si>
  <si>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</si>
  <si>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</si>
  <si>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</si>
  <si>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</si>
  <si>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</si>
  <si>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</si>
  <si>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</si>
  <si>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</si>
  <si>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</si>
  <si>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</si>
  <si>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</si>
  <si>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</si>
  <si>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</si>
  <si>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</si>
  <si>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</si>
  <si>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</si>
  <si>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</si>
  <si>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</si>
  <si>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</si>
  <si>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</si>
  <si>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</si>
  <si>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</si>
  <si>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</si>
  <si>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</si>
  <si>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</si>
  <si>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</si>
  <si>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</si>
  <si>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</si>
  <si>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</si>
  <si>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</si>
  <si>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</si>
  <si>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</si>
  <si>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</si>
  <si>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</si>
  <si>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</si>
  <si>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</si>
  <si>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</si>
  <si>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</si>
  <si>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</si>
  <si>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</si>
  <si>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</si>
  <si>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</si>
  <si>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</si>
  <si>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</si>
  <si>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</si>
  <si>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</si>
  <si>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</si>
  <si>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</si>
  <si>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</si>
  <si>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</si>
  <si>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</si>
  <si>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</si>
  <si>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</si>
  <si>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</si>
  <si>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</si>
  <si>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</si>
  <si>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</si>
  <si>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</si>
  <si>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</si>
  <si>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</si>
  <si>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</si>
  <si>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</si>
  <si>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</si>
  <si>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</si>
  <si>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</si>
  <si>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</si>
  <si>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</si>
  <si>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</si>
  <si>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</si>
  <si>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</si>
  <si>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</si>
  <si>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</si>
  <si>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</si>
  <si>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</si>
  <si>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</si>
  <si>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</si>
  <si>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</si>
  <si>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</si>
  <si>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</si>
  <si>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</si>
  <si>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</si>
  <si>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</si>
  <si>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</si>
  <si>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</si>
  <si>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</si>
  <si>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</si>
  <si>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</si>
  <si>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</si>
  <si>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</si>
  <si>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</si>
  <si>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</si>
  <si>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</si>
  <si>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</si>
  <si>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</si>
  <si>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</si>
  <si>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</si>
  <si>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</si>
  <si>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</si>
  <si>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</si>
  <si>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</si>
  <si>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</si>
  <si>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</si>
  <si>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</si>
  <si>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</si>
  <si>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</si>
  <si>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</si>
  <si>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</si>
  <si>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</si>
  <si>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</si>
  <si>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</si>
  <si>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</si>
  <si>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</si>
  <si>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</si>
  <si>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</si>
  <si>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</si>
  <si>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</si>
  <si>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</si>
  <si>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</si>
  <si>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</si>
  <si>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</si>
  <si>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</si>
  <si>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</si>
  <si>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</si>
  <si>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</si>
  <si>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</si>
  <si>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</si>
  <si>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</si>
  <si>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</si>
  <si>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</si>
  <si>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</si>
  <si>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</si>
  <si>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</si>
  <si>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</si>
  <si>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</si>
  <si>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</si>
  <si>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</si>
  <si>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</si>
  <si>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</si>
  <si>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</si>
  <si>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</si>
  <si>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</si>
  <si>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</si>
  <si>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</si>
  <si>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</si>
  <si>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</si>
  <si>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</si>
  <si>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</si>
  <si>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</si>
  <si>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</si>
  <si>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</si>
  <si>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</si>
  <si>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</si>
  <si>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</si>
  <si>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</si>
  <si>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</si>
  <si>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</si>
  <si>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</si>
  <si>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</si>
  <si>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</si>
  <si>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</si>
  <si>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</si>
  <si>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</si>
  <si>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</si>
  <si>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</si>
  <si>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</si>
  <si>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</si>
  <si>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</si>
  <si>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</si>
  <si>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</si>
  <si>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</si>
  <si>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</si>
  <si>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</si>
  <si>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</si>
  <si>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</si>
  <si>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</si>
  <si>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</si>
  <si>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</si>
  <si>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</si>
  <si>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</si>
  <si>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</si>
  <si>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</si>
  <si>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</si>
  <si>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</si>
  <si>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</si>
  <si>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</si>
  <si>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</si>
  <si>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</si>
  <si>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</si>
  <si>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</si>
  <si>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</si>
  <si>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</si>
  <si>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</si>
  <si>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</si>
  <si>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</si>
  <si>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</si>
  <si>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</si>
  <si>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</si>
  <si>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</si>
  <si>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</si>
  <si>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</si>
  <si>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</si>
  <si>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</si>
  <si>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</si>
  <si>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</si>
  <si>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</si>
  <si>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</si>
  <si>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</si>
  <si>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</si>
  <si>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</si>
  <si>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</si>
  <si>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</si>
  <si>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</si>
  <si>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</si>
  <si>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</si>
  <si>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</si>
  <si>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</si>
  <si>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</si>
  <si>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</si>
  <si>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</si>
  <si>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</si>
  <si>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</si>
  <si>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</si>
  <si>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</si>
  <si>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</si>
  <si>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</si>
  <si>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</si>
  <si>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</si>
  <si>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</si>
  <si>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</si>
  <si>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</si>
  <si>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</si>
  <si>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</si>
  <si>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</si>
  <si>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</si>
  <si>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</si>
  <si>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</si>
  <si>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</si>
  <si>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</si>
  <si>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</si>
  <si>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</si>
  <si>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</si>
  <si>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</si>
  <si>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</si>
  <si>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</si>
  <si>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</si>
  <si>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</si>
  <si>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</si>
  <si>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</si>
  <si>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</si>
  <si>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</si>
  <si>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</si>
  <si>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</si>
  <si>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</si>
  <si>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</si>
  <si>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</si>
  <si>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</si>
  <si>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</si>
  <si>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</si>
  <si>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</si>
  <si>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</si>
  <si>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</si>
  <si>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</si>
  <si>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</si>
  <si>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</si>
  <si>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</si>
  <si>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</si>
  <si>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</si>
  <si>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</si>
  <si>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</si>
  <si>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</si>
  <si>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</si>
  <si>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</si>
  <si>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</si>
  <si>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</si>
  <si>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</si>
  <si>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</si>
  <si>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</si>
  <si>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</si>
  <si>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</si>
  <si>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</si>
  <si>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</si>
  <si>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</si>
  <si>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</si>
  <si>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</si>
  <si>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</si>
  <si>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</si>
  <si>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</si>
  <si>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</si>
  <si>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</si>
  <si>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</si>
  <si>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</si>
  <si>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</si>
  <si>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</si>
  <si>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</si>
  <si>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</si>
  <si>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</si>
  <si>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</si>
  <si>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</si>
  <si>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</si>
  <si>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</si>
  <si>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</si>
  <si>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</si>
  <si>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</si>
  <si>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</si>
  <si>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</si>
  <si>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</si>
  <si>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</si>
  <si>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</si>
  <si>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</si>
  <si>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</si>
  <si>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</si>
  <si>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</si>
  <si>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</si>
  <si>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</si>
  <si>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</si>
  <si>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</si>
  <si>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</si>
  <si>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</si>
  <si>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</si>
  <si>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</si>
  <si>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</si>
  <si>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</si>
  <si>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</si>
  <si>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</si>
  <si>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</si>
  <si>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</si>
  <si>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</si>
  <si>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</si>
  <si>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</si>
  <si>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</si>
  <si>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</si>
  <si>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</si>
  <si>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</si>
  <si>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</si>
  <si>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</si>
  <si>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</si>
  <si>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</si>
  <si>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</si>
  <si>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</si>
  <si>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</si>
  <si>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</si>
  <si>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</si>
  <si>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</si>
  <si>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</si>
  <si>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</si>
  <si>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</si>
  <si>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</si>
  <si>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</si>
  <si>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</si>
  <si>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</si>
  <si>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</si>
  <si>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</si>
  <si>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</si>
  <si>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</si>
  <si>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</si>
  <si>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</si>
  <si>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</si>
  <si>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</si>
  <si>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</si>
  <si>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</si>
  <si>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</si>
  <si>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</si>
  <si>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</si>
  <si>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</si>
  <si>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</si>
  <si>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</si>
  <si>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</si>
  <si>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</si>
  <si>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</si>
  <si>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</si>
  <si>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</si>
  <si>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</si>
  <si>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</si>
  <si>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</si>
  <si>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</si>
  <si>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</si>
  <si>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</si>
  <si>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</si>
  <si>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</si>
  <si>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</si>
  <si>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</si>
  <si>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</si>
  <si>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</si>
  <si>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</si>
  <si>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</si>
  <si>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</si>
  <si>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</si>
  <si>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</si>
  <si>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</si>
  <si>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</si>
  <si>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</si>
  <si>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</si>
  <si>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</si>
  <si>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</si>
  <si>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</si>
  <si>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</si>
  <si>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</si>
  <si>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</si>
  <si>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</si>
  <si>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</si>
  <si>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</si>
  <si>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</si>
  <si>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</si>
  <si>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</si>
  <si>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</si>
  <si>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</si>
  <si>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</si>
  <si>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</si>
  <si>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</si>
  <si>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</si>
  <si>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</si>
  <si>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</si>
  <si>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</si>
  <si>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</si>
  <si>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</si>
  <si>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</si>
  <si>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</si>
  <si>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</si>
  <si>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</si>
  <si>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</si>
  <si>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</si>
  <si>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</si>
  <si>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</si>
  <si>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</si>
  <si>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</si>
  <si>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</si>
  <si>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</si>
  <si>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</si>
  <si>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</si>
  <si>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</si>
  <si>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</si>
  <si>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</si>
  <si>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</si>
  <si>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</si>
  <si>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</si>
  <si>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</si>
  <si>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</si>
  <si>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</si>
  <si>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</si>
  <si>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</si>
  <si>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</si>
  <si>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</si>
  <si>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</si>
  <si>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</si>
  <si>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</si>
  <si>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</si>
  <si>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</si>
  <si>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</si>
  <si>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</si>
  <si>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</si>
  <si>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</si>
  <si>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</si>
  <si>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</si>
  <si>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</si>
  <si>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</si>
  <si>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</si>
  <si>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</si>
  <si>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</si>
  <si>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</si>
  <si>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</si>
  <si>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</si>
  <si>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</si>
  <si>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</si>
  <si>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</si>
  <si>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</si>
  <si>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</si>
  <si>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</si>
  <si>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</si>
  <si>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</si>
  <si>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</si>
  <si>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</si>
  <si>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</si>
  <si>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</si>
  <si>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</si>
  <si>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</si>
  <si>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</si>
  <si>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</si>
  <si>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</si>
  <si>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</si>
  <si>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</si>
  <si>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</si>
  <si>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</si>
  <si>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</si>
  <si>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</si>
  <si>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</si>
  <si>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</si>
  <si>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</si>
  <si>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</si>
  <si>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</si>
  <si>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</si>
  <si>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</si>
  <si>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</si>
  <si>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</si>
  <si>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</si>
  <si>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</si>
  <si>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</si>
  <si>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</si>
  <si>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</si>
  <si>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</si>
  <si>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</si>
  <si>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</si>
  <si>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</si>
  <si>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</si>
  <si>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</si>
  <si>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</si>
  <si>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</si>
  <si>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</si>
  <si>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</si>
  <si>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</si>
  <si>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</si>
  <si>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</si>
  <si>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</si>
  <si>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</si>
  <si>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</si>
  <si>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</si>
  <si>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</si>
  <si>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</si>
  <si>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</si>
  <si>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</si>
  <si>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</si>
  <si>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</si>
  <si>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</si>
  <si>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</si>
  <si>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</si>
  <si>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</si>
  <si>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</si>
  <si>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</si>
  <si>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</si>
  <si>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</si>
  <si>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</si>
  <si>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</si>
  <si>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</si>
  <si>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</si>
  <si>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</si>
  <si>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</si>
  <si>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</si>
  <si>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</si>
  <si>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</si>
  <si>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</si>
  <si>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</si>
  <si>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</si>
  <si>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</si>
  <si>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</si>
  <si>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</si>
  <si>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</si>
  <si>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</si>
  <si>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</si>
  <si>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</si>
  <si>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</si>
  <si>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</si>
  <si>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</si>
  <si>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</si>
  <si>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</si>
  <si>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</si>
  <si>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</si>
  <si>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</si>
  <si>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</si>
  <si>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</si>
  <si>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</si>
  <si>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</si>
  <si>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</si>
  <si>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</si>
  <si>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</si>
  <si>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</si>
  <si>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</si>
  <si>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</si>
  <si>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</si>
  <si>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</si>
  <si>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</si>
  <si>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</si>
  <si>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</si>
  <si>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</si>
  <si>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</si>
  <si>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</si>
  <si>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</si>
  <si>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</si>
  <si>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</si>
  <si>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</si>
  <si>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</si>
  <si>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</si>
  <si>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</si>
  <si>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</si>
  <si>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</si>
  <si>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</si>
  <si>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</si>
  <si>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</si>
  <si>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</si>
  <si>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</si>
  <si>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</si>
  <si>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</si>
  <si>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</si>
  <si>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</si>
  <si>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</si>
  <si>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</si>
  <si>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</si>
  <si>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</si>
  <si>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</si>
  <si>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</si>
  <si>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</si>
  <si>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</si>
  <si>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</si>
  <si>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</si>
  <si>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</si>
  <si>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</si>
  <si>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</si>
  <si>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</si>
  <si>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</si>
  <si>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</si>
  <si>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</si>
  <si>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</si>
  <si>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</si>
  <si>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</si>
  <si>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</si>
  <si>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</si>
  <si>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</si>
  <si>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</si>
  <si>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</si>
  <si>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</si>
  <si>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</si>
  <si>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</si>
  <si>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</si>
  <si>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</si>
  <si>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</si>
  <si>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</si>
  <si>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</si>
  <si>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</si>
  <si>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</si>
  <si>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</si>
  <si>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</si>
  <si>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</si>
  <si>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</si>
  <si>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</si>
  <si>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</si>
  <si>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</si>
  <si>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</si>
  <si>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</si>
  <si>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</si>
  <si>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</si>
  <si>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</si>
  <si>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</si>
  <si>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</si>
  <si>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</si>
  <si>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</si>
  <si>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</si>
  <si>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</si>
  <si>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</si>
  <si>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</si>
  <si>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</si>
  <si>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</si>
  <si>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</si>
  <si>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</si>
  <si>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</si>
  <si>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</si>
  <si>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</si>
  <si>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</si>
  <si>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</si>
  <si>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</si>
  <si>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</si>
  <si>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</si>
  <si>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</si>
  <si>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</si>
  <si>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</si>
  <si>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</si>
  <si>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</si>
  <si>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</si>
  <si>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</si>
  <si>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</si>
  <si>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</si>
  <si>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</si>
  <si>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</si>
  <si>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</si>
  <si>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</si>
  <si>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</si>
  <si>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</si>
  <si>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</si>
  <si>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</si>
  <si>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</si>
  <si>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</si>
  <si>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</si>
  <si>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</si>
  <si>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</si>
  <si>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</si>
  <si>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</si>
  <si>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</si>
  <si>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</si>
  <si>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</si>
  <si>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</si>
  <si>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</si>
  <si>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</si>
  <si>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</si>
  <si>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</si>
  <si>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</si>
  <si>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</si>
  <si>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</si>
  <si>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</si>
  <si>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</si>
  <si>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</si>
  <si>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</si>
  <si>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</si>
  <si>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</si>
  <si>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</si>
  <si>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</si>
  <si>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</si>
  <si>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</si>
  <si>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</si>
  <si>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</si>
  <si>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</si>
  <si>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</si>
  <si>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</si>
  <si>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</si>
  <si>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</si>
  <si>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</si>
  <si>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</si>
  <si>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</si>
  <si>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</si>
  <si>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</si>
  <si>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</si>
  <si>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</si>
  <si>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</si>
  <si>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</si>
  <si>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</si>
  <si>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</si>
  <si>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</si>
  <si>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</si>
  <si>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</si>
  <si>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</si>
  <si>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</si>
  <si>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</si>
  <si>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</si>
  <si>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</si>
  <si>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</si>
  <si>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</si>
  <si>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</si>
  <si>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</si>
  <si>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</si>
  <si>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</si>
  <si>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</si>
  <si>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</si>
  <si>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</si>
  <si>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</si>
  <si>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</si>
  <si>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</si>
  <si>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</si>
  <si>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</si>
  <si>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</si>
  <si>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</si>
  <si>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</si>
  <si>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</si>
  <si>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</si>
  <si>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</si>
  <si>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</si>
  <si>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</si>
  <si>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</si>
  <si>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</si>
  <si>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</si>
  <si>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</si>
  <si>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</si>
  <si>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</si>
  <si>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</si>
  <si>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</si>
  <si>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</si>
  <si>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</si>
  <si>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</si>
  <si>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</si>
  <si>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</si>
  <si>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</si>
  <si>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</si>
  <si>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</si>
  <si>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</si>
  <si>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</si>
  <si>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</si>
  <si>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</si>
  <si>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</si>
  <si>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</si>
  <si>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</si>
  <si>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</si>
  <si>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</si>
  <si>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</si>
  <si>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</si>
  <si>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</si>
  <si>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</si>
  <si>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</si>
  <si>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</si>
  <si>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</si>
  <si>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</si>
  <si>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</si>
  <si>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</si>
  <si>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</si>
  <si>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</si>
  <si>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</si>
  <si>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</si>
  <si>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</si>
  <si>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</si>
  <si>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</si>
  <si>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</si>
  <si>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</si>
  <si>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</si>
  <si>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</si>
  <si>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</si>
  <si>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</si>
  <si>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</si>
  <si>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</si>
  <si>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</si>
  <si>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</si>
  <si>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</si>
  <si>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</si>
  <si>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</si>
  <si>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</si>
  <si>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</si>
  <si>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</si>
  <si>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</si>
  <si>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</si>
  <si>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</si>
  <si>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</si>
  <si>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</si>
  <si>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</si>
  <si>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</si>
  <si>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</si>
  <si>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</si>
  <si>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</si>
  <si>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</si>
  <si>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</si>
  <si>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</si>
  <si>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</si>
  <si>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</si>
  <si>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</si>
  <si>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</si>
  <si>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</si>
  <si>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</si>
  <si>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</si>
  <si>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</si>
  <si>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</si>
  <si>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</si>
  <si>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</si>
  <si>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</si>
  <si>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</si>
  <si>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</si>
  <si>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</si>
  <si>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</si>
  <si>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</si>
  <si>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</si>
  <si>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</si>
  <si>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</si>
  <si>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</si>
  <si>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</si>
  <si>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</si>
  <si>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</si>
  <si>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</si>
  <si>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</si>
  <si>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</si>
  <si>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</si>
  <si>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</si>
  <si>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</si>
  <si>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</si>
  <si>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</si>
  <si>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</si>
  <si>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</si>
  <si>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</si>
  <si>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</si>
  <si>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</si>
  <si>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</si>
  <si>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</si>
  <si>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</si>
  <si>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</si>
  <si>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</si>
  <si>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</si>
  <si>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</si>
  <si>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</si>
  <si>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</si>
  <si>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</si>
  <si>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</si>
  <si>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</si>
  <si>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</si>
  <si>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</si>
  <si>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</si>
  <si>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</si>
  <si>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</si>
  <si>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</si>
  <si>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</si>
  <si>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</si>
  <si>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</si>
  <si>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</si>
  <si>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</si>
  <si>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</si>
  <si>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</si>
  <si>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</si>
  <si>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</si>
  <si>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</si>
  <si>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</si>
  <si>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</si>
  <si>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</si>
  <si>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</si>
  <si>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</si>
  <si>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</si>
  <si>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</si>
  <si>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</si>
  <si>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</si>
  <si>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</si>
  <si>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</si>
  <si>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</si>
  <si>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</si>
  <si>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</si>
  <si>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</si>
  <si>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</si>
  <si>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</si>
  <si>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</si>
  <si>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</si>
  <si>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</si>
  <si>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</si>
  <si>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</si>
  <si>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</si>
  <si>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</si>
  <si>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</si>
  <si>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</si>
  <si>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</si>
  <si>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</si>
  <si>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</si>
  <si>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</si>
  <si>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</si>
  <si>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</si>
  <si>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</si>
  <si>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</si>
  <si>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</si>
  <si>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</si>
  <si>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</si>
  <si>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</si>
  <si>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</si>
  <si>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</si>
  <si>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</si>
  <si>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</si>
  <si>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</si>
  <si>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</si>
  <si>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</si>
  <si>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</si>
  <si>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</si>
  <si>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</si>
  <si>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</si>
  <si>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</si>
  <si>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</si>
  <si>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</si>
  <si>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</si>
  <si>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</si>
  <si>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</si>
  <si>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</si>
  <si>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</si>
  <si>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</si>
  <si>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</si>
  <si>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</si>
  <si>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</si>
  <si>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</si>
  <si>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</si>
  <si>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</si>
  <si>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</si>
  <si>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</si>
  <si>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</si>
  <si>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</si>
  <si>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</si>
  <si>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</si>
  <si>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</si>
  <si>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</si>
  <si>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</si>
  <si>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</si>
  <si>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</si>
  <si>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</si>
  <si>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</si>
  <si>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</si>
  <si>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</si>
  <si>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</si>
  <si>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</si>
  <si>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</si>
  <si>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</si>
  <si>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</si>
  <si>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</si>
  <si>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</si>
  <si>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</si>
  <si>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</si>
  <si>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</si>
  <si>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</si>
  <si>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</si>
  <si>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</si>
  <si>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</si>
  <si>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</si>
  <si>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</si>
  <si>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</si>
  <si>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</si>
  <si>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</si>
  <si>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</si>
  <si>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</si>
  <si>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</si>
  <si>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</si>
  <si>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</si>
  <si>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</si>
  <si>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</si>
  <si>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</si>
  <si>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</si>
  <si>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</si>
  <si>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</si>
  <si>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</si>
  <si>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</si>
  <si>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</si>
  <si>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</si>
  <si>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</si>
  <si>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</si>
  <si>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</si>
  <si>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</si>
  <si>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</si>
  <si>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</si>
  <si>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</si>
  <si>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</si>
  <si>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</si>
  <si>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</si>
  <si>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</si>
  <si>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</si>
  <si>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</si>
  <si>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</si>
  <si>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</si>
  <si>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</si>
  <si>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</si>
  <si>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</si>
  <si>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</si>
  <si>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</si>
  <si>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</si>
  <si>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</si>
  <si>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</si>
  <si>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</si>
  <si>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</si>
  <si>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</si>
  <si>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</si>
  <si>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</si>
  <si>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</si>
  <si>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</si>
  <si>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</si>
  <si>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</si>
  <si>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</si>
  <si>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</si>
  <si>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</si>
  <si>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</si>
  <si>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</si>
  <si>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</si>
  <si>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</si>
  <si>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</si>
  <si>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</si>
  <si>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</si>
  <si>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</si>
  <si>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</si>
  <si>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</si>
  <si>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</si>
  <si>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</si>
  <si>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</si>
  <si>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</si>
  <si>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</si>
  <si>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</si>
  <si>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</si>
  <si>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</si>
  <si>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</si>
  <si>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</si>
  <si>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</si>
  <si>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</si>
  <si>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</si>
  <si>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</si>
  <si>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</si>
  <si>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</si>
  <si>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</si>
  <si>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</si>
  <si>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</si>
  <si>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</si>
  <si>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</si>
  <si>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</si>
  <si>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</si>
  <si>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</si>
  <si>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</si>
  <si>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</si>
  <si>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</si>
  <si>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</si>
  <si>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</si>
  <si>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</si>
  <si>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</si>
  <si>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</si>
  <si>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</si>
  <si>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</si>
  <si>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</si>
  <si>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</si>
  <si>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</si>
  <si>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</si>
  <si>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</si>
  <si>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</si>
  <si>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</si>
  <si>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</si>
  <si>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</si>
  <si>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</si>
  <si>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</si>
  <si>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</si>
  <si>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</si>
  <si>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</si>
  <si>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</si>
  <si>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</si>
  <si>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</si>
  <si>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</si>
  <si>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</si>
  <si>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</si>
  <si>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</si>
  <si>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</si>
  <si>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</si>
  <si>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</si>
  <si>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</si>
  <si>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</si>
  <si>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</si>
  <si>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</si>
  <si>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</si>
  <si>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</si>
  <si>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</si>
  <si>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</si>
  <si>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</si>
  <si>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</si>
  <si>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</si>
  <si>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</si>
  <si>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</si>
  <si>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</si>
  <si>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</si>
  <si>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</si>
  <si>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</si>
  <si>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</si>
  <si>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</si>
  <si>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</si>
  <si>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</si>
  <si>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</si>
  <si>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</si>
  <si>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</si>
  <si>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</si>
  <si>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</si>
  <si>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</si>
  <si>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</si>
  <si>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</si>
  <si>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</si>
  <si>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</si>
  <si>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</si>
  <si>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</si>
  <si>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</si>
  <si>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</si>
  <si>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</si>
  <si>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</si>
  <si>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</si>
  <si>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</si>
  <si>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</si>
  <si>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</si>
  <si>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</si>
  <si>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</si>
  <si>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</si>
  <si>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</si>
  <si>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</si>
  <si>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</si>
  <si>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</si>
  <si>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</si>
  <si>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</si>
  <si>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</si>
  <si>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</si>
  <si>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</si>
  <si>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</si>
  <si>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</si>
  <si>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</si>
  <si>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</si>
  <si>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</si>
  <si>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</si>
  <si>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</si>
  <si>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</si>
  <si>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</si>
  <si>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</si>
  <si>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</si>
  <si>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</si>
  <si>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</si>
  <si>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</si>
  <si>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</si>
  <si>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</si>
  <si>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</si>
  <si>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</si>
  <si>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</si>
  <si>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</si>
  <si>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</si>
  <si>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</si>
  <si>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</si>
  <si>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</si>
  <si>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</si>
  <si>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</si>
  <si>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</si>
  <si>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</si>
  <si>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</si>
  <si>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</si>
  <si>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</si>
  <si>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</si>
  <si>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</si>
  <si>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</si>
  <si>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</si>
  <si>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</si>
  <si>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</si>
  <si>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</si>
  <si>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</si>
  <si>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</si>
  <si>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</si>
  <si>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</si>
  <si>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</si>
  <si>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</si>
  <si>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</si>
  <si>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</si>
  <si>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</si>
  <si>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</si>
  <si>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</si>
  <si>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</si>
  <si>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</si>
  <si>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</si>
  <si>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</si>
  <si>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</si>
  <si>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</si>
  <si>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</si>
  <si>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</si>
  <si>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</si>
  <si>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</si>
  <si>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</si>
  <si>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</si>
  <si>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</si>
  <si>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</si>
  <si>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</si>
  <si>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</si>
  <si>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</si>
  <si>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</si>
  <si>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</si>
  <si>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</si>
  <si>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</si>
  <si>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</si>
  <si>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</si>
  <si>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</si>
  <si>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</si>
  <si>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</si>
  <si>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</si>
  <si>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</si>
  <si>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</si>
  <si>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</si>
  <si>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</si>
  <si>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</si>
  <si>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</si>
  <si>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</si>
  <si>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</si>
  <si>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</si>
  <si>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</si>
  <si>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</si>
  <si>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</si>
  <si>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</si>
  <si>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</si>
  <si>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</si>
  <si>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</si>
  <si>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</si>
  <si>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</si>
  <si>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</si>
  <si>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</si>
  <si>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</si>
  <si>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</si>
  <si>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</si>
  <si>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</si>
  <si>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</si>
  <si>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</si>
  <si>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</si>
  <si>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</si>
  <si>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</si>
  <si>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</si>
  <si>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</si>
  <si>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</si>
  <si>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</si>
  <si>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</si>
  <si>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</si>
  <si>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</si>
  <si>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</si>
  <si>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</si>
  <si>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</si>
  <si>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</si>
  <si>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</si>
  <si>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</si>
  <si>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</si>
  <si>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</si>
  <si>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</si>
  <si>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</si>
  <si>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</si>
  <si>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</si>
  <si>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</si>
  <si>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</si>
  <si>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</si>
  <si>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</si>
  <si>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</si>
  <si>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</si>
  <si>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</si>
  <si>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</si>
  <si>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</si>
  <si>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</si>
  <si>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</si>
  <si>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</si>
  <si>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</si>
  <si>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</si>
  <si>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</si>
  <si>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</si>
  <si>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</si>
  <si>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</si>
  <si>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</si>
  <si>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</si>
  <si>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</si>
  <si>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</si>
  <si>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</si>
  <si>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</si>
  <si>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</si>
  <si>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</si>
  <si>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</si>
  <si>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</si>
  <si>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</si>
  <si>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</si>
  <si>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</si>
  <si>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</si>
  <si>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</si>
  <si>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</si>
  <si>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</si>
  <si>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</si>
  <si>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</si>
  <si>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</si>
  <si>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</si>
  <si>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</si>
  <si>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</si>
  <si>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</si>
  <si>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</si>
  <si>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</si>
  <si>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</si>
  <si>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</si>
  <si>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</si>
  <si>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</si>
  <si>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</si>
  <si>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</si>
  <si>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</si>
  <si>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</si>
  <si>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</si>
  <si>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</si>
  <si>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</si>
  <si>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</si>
  <si>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</si>
  <si>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</si>
  <si>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</si>
  <si>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</si>
  <si>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</si>
  <si>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</si>
  <si>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</si>
  <si>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</si>
  <si>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</si>
  <si>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</si>
  <si>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</si>
  <si>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房号</t>
  </si>
  <si>
    <t>面积</t>
  </si>
  <si>
    <t>单价</t>
    <phoneticPr fontId="107" type="noConversion"/>
  </si>
  <si>
    <t>总价</t>
    <phoneticPr fontId="107" type="noConversion"/>
  </si>
  <si>
    <t>收费标准</t>
    <phoneticPr fontId="107" type="noConversion"/>
  </si>
  <si>
    <t>收费金额（元）</t>
    <phoneticPr fontId="107" type="noConversion"/>
  </si>
  <si>
    <t>合计</t>
    <phoneticPr fontId="3" type="noConversion"/>
  </si>
  <si>
    <t>砖混</t>
  </si>
  <si>
    <t>设定容积率</t>
  </si>
  <si>
    <t>地上</t>
  </si>
  <si>
    <t>七通一平</t>
  </si>
  <si>
    <t>单价</t>
    <phoneticPr fontId="107" type="noConversion"/>
  </si>
  <si>
    <t>总价</t>
    <phoneticPr fontId="107" type="noConversion"/>
  </si>
  <si>
    <t>住宅/居住</t>
  </si>
  <si>
    <t>扣毛地价</t>
  </si>
  <si>
    <t>市区</t>
  </si>
  <si>
    <t>四环路内</t>
  </si>
  <si>
    <t>2003-1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</si>
</sst>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43" fontId="155" fillId="0" borderId="0" applyFont="0" applyFill="0" applyBorder="0" applyAlignment="0" applyProtection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>
      <alignment vertical="center"/>
    </xf>
    <xf numFmtId="0" fontId="155" fillId="0" borderId="1" xfId="10" applyFill="1" applyBorder="1" applyAlignment="1">
      <alignment horizontal="center" vertical="center"/>
    </xf>
    <xf numFmtId="0" fontId="155" fillId="0" borderId="1" xfId="10" applyFill="1" applyBorder="1"/>
    <xf numFmtId="43" fontId="0" fillId="0" borderId="1" xfId="17" applyFont="1" applyBorder="1" applyAlignment="1"/>
    <xf numFmtId="0" fontId="155" fillId="0" borderId="0" xfId="10"/>
    <xf numFmtId="177" fontId="155" fillId="0" borderId="1" xfId="10" applyNumberFormat="1" applyBorder="1"/>
    <xf numFmtId="0" fontId="39" fillId="0" borderId="1" xfId="10" applyFont="1" applyFill="1" applyBorder="1" applyAlignment="1">
      <alignment vertical="center"/>
    </xf>
    <xf numFmtId="43" fontId="155" fillId="0" borderId="1" xfId="17" applyFill="1" applyBorder="1">
      <alignment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</cellXfs>
  <cellStyles count="18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千位分隔 2" xfId="17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70" t="s">
        <v>168</v>
      </c>
      <c r="B15" s="649" t="s">
        <v>250</v>
      </c>
    </row>
    <row r="16" spans="1:7" ht="13.5">
      <c r="A16" s="1771"/>
      <c r="B16" s="650" t="s">
        <v>169</v>
      </c>
    </row>
    <row r="17" spans="1:2" ht="13.5">
      <c r="A17" s="180" t="s">
        <v>170</v>
      </c>
      <c r="B17" s="651"/>
    </row>
    <row r="18" spans="1:2" ht="13.5">
      <c r="A18" s="1769" t="s">
        <v>171</v>
      </c>
      <c r="B18" s="649" t="s">
        <v>1387</v>
      </c>
    </row>
    <row r="19" spans="1:2" ht="13.5">
      <c r="A19" s="1769"/>
      <c r="B19" s="649" t="s">
        <v>1388</v>
      </c>
    </row>
    <row r="20" spans="1:2" ht="13.5">
      <c r="A20" s="1769"/>
      <c r="B20" s="649" t="s">
        <v>1389</v>
      </c>
    </row>
    <row r="21" spans="1:2" ht="13.5">
      <c r="A21" s="1769"/>
      <c r="B21" s="499" t="s">
        <v>172</v>
      </c>
    </row>
    <row r="22" spans="1:2" ht="13.5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9"/>
      <c r="B19" s="181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9"/>
      <c r="B20" s="181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9"/>
      <c r="B21" s="181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9"/>
      <c r="B22" s="181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9"/>
      <c r="B24" s="181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9"/>
      <c r="B25" s="181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9"/>
      <c r="B26" s="181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9"/>
      <c r="B27" s="181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9"/>
      <c r="B28" s="181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9"/>
      <c r="B29" s="181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9"/>
      <c r="B30" s="181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9"/>
      <c r="B31" s="181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9"/>
      <c r="B32" s="181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9"/>
      <c r="B36" s="181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9"/>
      <c r="B37" s="181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9"/>
      <c r="B38" s="181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9"/>
      <c r="B39" s="181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1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1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1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1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1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1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1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1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1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1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1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1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1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1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1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1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1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1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1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1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1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1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1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1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1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1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1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1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28" sqref="F28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1</v>
      </c>
      <c r="I1" s="709" t="s">
        <v>1341</v>
      </c>
      <c r="J1" s="509">
        <f>主表!B6</f>
        <v>0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住宅/居住</v>
      </c>
      <c r="F2" s="716" t="s">
        <v>686</v>
      </c>
      <c r="G2" s="718" t="str">
        <f>主表!B10</f>
        <v>三级</v>
      </c>
      <c r="H2" s="717" t="s">
        <v>1351</v>
      </c>
      <c r="I2" s="1316" t="s">
        <v>1793</v>
      </c>
      <c r="J2" s="719"/>
      <c r="AE2" s="714"/>
      <c r="AF2" s="714"/>
    </row>
    <row r="3" spans="1:36" ht="15.75">
      <c r="A3" s="670" t="s">
        <v>913</v>
      </c>
      <c r="B3" s="1403">
        <f>C18</f>
        <v>3730</v>
      </c>
      <c r="C3" s="715" t="s">
        <v>914</v>
      </c>
      <c r="D3" s="716" t="s">
        <v>253</v>
      </c>
      <c r="E3" s="720"/>
      <c r="F3" s="1464" t="s">
        <v>1792</v>
      </c>
      <c r="G3" s="238">
        <f>IF(F3="容积率",主表!B8,主表!B9)</f>
        <v>2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943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377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3660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(550+1300)/2</f>
        <v>925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1.0192000000000001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37622</v>
      </c>
      <c r="I9" s="1603">
        <f>ROUND(SUMPRODUCT((地价!A29:A79=YEAR(H9)&amp;"-"&amp;ROUNDUP(MONTH(H9)/3,0))*(地价!B3:F3=E2)*(地价!B29:F79)),0)</f>
        <v>106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1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70</v>
      </c>
      <c r="H10" s="1608">
        <f>IF(E2="住宅/居住",70,IF(E2="商业",40,50))</f>
        <v>70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1</v>
      </c>
      <c r="D11" s="1492" t="s">
        <v>1799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1</v>
      </c>
      <c r="E12" s="1483">
        <f>ROUNDDOWN(G3,1)</f>
        <v>2</v>
      </c>
      <c r="F12" s="1484">
        <f>IF(G3&lt;=10,SUMPRODUCT(('2002容积率修正'!A3:A102=E12)*('2002容积率修正'!B2:D2=E2)*('2002容积率修正'!B3:D102)),"——")</f>
        <v>1</v>
      </c>
      <c r="G12" s="1482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1</v>
      </c>
      <c r="E13" s="1483">
        <f>ROUNDDOWN(G3,1)</f>
        <v>2</v>
      </c>
      <c r="F13" s="1484">
        <f>IF(G3&lt;=10,SUMPRODUCT(('2002容积率修正'!A3:A102=E13)*('2002容积率修正'!E2:G2=E2)*('2002容积率修正'!E3:G102)),"——")</f>
        <v>0.85</v>
      </c>
      <c r="G13" s="1482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1794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9" t="s">
        <v>1338</v>
      </c>
      <c r="B18" s="763" t="s">
        <v>1325</v>
      </c>
      <c r="C18" s="629">
        <f>ROUND(C7*C9*C10*C11*C15*C16,0)</f>
        <v>3730</v>
      </c>
      <c r="D18" s="630">
        <f>H1</f>
        <v>1</v>
      </c>
      <c r="E18" s="631">
        <f>ROUND(C18*D18,0)</f>
        <v>3730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30"/>
      <c r="B19" s="768" t="s">
        <v>1328</v>
      </c>
      <c r="C19" s="621">
        <f>ROUND(C7*C9*C10*C11*C15*C16*G3,0)</f>
        <v>7461</v>
      </c>
      <c r="D19" s="630">
        <f>J1</f>
        <v>0</v>
      </c>
      <c r="E19" s="631">
        <f>ROUND(C19*D19,0)</f>
        <v>0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31" t="s">
        <v>1339</v>
      </c>
      <c r="B20" s="750" t="s">
        <v>1326</v>
      </c>
      <c r="C20" s="635">
        <f>ROUND(IF(G3&gt;=I3,C8*C9*C10*C15,C8*C9*C10*C15*G3),0)</f>
        <v>943</v>
      </c>
      <c r="D20" s="636">
        <f>H1</f>
        <v>1</v>
      </c>
      <c r="E20" s="637">
        <f>ROUND(C20*D20,0)</f>
        <v>943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31"/>
      <c r="B21" s="773" t="s">
        <v>1327</v>
      </c>
      <c r="C21" s="638">
        <f>ROUND(IF(G3&lt;I3,C8*C9*C10*C15,C8*C9*C10*C15*G3),0)</f>
        <v>1886</v>
      </c>
      <c r="D21" s="639">
        <f>J1</f>
        <v>0</v>
      </c>
      <c r="E21" s="640">
        <f t="shared" ref="E21" si="0">ROUND(C21*D21,0)</f>
        <v>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377</v>
      </c>
      <c r="D22" s="778" t="s">
        <v>1800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5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1801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1.0200000000000001E-2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1.12E-2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1.12E-2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5.4000000000000003E-3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5.0000000000000001E-3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2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0.97419999999999995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0.81740000000000002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0.95140000000000002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0.97419999999999995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0.70750000000000002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5" t="s">
        <v>1309</v>
      </c>
      <c r="B1" s="1832" t="s">
        <v>1310</v>
      </c>
      <c r="C1" s="1833"/>
      <c r="D1" s="1834"/>
      <c r="E1" s="1832" t="s">
        <v>1311</v>
      </c>
      <c r="F1" s="1833"/>
      <c r="G1" s="1834"/>
    </row>
    <row r="2" spans="1:7">
      <c r="A2" s="1836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40" t="s">
        <v>1424</v>
      </c>
      <c r="E2" s="1844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 t="e">
        <f ca="1">IF(C1="求取熟地价",C27,ROUND((C15*B11+C18)*C22/B11,0))</f>
        <v>#DIV/0!</v>
      </c>
      <c r="C3" s="951" t="s">
        <v>914</v>
      </c>
      <c r="D3" s="1841"/>
      <c r="E3" s="1845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41"/>
      <c r="E4" s="1845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住宅/居住</v>
      </c>
      <c r="C5" s="705"/>
      <c r="D5" s="1842"/>
      <c r="E5" s="1846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40" t="s">
        <v>1425</v>
      </c>
      <c r="E6" s="1844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三类</v>
      </c>
      <c r="C7" s="705"/>
      <c r="D7" s="1841"/>
      <c r="E7" s="1845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42"/>
      <c r="E8" s="1846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1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0</v>
      </c>
      <c r="C10" s="705"/>
      <c r="D10" s="1840" t="s">
        <v>1403</v>
      </c>
      <c r="E10" s="1844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 t="e">
        <f>IF(A11="容积率",主表!B8,主表!B9)</f>
        <v>#DIV/0!</v>
      </c>
      <c r="C11" s="705"/>
      <c r="D11" s="1843"/>
      <c r="E11" s="1847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 t="e">
        <f>IF(B11&lt;1,1,SUMIF(B55:K55,ROUNDDOWN(B11,0),B56:K56)+(SUMIF(B55:K55,ROUNDUP(B11,0),B56:K56)-SUMIF(B55:K55,ROUNDDOWN(B11,0),B56:K56))*(B11-ROUNDDOWN(B11,0)))</f>
        <v>#DIV/0!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1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70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70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9" t="s">
        <v>1338</v>
      </c>
      <c r="B27" s="763" t="s">
        <v>1325</v>
      </c>
      <c r="C27" s="621" t="e">
        <f>ROUND(C28/B11,0)</f>
        <v>#DIV/0!</v>
      </c>
      <c r="D27" s="630">
        <f>B9</f>
        <v>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30"/>
      <c r="B28" s="768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31" t="s">
        <v>1451</v>
      </c>
      <c r="B29" s="750" t="s">
        <v>1452</v>
      </c>
      <c r="C29" s="635" t="e">
        <f>ROUND(C30/B11,0)</f>
        <v>#DIV/0!</v>
      </c>
      <c r="D29" s="636">
        <f>B9</f>
        <v>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50"/>
      <c r="B30" s="954" t="s">
        <v>1453</v>
      </c>
      <c r="C30" s="626">
        <f>IF(主表!B4&lt;DATE(2002,12,10),ROUND(C14*C21*C22+C15*B11,0),0)</f>
        <v>0</v>
      </c>
      <c r="D30" s="678">
        <f>B10</f>
        <v>0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8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9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9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9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9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9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9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9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7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8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8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8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8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9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8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8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8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9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74" t="s">
        <v>91</v>
      </c>
      <c r="D4" s="1875"/>
      <c r="E4" s="1876" t="s">
        <v>92</v>
      </c>
      <c r="F4" s="1877"/>
      <c r="G4" s="1874" t="s">
        <v>93</v>
      </c>
      <c r="H4" s="1875"/>
      <c r="I4" s="1874" t="s">
        <v>94</v>
      </c>
      <c r="J4" s="1875"/>
      <c r="K4" s="142" t="s">
        <v>95</v>
      </c>
      <c r="L4" s="448"/>
      <c r="M4" s="449"/>
      <c r="N4" s="449"/>
      <c r="O4" s="449"/>
      <c r="P4" s="1878" t="s">
        <v>96</v>
      </c>
      <c r="Q4" s="1879"/>
      <c r="R4" s="1861" t="s">
        <v>92</v>
      </c>
      <c r="S4" s="1862"/>
      <c r="T4" s="1861" t="s">
        <v>93</v>
      </c>
      <c r="U4" s="1862"/>
      <c r="V4" s="1858" t="s">
        <v>94</v>
      </c>
      <c r="W4" s="1858"/>
      <c r="X4" s="201"/>
      <c r="Y4" s="1861" t="s">
        <v>96</v>
      </c>
      <c r="Z4" s="1862"/>
      <c r="AA4" s="1871" t="s">
        <v>92</v>
      </c>
      <c r="AB4" s="1872" t="s">
        <v>93</v>
      </c>
      <c r="AC4" s="1871" t="s">
        <v>94</v>
      </c>
    </row>
    <row r="5" spans="1:30" ht="15">
      <c r="A5" s="41"/>
      <c r="B5" s="42"/>
      <c r="C5" s="1886" t="s">
        <v>227</v>
      </c>
      <c r="D5" s="1887"/>
      <c r="E5" s="1884" t="s">
        <v>228</v>
      </c>
      <c r="F5" s="1885"/>
      <c r="G5" s="1886" t="s">
        <v>231</v>
      </c>
      <c r="H5" s="1887"/>
      <c r="I5" s="1886" t="s">
        <v>229</v>
      </c>
      <c r="J5" s="1887"/>
      <c r="K5" s="142"/>
      <c r="L5" s="448"/>
      <c r="M5" s="449"/>
      <c r="N5" s="449"/>
      <c r="O5" s="449"/>
      <c r="P5" s="1880"/>
      <c r="Q5" s="1881"/>
      <c r="R5" s="1863"/>
      <c r="S5" s="1864"/>
      <c r="T5" s="1863"/>
      <c r="U5" s="1864"/>
      <c r="V5" s="1858"/>
      <c r="W5" s="1858"/>
      <c r="X5" s="201"/>
      <c r="Y5" s="1863"/>
      <c r="Z5" s="1864"/>
      <c r="AA5" s="1872"/>
      <c r="AB5" s="1872"/>
      <c r="AC5" s="1872"/>
    </row>
    <row r="6" spans="1:30" ht="15.75" thickBot="1">
      <c r="A6" s="43"/>
      <c r="B6" s="44"/>
      <c r="C6" s="1888" t="s">
        <v>230</v>
      </c>
      <c r="D6" s="1889"/>
      <c r="E6" s="1890" t="s">
        <v>230</v>
      </c>
      <c r="F6" s="1891"/>
      <c r="G6" s="1888" t="s">
        <v>230</v>
      </c>
      <c r="H6" s="1889"/>
      <c r="I6" s="1888" t="s">
        <v>230</v>
      </c>
      <c r="J6" s="1889"/>
      <c r="K6" s="142" t="s">
        <v>97</v>
      </c>
      <c r="L6" s="448"/>
      <c r="M6" s="449"/>
      <c r="N6" s="449"/>
      <c r="O6" s="449"/>
      <c r="P6" s="1882"/>
      <c r="Q6" s="1883"/>
      <c r="R6" s="1863"/>
      <c r="S6" s="1864"/>
      <c r="T6" s="1865"/>
      <c r="U6" s="1866"/>
      <c r="V6" s="1858"/>
      <c r="W6" s="1858"/>
      <c r="X6" s="201"/>
      <c r="Y6" s="1865"/>
      <c r="Z6" s="1866"/>
      <c r="AA6" s="1873"/>
      <c r="AB6" s="1873"/>
      <c r="AC6" s="1873"/>
    </row>
    <row r="7" spans="1:30" s="22" customFormat="1" ht="15.75" thickBot="1">
      <c r="A7" s="45" t="s">
        <v>98</v>
      </c>
      <c r="B7" s="46"/>
      <c r="C7" s="1349">
        <f>主表!B4</f>
        <v>37622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9" t="s">
        <v>99</v>
      </c>
      <c r="Q7" s="186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9" t="s">
        <v>99</v>
      </c>
      <c r="Z7" s="186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9" t="s">
        <v>125</v>
      </c>
      <c r="Q8" s="186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9" t="s">
        <v>125</v>
      </c>
      <c r="Z8" s="186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5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三级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5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5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69"/>
      <c r="Q16" s="206"/>
      <c r="R16" s="207"/>
      <c r="S16" s="208"/>
      <c r="T16" s="207"/>
      <c r="U16" s="208"/>
      <c r="V16" s="207"/>
      <c r="W16" s="208"/>
      <c r="X16" s="201"/>
      <c r="Y16" s="1869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69"/>
      <c r="Q18" s="206"/>
      <c r="R18" s="207"/>
      <c r="S18" s="208"/>
      <c r="T18" s="207"/>
      <c r="U18" s="208"/>
      <c r="V18" s="207"/>
      <c r="W18" s="208"/>
      <c r="X18" s="201"/>
      <c r="Y18" s="1869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69"/>
      <c r="Q20" s="206"/>
      <c r="R20" s="207"/>
      <c r="S20" s="208"/>
      <c r="T20" s="207"/>
      <c r="U20" s="208"/>
      <c r="V20" s="207"/>
      <c r="W20" s="208"/>
      <c r="X20" s="201"/>
      <c r="Y20" s="1869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69"/>
      <c r="Q22" s="206"/>
      <c r="R22" s="207"/>
      <c r="S22" s="208"/>
      <c r="T22" s="207"/>
      <c r="U22" s="208"/>
      <c r="V22" s="207"/>
      <c r="W22" s="208"/>
      <c r="X22" s="201"/>
      <c r="Y22" s="186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69"/>
      <c r="Q24" s="235"/>
      <c r="R24" s="207"/>
      <c r="S24" s="208"/>
      <c r="T24" s="207"/>
      <c r="U24" s="208"/>
      <c r="V24" s="207"/>
      <c r="W24" s="208"/>
      <c r="X24" s="234"/>
      <c r="Y24" s="1869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69"/>
      <c r="Q26" s="206"/>
      <c r="R26" s="207"/>
      <c r="S26" s="208"/>
      <c r="T26" s="207"/>
      <c r="U26" s="208"/>
      <c r="V26" s="207"/>
      <c r="W26" s="208"/>
      <c r="X26" s="201"/>
      <c r="Y26" s="186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69"/>
      <c r="Q28" s="18"/>
      <c r="R28" s="202"/>
      <c r="S28" s="203"/>
      <c r="T28" s="202"/>
      <c r="U28" s="203"/>
      <c r="V28" s="202"/>
      <c r="W28" s="203"/>
      <c r="X28" s="204"/>
      <c r="Y28" s="1869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69"/>
      <c r="Q30" s="497"/>
      <c r="R30" s="202"/>
      <c r="S30" s="203"/>
      <c r="T30" s="202"/>
      <c r="U30" s="203"/>
      <c r="V30" s="202"/>
      <c r="W30" s="203"/>
      <c r="X30" s="204"/>
      <c r="Y30" s="186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69"/>
      <c r="Q33" s="206"/>
      <c r="R33" s="207"/>
      <c r="S33" s="208"/>
      <c r="T33" s="207"/>
      <c r="U33" s="208"/>
      <c r="V33" s="207"/>
      <c r="W33" s="208"/>
      <c r="X33" s="201"/>
      <c r="Y33" s="186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6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6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5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5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1" t="str">
        <f>A46</f>
        <v>成交单价</v>
      </c>
      <c r="Q46" s="1851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1" t="str">
        <f>A47</f>
        <v>比较价值（元/平方米）</v>
      </c>
      <c r="Q47" s="1851"/>
      <c r="R47" s="1852" t="e">
        <f>ROUND(PRODUCT(R46,AA7:AA45),0)</f>
        <v>#DIV/0!</v>
      </c>
      <c r="S47" s="1852"/>
      <c r="T47" s="1852" t="e">
        <f>ROUND(PRODUCT(T46,AB7:AB45),0)</f>
        <v>#DIV/0!</v>
      </c>
      <c r="U47" s="1852"/>
      <c r="V47" s="1852" t="e">
        <f>ROUND(PRODUCT(V46,AC7:AC45),0)</f>
        <v>#DIV/0!</v>
      </c>
      <c r="W47" s="1852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3" t="str">
        <f>A48</f>
        <v>估价对象比较价值（单价内涵，元/平方米）</v>
      </c>
      <c r="Q48" s="1854"/>
      <c r="R48" s="1855" t="e">
        <f>ROUND(AVERAGE(R47:V47),0)</f>
        <v>#DIV/0!</v>
      </c>
      <c r="S48" s="1855"/>
      <c r="T48" s="1855"/>
      <c r="U48" s="1855"/>
      <c r="V48" s="1855"/>
      <c r="W48" s="185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2003-1-1</v>
      </c>
      <c r="D56" s="1648">
        <f>EDATE(C56,-3)</f>
        <v>37530</v>
      </c>
      <c r="E56" s="1648">
        <f t="shared" ref="E56:O56" si="15">EDATE(D56,-3)</f>
        <v>37438</v>
      </c>
      <c r="F56" s="1648">
        <f t="shared" si="15"/>
        <v>37347</v>
      </c>
      <c r="G56" s="1648">
        <f t="shared" si="15"/>
        <v>37257</v>
      </c>
      <c r="H56" s="1648">
        <f t="shared" si="15"/>
        <v>37165</v>
      </c>
      <c r="I56" s="1648">
        <f t="shared" si="15"/>
        <v>37073</v>
      </c>
      <c r="J56" s="1648">
        <f t="shared" si="15"/>
        <v>36982</v>
      </c>
      <c r="K56" s="1648">
        <f t="shared" si="15"/>
        <v>36892</v>
      </c>
      <c r="L56" s="1648">
        <f t="shared" si="15"/>
        <v>36800</v>
      </c>
      <c r="M56" s="1648">
        <f t="shared" si="15"/>
        <v>36708</v>
      </c>
      <c r="N56" s="1648">
        <f t="shared" si="15"/>
        <v>36617</v>
      </c>
      <c r="O56" s="1648">
        <f t="shared" si="15"/>
        <v>36526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2003-1</v>
      </c>
      <c r="D58" s="1647" t="str">
        <f t="shared" ref="D58:O58" si="16">YEAR(D56)&amp;"-"&amp;ROUNDUP(MONTH(D56)/3,0)</f>
        <v>2002-4</v>
      </c>
      <c r="E58" s="1647" t="str">
        <f t="shared" si="16"/>
        <v>2002-3</v>
      </c>
      <c r="F58" s="1647" t="str">
        <f t="shared" si="16"/>
        <v>2002-2</v>
      </c>
      <c r="G58" s="1647" t="str">
        <f t="shared" si="16"/>
        <v>2002-1</v>
      </c>
      <c r="H58" s="1647" t="str">
        <f t="shared" si="16"/>
        <v>2001-4</v>
      </c>
      <c r="I58" s="1647" t="str">
        <f t="shared" si="16"/>
        <v>2001-3</v>
      </c>
      <c r="J58" s="1647" t="str">
        <f t="shared" si="16"/>
        <v>2001-2</v>
      </c>
      <c r="K58" s="1647" t="str">
        <f t="shared" si="16"/>
        <v>2001-1</v>
      </c>
      <c r="L58" s="1647" t="str">
        <f t="shared" si="16"/>
        <v>2000-4</v>
      </c>
      <c r="M58" s="1647" t="str">
        <f t="shared" si="16"/>
        <v>2000-3</v>
      </c>
      <c r="N58" s="1647" t="str">
        <f t="shared" si="16"/>
        <v>2000-2</v>
      </c>
      <c r="O58" s="1647" t="str">
        <f t="shared" si="16"/>
        <v>2000-1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43983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37622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900" t="s">
        <v>1637</v>
      </c>
      <c r="H2" s="1900"/>
      <c r="I2" s="1900"/>
      <c r="J2" s="1900"/>
      <c r="K2" s="1900"/>
      <c r="L2" s="1900"/>
      <c r="N2" s="1895" t="s">
        <v>1638</v>
      </c>
      <c r="O2" s="1895"/>
      <c r="P2" s="1895"/>
      <c r="Q2" s="1895"/>
      <c r="R2" s="1650"/>
      <c r="S2" s="1895" t="s">
        <v>1639</v>
      </c>
      <c r="T2" s="1895"/>
      <c r="U2" s="1895"/>
      <c r="V2" s="1895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93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93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93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901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96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93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93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901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96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93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93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94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92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93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93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94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92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93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93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94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97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8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8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9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92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93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93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94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92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93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93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94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92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93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93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94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92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93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93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94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92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93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93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94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92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93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93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94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92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93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93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94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92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93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93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94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92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93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93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94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92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93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93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94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92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93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93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94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  <mergeCell ref="G72:G75"/>
    <mergeCell ref="G76:G79"/>
    <mergeCell ref="G48:G51"/>
    <mergeCell ref="G52:G55"/>
    <mergeCell ref="G56:G59"/>
    <mergeCell ref="G60:G63"/>
    <mergeCell ref="G64:G67"/>
    <mergeCell ref="G68:G7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44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5</v>
      </c>
      <c r="N1" s="1414" t="s">
        <v>1633</v>
      </c>
      <c r="O1" s="1428" t="str">
        <f>'2002基准地价'!C25</f>
        <v>2003-1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1.0200000000000001E-2</v>
      </c>
      <c r="M2" s="28">
        <f>ROUND(SUMIF($A$17:$A$67,$O$1,M17:M67),4)</f>
        <v>1.12E-2</v>
      </c>
      <c r="N2" s="28">
        <f>ROUND(SUMIF($A$17:$A$67,$O$1,N17:N67),4)</f>
        <v>1.12E-2</v>
      </c>
      <c r="O2" s="28">
        <f>ROUND(SUMIF($A$17:$A$67,$O$1,O17:O67),4)</f>
        <v>5.4000000000000003E-3</v>
      </c>
      <c r="P2" s="28">
        <f>ROUND(SUMIF($A$17:$A$67,$O$1,P17:P67),4)</f>
        <v>5.0000000000000001E-3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:I12"/>
    </sheetView>
  </sheetViews>
  <sheetFormatPr defaultColWidth="8.875" defaultRowHeight="13.5"/>
  <cols>
    <col min="1" max="1" width="8.875" style="1765"/>
    <col min="2" max="2" width="12.625" style="1765" bestFit="1" customWidth="1"/>
    <col min="3" max="3" width="8.875" style="1765"/>
    <col min="4" max="4" width="18.375" style="1765" bestFit="1" customWidth="1"/>
    <col min="5" max="5" width="15.875" style="1765" customWidth="1"/>
    <col min="6" max="6" width="14.375" style="1765" customWidth="1"/>
    <col min="7" max="16384" width="8.875" style="1765"/>
  </cols>
  <sheetData>
    <row r="1" spans="1:9">
      <c r="A1" s="1761" t="s">
        <v>1784</v>
      </c>
      <c r="B1" s="1762" t="s">
        <v>1785</v>
      </c>
      <c r="C1" s="1763" t="s">
        <v>1786</v>
      </c>
      <c r="D1" s="1763" t="s">
        <v>1787</v>
      </c>
      <c r="E1" s="1763" t="s">
        <v>1788</v>
      </c>
      <c r="F1" s="1764" t="s">
        <v>1789</v>
      </c>
      <c r="H1" s="1765" t="s">
        <v>1795</v>
      </c>
      <c r="I1" s="1765" t="s">
        <v>1796</v>
      </c>
    </row>
    <row r="2" spans="1:9">
      <c r="A2" s="1761">
        <v>101</v>
      </c>
      <c r="B2" s="1761">
        <v>275.31</v>
      </c>
      <c r="C2" s="1763">
        <v>45170.94</v>
      </c>
      <c r="D2" s="1763">
        <v>12436011</v>
      </c>
      <c r="E2" s="1763">
        <v>6473</v>
      </c>
      <c r="F2" s="1766"/>
      <c r="H2" s="1765">
        <f ca="1">主表!F35</f>
        <v>5863</v>
      </c>
      <c r="I2" s="1765">
        <f ca="1">$H$2*B2</f>
        <v>1614142.53</v>
      </c>
    </row>
    <row r="3" spans="1:9">
      <c r="A3" s="1761">
        <v>102</v>
      </c>
      <c r="B3" s="1761">
        <v>1528.05</v>
      </c>
      <c r="C3" s="1763">
        <v>43470.01</v>
      </c>
      <c r="D3" s="1763">
        <v>66424349</v>
      </c>
      <c r="E3" s="1763">
        <v>24550</v>
      </c>
      <c r="F3" s="1766"/>
      <c r="I3" s="1765">
        <f t="shared" ref="I3:I12" ca="1" si="0">$H$2*B3</f>
        <v>8958957.1500000004</v>
      </c>
    </row>
    <row r="4" spans="1:9">
      <c r="A4" s="1761">
        <v>104</v>
      </c>
      <c r="B4" s="1761">
        <v>205.17</v>
      </c>
      <c r="C4" s="1763">
        <v>45170.879999999997</v>
      </c>
      <c r="D4" s="1763">
        <v>9267709</v>
      </c>
      <c r="E4" s="1763">
        <v>5461</v>
      </c>
      <c r="F4" s="1766"/>
      <c r="I4" s="1765">
        <f t="shared" ca="1" si="0"/>
        <v>1202911.71</v>
      </c>
    </row>
    <row r="5" spans="1:9">
      <c r="A5" s="1761">
        <v>105</v>
      </c>
      <c r="B5" s="1761">
        <v>112.77</v>
      </c>
      <c r="C5" s="1763">
        <v>45170.95</v>
      </c>
      <c r="D5" s="1763">
        <v>5093928</v>
      </c>
      <c r="E5" s="1763">
        <v>18773</v>
      </c>
      <c r="F5" s="1766"/>
      <c r="I5" s="1765">
        <f t="shared" ca="1" si="0"/>
        <v>661170.51</v>
      </c>
    </row>
    <row r="6" spans="1:9">
      <c r="A6" s="1761">
        <v>108</v>
      </c>
      <c r="B6" s="1761">
        <v>94.19</v>
      </c>
      <c r="C6" s="1763">
        <v>45171.19</v>
      </c>
      <c r="D6" s="1763">
        <v>4254674</v>
      </c>
      <c r="E6" s="1763">
        <v>3250</v>
      </c>
      <c r="F6" s="1766"/>
      <c r="I6" s="1765">
        <f t="shared" ca="1" si="0"/>
        <v>552235.97</v>
      </c>
    </row>
    <row r="7" spans="1:9">
      <c r="A7" s="1761">
        <v>109</v>
      </c>
      <c r="B7" s="1761">
        <v>91.97</v>
      </c>
      <c r="C7" s="1763">
        <v>45171.35</v>
      </c>
      <c r="D7" s="1763">
        <v>4154409</v>
      </c>
      <c r="E7" s="1763">
        <v>2650</v>
      </c>
      <c r="F7" s="1766"/>
      <c r="I7" s="1765">
        <f t="shared" ca="1" si="0"/>
        <v>539220.11</v>
      </c>
    </row>
    <row r="8" spans="1:9">
      <c r="A8" s="1761">
        <v>110</v>
      </c>
      <c r="B8" s="1761">
        <v>109.48</v>
      </c>
      <c r="C8" s="1763">
        <v>45170.62</v>
      </c>
      <c r="D8" s="1763">
        <v>4945279</v>
      </c>
      <c r="E8" s="1763">
        <v>3150</v>
      </c>
      <c r="F8" s="1766"/>
      <c r="I8" s="1765">
        <f t="shared" ca="1" si="0"/>
        <v>641881.24</v>
      </c>
    </row>
    <row r="9" spans="1:9">
      <c r="A9" s="1761">
        <v>201</v>
      </c>
      <c r="B9" s="1761">
        <v>1109.53</v>
      </c>
      <c r="C9" s="1763">
        <v>30429.03</v>
      </c>
      <c r="D9" s="1763">
        <v>33761922</v>
      </c>
      <c r="E9" s="1763">
        <v>18500</v>
      </c>
      <c r="F9" s="1766"/>
      <c r="I9" s="1765">
        <f t="shared" ca="1" si="0"/>
        <v>6505174.3899999997</v>
      </c>
    </row>
    <row r="10" spans="1:9">
      <c r="A10" s="1761">
        <v>202</v>
      </c>
      <c r="B10" s="1761">
        <v>3668.38</v>
      </c>
      <c r="C10" s="1763">
        <v>29295.01</v>
      </c>
      <c r="D10" s="1763">
        <v>107465229</v>
      </c>
      <c r="E10" s="1763">
        <v>43436</v>
      </c>
      <c r="F10" s="1766"/>
      <c r="I10" s="1765">
        <f t="shared" ca="1" si="0"/>
        <v>21507711.940000001</v>
      </c>
    </row>
    <row r="11" spans="1:9">
      <c r="A11" s="1761">
        <v>301</v>
      </c>
      <c r="B11" s="1761">
        <v>1392.23</v>
      </c>
      <c r="C11" s="1763">
        <v>26081.97</v>
      </c>
      <c r="D11" s="1763">
        <v>36312101</v>
      </c>
      <c r="E11" s="1763">
        <v>22575</v>
      </c>
      <c r="F11" s="1766"/>
      <c r="I11" s="1765">
        <f t="shared" ca="1" si="0"/>
        <v>8162644.4900000002</v>
      </c>
    </row>
    <row r="12" spans="1:9">
      <c r="A12" s="1761">
        <v>302</v>
      </c>
      <c r="B12" s="1761">
        <v>3668.19</v>
      </c>
      <c r="C12" s="1763">
        <v>25137.01</v>
      </c>
      <c r="D12" s="1763">
        <v>92207329</v>
      </c>
      <c r="E12" s="1763">
        <v>43436</v>
      </c>
      <c r="F12" s="1766"/>
      <c r="I12" s="1765">
        <f t="shared" ca="1" si="0"/>
        <v>21506597.969999999</v>
      </c>
    </row>
    <row r="13" spans="1:9" ht="14.25">
      <c r="A13" s="1767" t="s">
        <v>1790</v>
      </c>
      <c r="B13" s="1768">
        <f t="shared" ref="B13:D13" si="1">SUM(B2:B12)</f>
        <v>12255.27</v>
      </c>
      <c r="C13" s="1763"/>
      <c r="D13" s="1768">
        <f t="shared" si="1"/>
        <v>376322940</v>
      </c>
      <c r="E13" s="1768">
        <f>SUM(E2:E12)</f>
        <v>192254</v>
      </c>
      <c r="F13" s="1766">
        <f>SUM(F2:F12)</f>
        <v>0</v>
      </c>
    </row>
  </sheetData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56.2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1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0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43983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0.58630000000000004</v>
      </c>
      <c r="C11" s="1753">
        <f ca="1">结果表!B18</f>
        <v>5863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1</v>
      </c>
      <c r="C14" s="1758">
        <f>主表!B6</f>
        <v>0</v>
      </c>
      <c r="D14" s="1758"/>
      <c r="E14" s="1756">
        <f>ROUND(D14*10000/B14,0)</f>
        <v>0</v>
      </c>
      <c r="F14" s="1756" t="e">
        <f>ROUND(D14*10000/C14,0)</f>
        <v>#DIV/0!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72" t="s">
        <v>1353</v>
      </c>
      <c r="B2" s="1772"/>
      <c r="C2" s="1772"/>
      <c r="D2" s="1772"/>
      <c r="E2" s="1772"/>
      <c r="F2" s="1772"/>
      <c r="G2" s="1772"/>
      <c r="H2" s="648"/>
      <c r="I2" s="227"/>
      <c r="X2" s="221"/>
      <c r="AG2" s="189"/>
    </row>
    <row r="3" spans="1:33" ht="13.5">
      <c r="A3" s="1773" t="s">
        <v>1354</v>
      </c>
      <c r="B3" s="1774"/>
      <c r="C3" s="1775"/>
      <c r="D3" s="1776" t="s">
        <v>1355</v>
      </c>
      <c r="E3" s="1774"/>
      <c r="F3" s="1774"/>
      <c r="G3" s="1777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78" t="s">
        <v>1356</v>
      </c>
      <c r="E4" s="1779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80" t="s">
        <v>1360</v>
      </c>
      <c r="B5" s="1781">
        <f>主表!F5</f>
        <v>2787</v>
      </c>
      <c r="C5" s="1782" t="s">
        <v>1361</v>
      </c>
      <c r="D5" s="1779" t="s">
        <v>1362</v>
      </c>
      <c r="E5" s="1783"/>
      <c r="F5" s="1300">
        <f>SUM(F6:F10)</f>
        <v>2596</v>
      </c>
      <c r="G5" s="1301" t="s">
        <v>1635</v>
      </c>
      <c r="H5" s="648"/>
      <c r="I5" s="227"/>
      <c r="X5" s="221"/>
      <c r="AG5" s="189"/>
    </row>
    <row r="6" spans="1:33" ht="27">
      <c r="A6" s="1780"/>
      <c r="B6" s="1781"/>
      <c r="C6" s="1782"/>
      <c r="D6" s="1784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80"/>
      <c r="B7" s="1781"/>
      <c r="C7" s="1782"/>
      <c r="D7" s="1784"/>
      <c r="E7" s="1300" t="s">
        <v>1365</v>
      </c>
      <c r="F7" s="1300">
        <f>主表!F15</f>
        <v>500</v>
      </c>
      <c r="G7" s="1301"/>
      <c r="H7" s="648"/>
      <c r="I7" s="227"/>
      <c r="X7" s="221"/>
      <c r="AG7" s="189"/>
    </row>
    <row r="8" spans="1:33" ht="13.5">
      <c r="A8" s="1780"/>
      <c r="B8" s="1781"/>
      <c r="C8" s="1782"/>
      <c r="D8" s="1785" t="s">
        <v>1384</v>
      </c>
      <c r="E8" s="1786"/>
      <c r="F8" s="1300">
        <f>主表!F16</f>
        <v>124</v>
      </c>
      <c r="G8" s="1301" t="str">
        <f>"按建安工程费的"&amp;TEXT(主表!G16,"0.0%")&amp;"计取"</f>
        <v>按建安工程费的6.0%计取</v>
      </c>
      <c r="H8" s="648"/>
      <c r="I8" s="227"/>
      <c r="X8" s="221"/>
      <c r="AG8" s="189"/>
    </row>
    <row r="9" spans="1:33" ht="13.5">
      <c r="A9" s="1780"/>
      <c r="B9" s="1781"/>
      <c r="C9" s="1782"/>
      <c r="D9" s="1785" t="s">
        <v>1385</v>
      </c>
      <c r="E9" s="1786"/>
      <c r="F9" s="1300">
        <f>主表!F18</f>
        <v>206</v>
      </c>
      <c r="G9" s="1301" t="str">
        <f>"按建安工程费的"&amp;TEXT(主表!G18,"0.0%")&amp;"计取"</f>
        <v>按建安工程费的10.0%计取</v>
      </c>
      <c r="H9" s="648"/>
      <c r="I9" s="227"/>
      <c r="X9" s="221"/>
      <c r="AG9" s="189"/>
    </row>
    <row r="10" spans="1:33" ht="13.5">
      <c r="A10" s="1780"/>
      <c r="B10" s="1781"/>
      <c r="C10" s="1782"/>
      <c r="D10" s="1785" t="s">
        <v>1386</v>
      </c>
      <c r="E10" s="1786"/>
      <c r="F10" s="1300">
        <f>主表!F19</f>
        <v>206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84</v>
      </c>
      <c r="C11" s="1302" t="str">
        <f>"按前期开发成本的"&amp;TEXT(主表!G8,"0.0%")&amp;"计取"</f>
        <v>按前期开发成本的3.0%计取</v>
      </c>
      <c r="D11" s="1779" t="s">
        <v>1367</v>
      </c>
      <c r="E11" s="1783"/>
      <c r="F11" s="1300">
        <f>主表!F20</f>
        <v>78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236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79" t="s">
        <v>1369</v>
      </c>
      <c r="E12" s="1783"/>
      <c r="F12" s="1300">
        <f ca="1">主表!F21</f>
        <v>95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1005</v>
      </c>
      <c r="C13" s="1303" t="str">
        <f>"按前期开发成本及其管理费用的"&amp;TEXT(主表!G10,"0%")&amp;"计取"</f>
        <v>按前期开发成本及其管理费用的35%计取</v>
      </c>
      <c r="D13" s="1779" t="s">
        <v>1370</v>
      </c>
      <c r="E13" s="1783"/>
      <c r="F13" s="1300">
        <f>主表!F22</f>
        <v>936</v>
      </c>
      <c r="G13" s="1301" t="str">
        <f>"按房屋建设成本及其管理费用的"&amp;TEXT(主表!G22,"0%")&amp;"计取"</f>
        <v>按房屋建设成本及其管理费用的35%计取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4112</v>
      </c>
      <c r="C14" s="1303" t="s">
        <v>1372</v>
      </c>
      <c r="D14" s="1779" t="s">
        <v>1371</v>
      </c>
      <c r="E14" s="1783"/>
      <c r="F14" s="1300">
        <f ca="1">F5+F11+F12+F13</f>
        <v>3705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81">
        <f ca="1">主表!F24</f>
        <v>7817</v>
      </c>
      <c r="C15" s="1787"/>
      <c r="D15" s="1785" t="s">
        <v>1374</v>
      </c>
      <c r="E15" s="1786"/>
      <c r="F15" s="1786"/>
      <c r="G15" s="1788"/>
      <c r="H15" s="648"/>
      <c r="I15" s="227"/>
      <c r="X15" s="221"/>
      <c r="AG15" s="189"/>
    </row>
    <row r="16" spans="1:33" ht="27.75" thickBot="1">
      <c r="A16" s="1296" t="s">
        <v>1375</v>
      </c>
      <c r="B16" s="1781">
        <f ca="1">主表!F25</f>
        <v>0.78169999999999995</v>
      </c>
      <c r="C16" s="1787"/>
      <c r="D16" s="1785" t="s">
        <v>1376</v>
      </c>
      <c r="E16" s="1786"/>
      <c r="F16" s="1786"/>
      <c r="G16" s="1788"/>
      <c r="H16" s="1305" t="str">
        <f ca="1">NUMBERSTRING(INT(B16*10000),2)&amp;"元整"</f>
        <v>柒仟捌佰壹拾柒元整</v>
      </c>
      <c r="I16" s="1306"/>
      <c r="X16" s="221"/>
      <c r="AG16" s="189"/>
    </row>
    <row r="17" spans="1:33" ht="13.5">
      <c r="A17" s="1296" t="s">
        <v>1377</v>
      </c>
      <c r="B17" s="1794">
        <f>主表!F33</f>
        <v>0.75</v>
      </c>
      <c r="C17" s="1787"/>
      <c r="D17" s="1785" t="s">
        <v>1378</v>
      </c>
      <c r="E17" s="1786"/>
      <c r="F17" s="1786"/>
      <c r="G17" s="1788"/>
      <c r="H17" s="648"/>
      <c r="I17" s="227"/>
      <c r="X17" s="221"/>
      <c r="AG17" s="189"/>
    </row>
    <row r="18" spans="1:33" ht="27.75" thickBot="1">
      <c r="A18" s="1296" t="s">
        <v>1379</v>
      </c>
      <c r="B18" s="1781">
        <f ca="1">主表!F35</f>
        <v>5863</v>
      </c>
      <c r="C18" s="1787"/>
      <c r="D18" s="1785" t="s">
        <v>1380</v>
      </c>
      <c r="E18" s="1786"/>
      <c r="F18" s="1786"/>
      <c r="G18" s="1788"/>
      <c r="H18" s="646"/>
      <c r="I18" s="227"/>
      <c r="X18" s="221"/>
      <c r="AG18" s="189"/>
    </row>
    <row r="19" spans="1:33" ht="27.75" thickBot="1">
      <c r="A19" s="1304" t="s">
        <v>1381</v>
      </c>
      <c r="B19" s="1789">
        <f ca="1">主表!F36</f>
        <v>0.58630000000000004</v>
      </c>
      <c r="C19" s="1790"/>
      <c r="D19" s="1791" t="s">
        <v>1382</v>
      </c>
      <c r="E19" s="1792"/>
      <c r="F19" s="1792"/>
      <c r="G19" s="1793"/>
      <c r="H19" s="1305" t="str">
        <f ca="1">NUMBERSTRING(INT(B19*10000),2)&amp;"元整"</f>
        <v>伍仟捌佰陆拾叁元整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G29" sqref="G29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800" t="s">
        <v>1275</v>
      </c>
      <c r="E2" s="1801"/>
      <c r="F2" s="1801"/>
      <c r="G2" s="1801"/>
      <c r="H2" s="1802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43983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17</v>
      </c>
    </row>
    <row r="4" spans="1:18" ht="15.75" customHeight="1">
      <c r="A4" s="1195" t="s">
        <v>1776</v>
      </c>
      <c r="B4" s="1731">
        <v>37622</v>
      </c>
      <c r="C4" s="1168"/>
      <c r="D4" s="1175" t="s">
        <v>1276</v>
      </c>
      <c r="E4" s="1176" t="s">
        <v>1569</v>
      </c>
      <c r="F4" s="1177">
        <f ca="1">F5+F8+F9+F10</f>
        <v>4112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2787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/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3730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1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943</v>
      </c>
      <c r="G7" s="1192"/>
      <c r="H7" s="1350" t="s">
        <v>1798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 t="e">
        <f>ROUND(B7/B6,2)</f>
        <v>#DIV/0!</v>
      </c>
      <c r="C8" s="1168"/>
      <c r="D8" s="1194">
        <v>2</v>
      </c>
      <c r="E8" s="1195" t="s">
        <v>1227</v>
      </c>
      <c r="F8" s="1196">
        <f>ROUND(F5*G8,0)</f>
        <v>84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>
        <v>2</v>
      </c>
      <c r="C9" s="1168"/>
      <c r="D9" s="1194">
        <v>3</v>
      </c>
      <c r="E9" s="1195" t="s">
        <v>1228</v>
      </c>
      <c r="F9" s="1196">
        <f ca="1">ROUND(F5*(POWER((1+G9),B24)-1)+F8*(POWER((1+G9),B24/2)-1),0)</f>
        <v>236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581</v>
      </c>
      <c r="C10" s="1168"/>
      <c r="D10" s="1202">
        <v>4</v>
      </c>
      <c r="E10" s="1203" t="s">
        <v>1229</v>
      </c>
      <c r="F10" s="1204">
        <f>ROUND((F5+F8)*G10,0)</f>
        <v>1005</v>
      </c>
      <c r="G10" s="504">
        <v>0.35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3705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1797</v>
      </c>
      <c r="C12" s="1168"/>
      <c r="D12" s="1194">
        <v>1</v>
      </c>
      <c r="E12" s="1195" t="s">
        <v>1572</v>
      </c>
      <c r="F12" s="1196">
        <f>F13+F16+F17</f>
        <v>2596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70</v>
      </c>
      <c r="C13" s="1168"/>
      <c r="D13" s="1187" t="s">
        <v>1268</v>
      </c>
      <c r="E13" s="1195" t="s">
        <v>1233</v>
      </c>
      <c r="F13" s="1196">
        <f>F14+F15</f>
        <v>2060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63190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70</v>
      </c>
      <c r="C15" s="1168"/>
      <c r="D15" s="1194" t="s">
        <v>1272</v>
      </c>
      <c r="E15" s="1195" t="s">
        <v>1235</v>
      </c>
      <c r="F15" s="505">
        <v>500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124</v>
      </c>
      <c r="G16" s="503">
        <v>0.06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412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1</v>
      </c>
      <c r="C18" s="1168"/>
      <c r="D18" s="1194" t="s">
        <v>1273</v>
      </c>
      <c r="E18" s="1195" t="s">
        <v>1283</v>
      </c>
      <c r="F18" s="1025">
        <f>ROUND(IF(B12="住宅/居住",F13*G18,0),0)</f>
        <v>206</v>
      </c>
      <c r="G18" s="503">
        <v>0.1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206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1791</v>
      </c>
      <c r="C20" s="1168"/>
      <c r="D20" s="1194">
        <v>2</v>
      </c>
      <c r="E20" s="1195" t="s">
        <v>1227</v>
      </c>
      <c r="F20" s="1196">
        <f>ROUND(F12*G20,0)</f>
        <v>78</v>
      </c>
      <c r="G20" s="647">
        <f>G8</f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95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2003</v>
      </c>
      <c r="C22" s="1168"/>
      <c r="D22" s="1202">
        <v>4</v>
      </c>
      <c r="E22" s="1203" t="s">
        <v>1574</v>
      </c>
      <c r="F22" s="1204">
        <f>ROUND((F12+F20)*G22,0)</f>
        <v>936</v>
      </c>
      <c r="G22" s="504">
        <f>G10</f>
        <v>0.35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7817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0.78169999999999995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803" t="s">
        <v>1277</v>
      </c>
      <c r="E26" s="1804"/>
      <c r="F26" s="1804"/>
      <c r="G26" s="1804"/>
      <c r="H26" s="1805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0.67</v>
      </c>
      <c r="G28" s="506">
        <v>0.4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0.8</v>
      </c>
      <c r="G29" s="1232">
        <f>1-G28</f>
        <v>0.6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80</v>
      </c>
      <c r="G30" s="1232">
        <f>IF(ISNUMBER(FIND("砖木",B20)),O30,SUMPRODUCT((N30:N32=E30)*(O29:R29=B20)*(O30:R32)))</f>
        <v>0.2</v>
      </c>
      <c r="H30" s="1233"/>
      <c r="I30" s="1795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80</v>
      </c>
      <c r="G31" s="1232">
        <f>IF(ISNUMBER(FIND("砖木",B20)),O31,SUMPRODUCT((N30:N32=E31)*(O29:R29=B20)*(O30:R32)))</f>
        <v>0.45</v>
      </c>
      <c r="H31" s="1233"/>
      <c r="I31" s="1795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80</v>
      </c>
      <c r="G32" s="1232">
        <f>IF(ISNUMBER(FIND("砖木",B20)),O32,SUMPRODUCT((N30:N32=E32)*(O29:R29=B20)*(O30:R32)))</f>
        <v>0.35</v>
      </c>
      <c r="H32" s="1233"/>
      <c r="I32" s="1795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0.75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803" t="s">
        <v>1280</v>
      </c>
      <c r="E34" s="1804"/>
      <c r="F34" s="1804"/>
      <c r="G34" s="1804"/>
      <c r="H34" s="1805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5863</v>
      </c>
      <c r="G35" s="1796" t="s">
        <v>1257</v>
      </c>
      <c r="H35" s="1797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0.58630000000000004</v>
      </c>
      <c r="G36" s="1798" t="s">
        <v>1259</v>
      </c>
      <c r="H36" s="1799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1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住宅/居住</v>
      </c>
      <c r="F2" s="716" t="s">
        <v>911</v>
      </c>
      <c r="G2" s="718" t="str">
        <f>主表!B10</f>
        <v>三级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 t="e">
        <f>IF(F3="容积率",主表!B8,主表!B9)</f>
        <v>#DIV/0!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>
        <f>ROUND(IF(E2="商业",C6*C7+C16,(IF(E2="住宅/居住",C6*C12+C16,C6+C16))),0)</f>
        <v>-120</v>
      </c>
      <c r="D5" s="1664">
        <f>ROUND(C6+C16,0)</f>
        <v>-120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806" t="str">
        <f>IF(E2="商业",IF(C8="不临58条商业街","",2),"")</f>
        <v/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807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807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807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807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806">
        <f>IF(E2="住宅/居住",2,"")</f>
        <v>2</v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08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08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09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806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-120</v>
      </c>
      <c r="D16" s="1815" t="s">
        <v>928</v>
      </c>
      <c r="E16" s="1816"/>
      <c r="F16" s="1815" t="s">
        <v>926</v>
      </c>
      <c r="G16" s="1817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10"/>
      <c r="B17" s="1718" t="s">
        <v>927</v>
      </c>
      <c r="C17" s="1719">
        <f>SUMPRODUCT(('2014修正'!A2:A5=E2)*('2014修正'!B1:M1=G2)*('2014修正'!B2:M5))</f>
        <v>2.5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300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44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423</v>
      </c>
      <c r="G19" s="1471" t="s">
        <v>263</v>
      </c>
      <c r="H19" s="1313">
        <f>主表!B4</f>
        <v>37622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1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6.0999999999999999E-2</v>
      </c>
      <c r="H20" s="1475" t="s">
        <v>1634</v>
      </c>
      <c r="I20" s="1026">
        <f>IF(H20="剩余土地使用年限",主表!B15,主表!B16)</f>
        <v>70</v>
      </c>
      <c r="J20" s="387">
        <f>IF(E2="住宅/居住",70,IF(E2="商业",40,50))</f>
        <v>70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 t="e">
        <f>IF(B21="容积率修正",IF(G3&lt;=10,D22,J22),C23)</f>
        <v>#DIV/0!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 t="e">
        <f>IF(E22=G22,F22,IF(G3&lt;=10,ROUND(F22+(H22-F22)*(G3-E22)/(G22-E22),4),"——"))</f>
        <v>#DIV/0!</v>
      </c>
      <c r="E22" s="1479" t="e">
        <f>ROUNDDOWN(G3,1)</f>
        <v>#DIV/0!</v>
      </c>
      <c r="F22" s="148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8" t="e">
        <f>ROUNDUP(G3,1)</f>
        <v>#DIV/0!</v>
      </c>
      <c r="H22" s="1465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7" t="s">
        <v>281</v>
      </c>
      <c r="J22" s="389" t="e">
        <f>IF(G3&gt;10,D114,"——")</f>
        <v>#DIV/0!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12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1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1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1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6.0999999999999999E-2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11" t="s">
        <v>1159</v>
      </c>
      <c r="B91" s="1811"/>
      <c r="C91" s="1811"/>
      <c r="D91" s="1811"/>
      <c r="E91" s="1811"/>
      <c r="F91" s="1811"/>
      <c r="G91" s="1811"/>
      <c r="H91" s="1811"/>
      <c r="I91" s="1811"/>
      <c r="J91" s="1811"/>
      <c r="K91" s="655"/>
      <c r="L91" s="655"/>
      <c r="M91" s="655"/>
      <c r="N91" s="655"/>
    </row>
    <row r="92" spans="1:37">
      <c r="A92" s="1819" t="s">
        <v>1160</v>
      </c>
      <c r="B92" s="181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9"/>
      <c r="B93" s="1819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20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21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21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21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21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21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21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22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20" t="s">
        <v>1480</v>
      </c>
      <c r="B102" s="945" t="s">
        <v>1483</v>
      </c>
      <c r="C102" s="946" t="e">
        <f>$G$3</f>
        <v>#DIV/0!</v>
      </c>
      <c r="D102" s="946" t="e">
        <f t="shared" ref="D102:N102" si="25">$G$3</f>
        <v>#DIV/0!</v>
      </c>
      <c r="E102" s="946" t="e">
        <f t="shared" si="25"/>
        <v>#DIV/0!</v>
      </c>
      <c r="F102" s="946" t="e">
        <f t="shared" si="25"/>
        <v>#DIV/0!</v>
      </c>
      <c r="G102" s="946" t="e">
        <f t="shared" si="25"/>
        <v>#DIV/0!</v>
      </c>
      <c r="H102" s="946" t="e">
        <f t="shared" si="25"/>
        <v>#DIV/0!</v>
      </c>
      <c r="I102" s="946" t="e">
        <f t="shared" si="25"/>
        <v>#DIV/0!</v>
      </c>
      <c r="J102" s="946" t="e">
        <f t="shared" si="25"/>
        <v>#DIV/0!</v>
      </c>
      <c r="K102" s="946" t="e">
        <f t="shared" si="25"/>
        <v>#DIV/0!</v>
      </c>
      <c r="L102" s="946" t="e">
        <f t="shared" si="25"/>
        <v>#DIV/0!</v>
      </c>
      <c r="M102" s="946" t="e">
        <f t="shared" si="25"/>
        <v>#DIV/0!</v>
      </c>
      <c r="N102" s="946" t="e">
        <f t="shared" si="25"/>
        <v>#DIV/0!</v>
      </c>
    </row>
    <row r="103" spans="1:14" ht="12.75">
      <c r="A103" s="1821"/>
      <c r="B103" s="941">
        <v>1</v>
      </c>
      <c r="C103" s="942" t="e">
        <f>1.9362/C102</f>
        <v>#DIV/0!</v>
      </c>
      <c r="D103" s="942" t="e">
        <f>1.9362/D102</f>
        <v>#DIV/0!</v>
      </c>
      <c r="E103" s="942" t="e">
        <f>1.8629/E102</f>
        <v>#DIV/0!</v>
      </c>
      <c r="F103" s="942" t="e">
        <f>1.8629/F102</f>
        <v>#DIV/0!</v>
      </c>
      <c r="G103" s="942" t="e">
        <f>1.8629/G102</f>
        <v>#DIV/0!</v>
      </c>
      <c r="H103" s="942" t="e">
        <f>1.8629/H102</f>
        <v>#DIV/0!</v>
      </c>
      <c r="I103" s="942" t="e">
        <f>1.8629/I102</f>
        <v>#DIV/0!</v>
      </c>
      <c r="J103" s="942" t="e">
        <f>1.942/J102</f>
        <v>#DIV/0!</v>
      </c>
      <c r="K103" s="942" t="e">
        <f>1.942/K102</f>
        <v>#DIV/0!</v>
      </c>
      <c r="L103" s="942" t="e">
        <f>1.942/L102</f>
        <v>#DIV/0!</v>
      </c>
      <c r="M103" s="942" t="e">
        <f>1.942/M102</f>
        <v>#DIV/0!</v>
      </c>
      <c r="N103" s="942" t="e">
        <f>1.942/N102</f>
        <v>#DIV/0!</v>
      </c>
    </row>
    <row r="104" spans="1:14" ht="12.75">
      <c r="A104" s="1821"/>
      <c r="B104" s="941">
        <v>2</v>
      </c>
      <c r="C104" s="942" t="e">
        <f>1.4198/C102</f>
        <v>#DIV/0!</v>
      </c>
      <c r="D104" s="942" t="e">
        <f>1.4198/D102</f>
        <v>#DIV/0!</v>
      </c>
      <c r="E104" s="942" t="e">
        <f>1.3372/E102</f>
        <v>#DIV/0!</v>
      </c>
      <c r="F104" s="942" t="e">
        <f>1.3372/F102</f>
        <v>#DIV/0!</v>
      </c>
      <c r="G104" s="942" t="e">
        <f>1.3372/G102</f>
        <v>#DIV/0!</v>
      </c>
      <c r="H104" s="942" t="e">
        <f>1.3372/H102</f>
        <v>#DIV/0!</v>
      </c>
      <c r="I104" s="942" t="e">
        <f>1.3372/I102</f>
        <v>#DIV/0!</v>
      </c>
      <c r="J104" s="942" t="e">
        <f>1.2799/J102</f>
        <v>#DIV/0!</v>
      </c>
      <c r="K104" s="942" t="e">
        <f>1.2799/K102</f>
        <v>#DIV/0!</v>
      </c>
      <c r="L104" s="942" t="e">
        <f>1.2799/L102</f>
        <v>#DIV/0!</v>
      </c>
      <c r="M104" s="942" t="e">
        <f>1.2799/M102</f>
        <v>#DIV/0!</v>
      </c>
      <c r="N104" s="942" t="e">
        <f>1.2799/N102</f>
        <v>#DIV/0!</v>
      </c>
    </row>
    <row r="105" spans="1:14" ht="12.75">
      <c r="A105" s="1821"/>
      <c r="B105" s="941">
        <v>3</v>
      </c>
      <c r="C105" s="942" t="e">
        <f>1.1594/C102</f>
        <v>#DIV/0!</v>
      </c>
      <c r="D105" s="942" t="e">
        <f>1.1594/D102</f>
        <v>#DIV/0!</v>
      </c>
      <c r="E105" s="942" t="e">
        <f>1.0788/E102</f>
        <v>#DIV/0!</v>
      </c>
      <c r="F105" s="942" t="e">
        <f>1.0788/F102</f>
        <v>#DIV/0!</v>
      </c>
      <c r="G105" s="942" t="e">
        <f>1.0788/G102</f>
        <v>#DIV/0!</v>
      </c>
      <c r="H105" s="942" t="e">
        <f>1.0788/H102</f>
        <v>#DIV/0!</v>
      </c>
      <c r="I105" s="942" t="e">
        <f>1.0788/I102</f>
        <v>#DIV/0!</v>
      </c>
      <c r="J105" s="942" t="e">
        <f>1.0072/J102</f>
        <v>#DIV/0!</v>
      </c>
      <c r="K105" s="942" t="e">
        <f>1.0072/K102</f>
        <v>#DIV/0!</v>
      </c>
      <c r="L105" s="942" t="e">
        <f>1.0072/L102</f>
        <v>#DIV/0!</v>
      </c>
      <c r="M105" s="942" t="e">
        <f>1.0072/M102</f>
        <v>#DIV/0!</v>
      </c>
      <c r="N105" s="942" t="e">
        <f>1.0072/N102</f>
        <v>#DIV/0!</v>
      </c>
    </row>
    <row r="106" spans="1:14" ht="12.75">
      <c r="A106" s="1821"/>
      <c r="B106" s="941">
        <v>4</v>
      </c>
      <c r="C106" s="942" t="e">
        <f>0.9622/C102</f>
        <v>#DIV/0!</v>
      </c>
      <c r="D106" s="942" t="e">
        <f>0.9622/D102</f>
        <v>#DIV/0!</v>
      </c>
      <c r="E106" s="942" t="e">
        <f>0.8656/E102</f>
        <v>#DIV/0!</v>
      </c>
      <c r="F106" s="942" t="e">
        <f>0.8656/F102</f>
        <v>#DIV/0!</v>
      </c>
      <c r="G106" s="942" t="e">
        <f>0.8656/G102</f>
        <v>#DIV/0!</v>
      </c>
      <c r="H106" s="942" t="e">
        <f>0.8656/H102</f>
        <v>#DIV/0!</v>
      </c>
      <c r="I106" s="942" t="e">
        <f>0.8656/I102</f>
        <v>#DIV/0!</v>
      </c>
      <c r="J106" s="942" t="e">
        <f>0.7525/J102</f>
        <v>#DIV/0!</v>
      </c>
      <c r="K106" s="942" t="e">
        <f>0.7525/K102</f>
        <v>#DIV/0!</v>
      </c>
      <c r="L106" s="942" t="e">
        <f>0.7525/L102</f>
        <v>#DIV/0!</v>
      </c>
      <c r="M106" s="942" t="e">
        <f>0.7525/M102</f>
        <v>#DIV/0!</v>
      </c>
      <c r="N106" s="942" t="e">
        <f>0.7525/N102</f>
        <v>#DIV/0!</v>
      </c>
    </row>
    <row r="107" spans="1:14" ht="12.75">
      <c r="A107" s="1821"/>
      <c r="B107" s="941">
        <v>5</v>
      </c>
      <c r="C107" s="942" t="e">
        <f>0.8417/C102</f>
        <v>#DIV/0!</v>
      </c>
      <c r="D107" s="942" t="e">
        <f>0.8417/D102</f>
        <v>#DIV/0!</v>
      </c>
      <c r="E107" s="942" t="e">
        <f>0.7371/E102</f>
        <v>#DIV/0!</v>
      </c>
      <c r="F107" s="942" t="e">
        <f>0.7371/F102</f>
        <v>#DIV/0!</v>
      </c>
      <c r="G107" s="942" t="e">
        <f>0.7371/G102</f>
        <v>#DIV/0!</v>
      </c>
      <c r="H107" s="942" t="e">
        <f>0.7371/H102</f>
        <v>#DIV/0!</v>
      </c>
      <c r="I107" s="942" t="e">
        <f>0.7371/I102</f>
        <v>#DIV/0!</v>
      </c>
      <c r="J107" s="942" t="e">
        <f>0.5659/J102</f>
        <v>#DIV/0!</v>
      </c>
      <c r="K107" s="942" t="e">
        <f>0.5659/K102</f>
        <v>#DIV/0!</v>
      </c>
      <c r="L107" s="942" t="e">
        <f>0.5659/L102</f>
        <v>#DIV/0!</v>
      </c>
      <c r="M107" s="942" t="e">
        <f>0.5659/M102</f>
        <v>#DIV/0!</v>
      </c>
      <c r="N107" s="942" t="e">
        <f>0.5659/N102</f>
        <v>#DIV/0!</v>
      </c>
    </row>
    <row r="108" spans="1:14" ht="12.75">
      <c r="A108" s="1821"/>
      <c r="B108" s="941">
        <v>6</v>
      </c>
      <c r="C108" s="942" t="e">
        <f>0.7608/C102</f>
        <v>#DIV/0!</v>
      </c>
      <c r="D108" s="942" t="e">
        <f>0.7608/D102</f>
        <v>#DIV/0!</v>
      </c>
      <c r="E108" s="942" t="e">
        <f>0.6482/E102</f>
        <v>#DIV/0!</v>
      </c>
      <c r="F108" s="942" t="e">
        <f>0.6482/F102</f>
        <v>#DIV/0!</v>
      </c>
      <c r="G108" s="942" t="e">
        <f>0.6482/G102</f>
        <v>#DIV/0!</v>
      </c>
      <c r="H108" s="942" t="e">
        <f>0.6482/H102</f>
        <v>#DIV/0!</v>
      </c>
      <c r="I108" s="942" t="e">
        <f>0.6482/I102</f>
        <v>#DIV/0!</v>
      </c>
      <c r="J108" s="942" t="e">
        <f>0.4525/J102</f>
        <v>#DIV/0!</v>
      </c>
      <c r="K108" s="942" t="e">
        <f>0.4525/K102</f>
        <v>#DIV/0!</v>
      </c>
      <c r="L108" s="942" t="e">
        <f>0.4525/L102</f>
        <v>#DIV/0!</v>
      </c>
      <c r="M108" s="942" t="e">
        <f>0.4525/M102</f>
        <v>#DIV/0!</v>
      </c>
      <c r="N108" s="942" t="e">
        <f>0.4525/N102</f>
        <v>#DIV/0!</v>
      </c>
    </row>
    <row r="109" spans="1:14" ht="12.75">
      <c r="A109" s="1821"/>
      <c r="B109" s="1823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22"/>
      <c r="B110" s="1824"/>
      <c r="C110" s="944" t="e">
        <f>(-0.163*(C109^2)-0.59*C109+7617)*(10^(-4))/C102</f>
        <v>#DIV/0!</v>
      </c>
      <c r="D110" s="944" t="e">
        <f>(-0.163*(D109^2)-0.59*D109+7617)*(10^(-4))/D102</f>
        <v>#DIV/0!</v>
      </c>
      <c r="E110" s="944" t="e">
        <f>(-0.161*(E109^2)-7.509*E109+6533)*(10^(-4))/E102</f>
        <v>#DIV/0!</v>
      </c>
      <c r="F110" s="944" t="e">
        <f>(-0.161*(F109^2)-7.509*F109+6533)*(10^(-4))/F102</f>
        <v>#DIV/0!</v>
      </c>
      <c r="G110" s="944" t="e">
        <f>(-0.161*(G109^2)-7.509*G109+6533)*(10^(-4))/G102</f>
        <v>#DIV/0!</v>
      </c>
      <c r="H110" s="944" t="e">
        <f>(-0.161*(H109^2)-7.509*H109+6533)*(10^(-4))/H102</f>
        <v>#DIV/0!</v>
      </c>
      <c r="I110" s="944" t="e">
        <f>(-0.161*(I109^2)-7.509*I109+6533)*(10^(-4))/I102</f>
        <v>#DIV/0!</v>
      </c>
      <c r="J110" s="944" t="e">
        <f>(-0.214*(J109^2)-21.991*J109+4665)*(10^(-4))/J102</f>
        <v>#DIV/0!</v>
      </c>
      <c r="K110" s="944" t="e">
        <f>(-0.214*(K109^2)-21.991*K109+4665)*(10^(-4))/K102</f>
        <v>#DIV/0!</v>
      </c>
      <c r="L110" s="944" t="e">
        <f>(-0.214*(L109^2)-21.991*L109+4665)*(10^(-4))/L102</f>
        <v>#DIV/0!</v>
      </c>
      <c r="M110" s="944" t="e">
        <f>(-0.214*(M109^2)-21.991*M109+4665)*(10^(-4))/M102</f>
        <v>#DIV/0!</v>
      </c>
      <c r="N110" s="944" t="e">
        <f>(-0.214*(N109^2)-21.991*N109+4665)*(10^(-4))/N102</f>
        <v>#DIV/0!</v>
      </c>
    </row>
    <row r="111" spans="1:14">
      <c r="A111" s="1818" t="s">
        <v>1175</v>
      </c>
      <c r="B111" s="1818"/>
      <c r="C111" s="1818"/>
      <c r="D111" s="1818"/>
      <c r="E111" s="1818"/>
      <c r="F111" s="1818"/>
      <c r="G111" s="1818"/>
      <c r="H111" s="1818"/>
      <c r="I111" s="1818"/>
      <c r="J111" s="1818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 t="e">
        <f>G3</f>
        <v>#DIV/0!</v>
      </c>
      <c r="C114" s="927" t="s">
        <v>1467</v>
      </c>
      <c r="D114" s="351" t="e">
        <f>SUMPRODUCT((A116:A119=F114)*(B115:M115=H114)*B116:M119)</f>
        <v>#DIV/0!</v>
      </c>
      <c r="E114" s="718" t="s">
        <v>1160</v>
      </c>
      <c r="F114" s="928" t="str">
        <f>E2</f>
        <v>住宅/居住</v>
      </c>
      <c r="G114" s="718" t="s">
        <v>1177</v>
      </c>
      <c r="H114" s="928" t="str">
        <f>G2</f>
        <v>三级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00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00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01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5" t="s">
        <v>985</v>
      </c>
      <c r="B1" s="1825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289</v>
      </c>
      <c r="B1" s="1825"/>
      <c r="C1" s="1825"/>
      <c r="D1" s="1825"/>
      <c r="E1" s="1825"/>
      <c r="F1" s="1825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26" t="s">
        <v>302</v>
      </c>
      <c r="B2" s="1826"/>
      <c r="C2" s="1826"/>
      <c r="D2" s="1826"/>
      <c r="E2" s="1826"/>
      <c r="F2" s="1826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7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8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面积表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2020-06-08T01:20:22Z</dcterms:modified>
</cp:coreProperties>
</file>